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64" activeTab="12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49" r:id="rId23"/>
    <sheet name="ფორმა N9.7.1" sheetId="41" r:id="rId24"/>
    <sheet name="Validation" sheetId="13" state="veryHidden" r:id="rId25"/>
    <sheet name="Sheet1" sheetId="50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N9.7'!$A$8:$J$958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D11" i="26" l="1"/>
  <c r="C11" i="26"/>
  <c r="C40" i="48" l="1"/>
  <c r="C30" i="48"/>
  <c r="C55" i="48"/>
  <c r="C20" i="48"/>
  <c r="C23" i="48"/>
  <c r="C51" i="48"/>
  <c r="C39" i="48"/>
  <c r="C38" i="48" s="1"/>
  <c r="C21" i="48"/>
  <c r="C50" i="48"/>
  <c r="C49" i="48"/>
  <c r="C53" i="48"/>
  <c r="C65" i="48"/>
  <c r="C59" i="48" s="1"/>
  <c r="C13" i="48"/>
  <c r="D50" i="48"/>
  <c r="D48" i="48"/>
  <c r="D49" i="48"/>
  <c r="D53" i="48"/>
  <c r="D13" i="48"/>
  <c r="D65" i="48"/>
  <c r="D59" i="48" s="1"/>
  <c r="D31" i="43"/>
  <c r="D11" i="43" s="1"/>
  <c r="D10" i="43" s="1"/>
  <c r="C16" i="45"/>
  <c r="E16" i="45"/>
  <c r="J16" i="45" s="1"/>
  <c r="J14" i="45" s="1"/>
  <c r="H20" i="9"/>
  <c r="H17" i="9"/>
  <c r="G13" i="9"/>
  <c r="A4" i="49"/>
  <c r="D55" i="48"/>
  <c r="D54" i="48" s="1"/>
  <c r="J15" i="45"/>
  <c r="G25" i="45"/>
  <c r="F25" i="45"/>
  <c r="D75" i="48"/>
  <c r="D66" i="48"/>
  <c r="C54" i="48"/>
  <c r="D38" i="48"/>
  <c r="D34" i="48"/>
  <c r="C34" i="48"/>
  <c r="D25" i="48"/>
  <c r="D19" i="48" s="1"/>
  <c r="D15" i="48" s="1"/>
  <c r="C25" i="48"/>
  <c r="D16" i="48"/>
  <c r="C16" i="48"/>
  <c r="D12" i="48"/>
  <c r="C12" i="48"/>
  <c r="A6" i="48"/>
  <c r="C25" i="45"/>
  <c r="J25" i="45" s="1"/>
  <c r="J24" i="45" s="1"/>
  <c r="B25" i="45"/>
  <c r="I25" i="45" s="1"/>
  <c r="I24" i="45" s="1"/>
  <c r="I9" i="45" s="1"/>
  <c r="I26" i="45"/>
  <c r="J26" i="45"/>
  <c r="I27" i="45"/>
  <c r="J27" i="45"/>
  <c r="I28" i="45"/>
  <c r="J28" i="45"/>
  <c r="I29" i="45"/>
  <c r="J29" i="45"/>
  <c r="I30" i="45"/>
  <c r="J30" i="45"/>
  <c r="I31" i="45"/>
  <c r="J31" i="45"/>
  <c r="I16" i="45"/>
  <c r="I17" i="45"/>
  <c r="J17" i="45"/>
  <c r="I18" i="45"/>
  <c r="J18" i="45"/>
  <c r="I19" i="45"/>
  <c r="J19" i="45"/>
  <c r="I20" i="45"/>
  <c r="J20" i="45"/>
  <c r="I21" i="45"/>
  <c r="J21" i="45"/>
  <c r="I22" i="45"/>
  <c r="J22" i="45"/>
  <c r="I23" i="45"/>
  <c r="J23" i="45"/>
  <c r="I15" i="45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D68" i="18"/>
  <c r="D64" i="18"/>
  <c r="D59" i="18"/>
  <c r="D23" i="18"/>
  <c r="D22" i="18"/>
  <c r="D21" i="18"/>
  <c r="G20" i="9"/>
  <c r="I20" i="9"/>
  <c r="G17" i="9"/>
  <c r="I17" i="9" s="1"/>
  <c r="I13" i="9"/>
  <c r="I12" i="9"/>
  <c r="I14" i="9"/>
  <c r="I15" i="9"/>
  <c r="I16" i="9"/>
  <c r="I18" i="9"/>
  <c r="I19" i="9"/>
  <c r="I21" i="9"/>
  <c r="I11" i="9"/>
  <c r="I10" i="9"/>
  <c r="F82" i="46"/>
  <c r="E82" i="46"/>
  <c r="F81" i="46"/>
  <c r="E81" i="46"/>
  <c r="F80" i="46"/>
  <c r="E80" i="46"/>
  <c r="F79" i="46"/>
  <c r="E79" i="46"/>
  <c r="F78" i="46"/>
  <c r="E78" i="46"/>
  <c r="F77" i="46"/>
  <c r="E77" i="46"/>
  <c r="F76" i="46"/>
  <c r="E76" i="46"/>
  <c r="F75" i="46"/>
  <c r="E75" i="46"/>
  <c r="F74" i="46"/>
  <c r="E74" i="46"/>
  <c r="F73" i="46"/>
  <c r="E73" i="46"/>
  <c r="F72" i="46"/>
  <c r="E72" i="46"/>
  <c r="F71" i="46"/>
  <c r="E71" i="46"/>
  <c r="F70" i="46"/>
  <c r="E70" i="46"/>
  <c r="F69" i="46"/>
  <c r="E69" i="46"/>
  <c r="F68" i="46"/>
  <c r="E68" i="46"/>
  <c r="F67" i="46"/>
  <c r="E67" i="46"/>
  <c r="F66" i="46"/>
  <c r="E66" i="46"/>
  <c r="F65" i="46"/>
  <c r="E65" i="46"/>
  <c r="F64" i="46"/>
  <c r="E64" i="46"/>
  <c r="F63" i="46"/>
  <c r="E63" i="46"/>
  <c r="F62" i="46"/>
  <c r="E62" i="46"/>
  <c r="F61" i="46"/>
  <c r="E61" i="46"/>
  <c r="F60" i="46"/>
  <c r="E60" i="46"/>
  <c r="F59" i="46"/>
  <c r="E59" i="46"/>
  <c r="F58" i="46"/>
  <c r="E58" i="46"/>
  <c r="F57" i="46"/>
  <c r="E57" i="46"/>
  <c r="F56" i="46"/>
  <c r="E56" i="46"/>
  <c r="F55" i="46"/>
  <c r="E55" i="46"/>
  <c r="F54" i="46"/>
  <c r="E54" i="46"/>
  <c r="F53" i="46"/>
  <c r="E53" i="46"/>
  <c r="F52" i="46"/>
  <c r="E52" i="46"/>
  <c r="F51" i="46"/>
  <c r="E51" i="46"/>
  <c r="F50" i="46"/>
  <c r="E50" i="46"/>
  <c r="F49" i="46"/>
  <c r="E49" i="46"/>
  <c r="F48" i="46"/>
  <c r="E48" i="46"/>
  <c r="F47" i="46"/>
  <c r="F46" i="46"/>
  <c r="F45" i="46"/>
  <c r="E45" i="46"/>
  <c r="F44" i="46"/>
  <c r="E44" i="46"/>
  <c r="F43" i="46"/>
  <c r="E43" i="46"/>
  <c r="F42" i="46"/>
  <c r="E42" i="46"/>
  <c r="F41" i="46"/>
  <c r="E41" i="46"/>
  <c r="F40" i="46"/>
  <c r="E40" i="46"/>
  <c r="F39" i="46"/>
  <c r="E39" i="46"/>
  <c r="F38" i="46"/>
  <c r="E38" i="46"/>
  <c r="F37" i="46"/>
  <c r="F36" i="46"/>
  <c r="E36" i="46"/>
  <c r="F35" i="46"/>
  <c r="E35" i="46"/>
  <c r="F34" i="46"/>
  <c r="E34" i="46"/>
  <c r="F33" i="46"/>
  <c r="E33" i="46"/>
  <c r="F32" i="46"/>
  <c r="F31" i="46"/>
  <c r="E31" i="46"/>
  <c r="F30" i="46"/>
  <c r="E30" i="46"/>
  <c r="F29" i="46"/>
  <c r="E29" i="46"/>
  <c r="F28" i="46"/>
  <c r="E28" i="46"/>
  <c r="F27" i="46"/>
  <c r="E27" i="46"/>
  <c r="F26" i="46"/>
  <c r="E26" i="46"/>
  <c r="F25" i="46"/>
  <c r="E25" i="46"/>
  <c r="F24" i="46"/>
  <c r="E24" i="46"/>
  <c r="F23" i="46"/>
  <c r="E23" i="46"/>
  <c r="F22" i="46"/>
  <c r="E22" i="46"/>
  <c r="F21" i="46"/>
  <c r="E21" i="46"/>
  <c r="F20" i="46"/>
  <c r="E20" i="46"/>
  <c r="F19" i="46"/>
  <c r="E19" i="46"/>
  <c r="F18" i="46"/>
  <c r="E18" i="46"/>
  <c r="F17" i="46"/>
  <c r="E17" i="46"/>
  <c r="F16" i="46"/>
  <c r="E16" i="46"/>
  <c r="F15" i="46"/>
  <c r="E15" i="46"/>
  <c r="F14" i="46"/>
  <c r="E14" i="46"/>
  <c r="F13" i="46"/>
  <c r="E13" i="46"/>
  <c r="F12" i="46"/>
  <c r="E12" i="46"/>
  <c r="F11" i="46"/>
  <c r="E11" i="46"/>
  <c r="F10" i="46"/>
  <c r="F9" i="46"/>
  <c r="E9" i="46"/>
  <c r="A4" i="46"/>
  <c r="G39" i="45"/>
  <c r="G36" i="45" s="1"/>
  <c r="F39" i="45"/>
  <c r="F36" i="45"/>
  <c r="E39" i="45"/>
  <c r="D39" i="45"/>
  <c r="D36" i="45"/>
  <c r="E36" i="45"/>
  <c r="G32" i="45"/>
  <c r="F32" i="45"/>
  <c r="E32" i="45"/>
  <c r="D32" i="45"/>
  <c r="G24" i="45"/>
  <c r="H24" i="45"/>
  <c r="E24" i="45"/>
  <c r="E9" i="45"/>
  <c r="D24" i="45"/>
  <c r="H14" i="45"/>
  <c r="G14" i="45"/>
  <c r="F14" i="45"/>
  <c r="E14" i="45"/>
  <c r="D14" i="45"/>
  <c r="D9" i="45"/>
  <c r="C14" i="45"/>
  <c r="B14" i="45"/>
  <c r="H10" i="45"/>
  <c r="H9" i="45"/>
  <c r="A4" i="45"/>
  <c r="D34" i="43"/>
  <c r="D45" i="43"/>
  <c r="D44" i="43" s="1"/>
  <c r="C45" i="43"/>
  <c r="C44" i="43"/>
  <c r="C34" i="43"/>
  <c r="C11" i="43"/>
  <c r="A4" i="43"/>
  <c r="D75" i="8"/>
  <c r="C75" i="8"/>
  <c r="D26" i="7"/>
  <c r="C26" i="7"/>
  <c r="D26" i="3"/>
  <c r="D25" i="3"/>
  <c r="C26" i="3"/>
  <c r="C25" i="3"/>
  <c r="D17" i="28"/>
  <c r="C17" i="28"/>
  <c r="C18" i="7"/>
  <c r="C12" i="3"/>
  <c r="I34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/>
  <c r="C12" i="7"/>
  <c r="C10" i="7" s="1"/>
  <c r="C9" i="7" s="1"/>
  <c r="C46" i="8"/>
  <c r="C36" i="8"/>
  <c r="A4" i="39"/>
  <c r="D14" i="8"/>
  <c r="D46" i="8"/>
  <c r="D36" i="8"/>
  <c r="H34" i="34"/>
  <c r="G34" i="34"/>
  <c r="A4" i="34"/>
  <c r="A4" i="32"/>
  <c r="H34" i="30"/>
  <c r="G34" i="30"/>
  <c r="A4" i="30"/>
  <c r="H34" i="29"/>
  <c r="G34" i="29"/>
  <c r="A4" i="29"/>
  <c r="A5" i="28"/>
  <c r="D57" i="8"/>
  <c r="C57" i="8"/>
  <c r="D25" i="27"/>
  <c r="C25" i="27"/>
  <c r="A5" i="27"/>
  <c r="D19" i="26"/>
  <c r="C19" i="26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 s="1"/>
  <c r="C11" i="5"/>
  <c r="D63" i="8"/>
  <c r="D32" i="8"/>
  <c r="C32" i="8"/>
  <c r="D23" i="8"/>
  <c r="D17" i="8"/>
  <c r="D13" i="8"/>
  <c r="D9" i="8" s="1"/>
  <c r="C23" i="8"/>
  <c r="C17" i="8"/>
  <c r="C14" i="8"/>
  <c r="C13" i="8"/>
  <c r="C9" i="8" s="1"/>
  <c r="D18" i="3"/>
  <c r="C18" i="3"/>
  <c r="D15" i="3"/>
  <c r="D10" i="3" s="1"/>
  <c r="D9" i="3" s="1"/>
  <c r="E9" i="3" s="1"/>
  <c r="C15" i="3"/>
  <c r="D12" i="3"/>
  <c r="C10" i="5"/>
  <c r="I14" i="45"/>
  <c r="C24" i="45"/>
  <c r="C9" i="45"/>
  <c r="B24" i="45"/>
  <c r="B9" i="45" s="1"/>
  <c r="G9" i="45"/>
  <c r="F24" i="45"/>
  <c r="F9" i="45"/>
  <c r="C10" i="43"/>
  <c r="C10" i="3"/>
  <c r="C9" i="3" s="1"/>
  <c r="C19" i="48"/>
  <c r="C15" i="48" s="1"/>
  <c r="C11" i="48" s="1"/>
  <c r="C48" i="48"/>
  <c r="D11" i="48" l="1"/>
  <c r="E11" i="48" s="1"/>
  <c r="J9" i="45"/>
</calcChain>
</file>

<file path=xl/sharedStrings.xml><?xml version="1.0" encoding="utf-8"?>
<sst xmlns="http://schemas.openxmlformats.org/spreadsheetml/2006/main" count="5820" uniqueCount="3103">
  <si>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</si>
  <si>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</si>
  <si>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</si>
  <si>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</si>
  <si>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</si>
  <si>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</si>
  <si>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</si>
  <si>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</si>
  <si>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</si>
  <si>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</si>
  <si>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</si>
  <si>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</si>
  <si>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</si>
  <si>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</si>
  <si>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</si>
  <si>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</si>
  <si>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</si>
  <si>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</si>
  <si>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</si>
  <si>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</si>
  <si>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</si>
  <si>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</si>
  <si>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</si>
  <si>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</si>
  <si>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</si>
  <si>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</si>
  <si>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</si>
  <si>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</si>
  <si>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</si>
  <si>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</si>
  <si>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</si>
  <si>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</si>
  <si>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</si>
  <si>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</si>
  <si>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</si>
  <si>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</si>
  <si>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</si>
  <si>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</si>
  <si>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</si>
  <si>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</si>
  <si>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</si>
  <si>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</si>
  <si>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</si>
  <si>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</si>
  <si>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</si>
  <si>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</si>
  <si>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</si>
  <si>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</si>
  <si>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</si>
  <si>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</si>
  <si>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</si>
  <si>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</si>
  <si>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</si>
  <si>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</si>
  <si>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</si>
  <si>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</si>
  <si>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</si>
  <si>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</si>
  <si>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</si>
  <si>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</si>
  <si>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</si>
  <si>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</si>
  <si>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</si>
  <si>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</si>
  <si>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</si>
  <si>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</si>
  <si>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</si>
  <si>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</si>
  <si>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</si>
  <si>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</si>
  <si>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</si>
  <si>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</si>
  <si>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</si>
  <si>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</si>
  <si>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</si>
  <si>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</si>
  <si>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</si>
  <si>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</si>
  <si>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</si>
  <si>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</si>
  <si>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</si>
  <si>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</si>
  <si>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</si>
  <si>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</si>
  <si>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</si>
  <si>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</si>
  <si>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</si>
  <si>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</si>
  <si>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</si>
  <si>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</si>
  <si>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</si>
  <si>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</si>
  <si>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</si>
  <si>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</si>
  <si>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</si>
  <si>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</si>
  <si>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</si>
  <si>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</si>
  <si>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</si>
  <si>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</si>
  <si>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</si>
  <si>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</si>
  <si>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</si>
  <si>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</si>
  <si>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</si>
  <si>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</si>
  <si>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</si>
  <si>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</si>
  <si>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</si>
  <si>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</si>
  <si>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</si>
  <si>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</si>
  <si>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</si>
  <si>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</si>
  <si>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</si>
  <si>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</si>
  <si>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</si>
  <si>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</si>
  <si>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</si>
  <si>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</si>
  <si>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</si>
  <si>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</si>
  <si>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</si>
  <si>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</si>
  <si>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</si>
  <si>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</si>
  <si>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</si>
  <si>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</si>
  <si>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</si>
  <si>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</si>
  <si>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</si>
  <si>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</si>
  <si>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</si>
  <si>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</si>
  <si>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</si>
  <si>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</si>
  <si>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</si>
  <si>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</si>
  <si>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</si>
  <si>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</si>
  <si>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</si>
  <si>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</si>
  <si>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</si>
  <si>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</si>
  <si>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</si>
  <si>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</si>
  <si>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</si>
  <si>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</si>
  <si>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</si>
  <si>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</si>
  <si>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</si>
  <si>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</si>
  <si>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</si>
  <si>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</si>
  <si>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</si>
  <si>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</si>
  <si>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</si>
  <si>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</si>
  <si>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</si>
  <si>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</si>
  <si>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</si>
  <si>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</si>
  <si>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</si>
  <si>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</si>
  <si>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</si>
  <si>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</si>
  <si>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</si>
  <si>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</si>
  <si>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</si>
  <si>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</si>
  <si>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</si>
  <si>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</si>
  <si>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</si>
  <si>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</si>
  <si>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</si>
  <si>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</si>
  <si>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</si>
  <si>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</si>
  <si>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</si>
  <si>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</si>
  <si>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</si>
  <si>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</si>
  <si>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</si>
  <si>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</si>
  <si>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</si>
  <si>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</si>
  <si>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</si>
  <si>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</si>
  <si>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</si>
  <si>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</si>
  <si>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</si>
  <si>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</si>
  <si>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</si>
  <si>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</si>
  <si>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</si>
  <si>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</si>
  <si>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</si>
  <si>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</si>
  <si>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</si>
  <si>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</si>
  <si>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</si>
  <si>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</si>
  <si>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</si>
  <si>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</si>
  <si>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</si>
  <si>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</si>
  <si>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</si>
  <si>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</si>
  <si>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</si>
  <si>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</si>
  <si>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</si>
  <si>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</si>
  <si>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</si>
  <si>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</si>
  <si>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</si>
  <si>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</si>
  <si>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</si>
  <si>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</si>
  <si>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</si>
  <si>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</si>
  <si>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</si>
  <si>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</si>
  <si>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</si>
  <si>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</si>
  <si>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</si>
  <si>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</si>
  <si>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</si>
  <si>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</si>
  <si>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</si>
  <si>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</si>
  <si>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</si>
  <si>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</si>
  <si>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</si>
  <si>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</si>
  <si>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</si>
  <si>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</si>
  <si>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</si>
  <si>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</si>
  <si>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</si>
  <si>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</si>
  <si>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</si>
  <si>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</si>
  <si>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</si>
  <si>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</si>
  <si>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</si>
  <si>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</si>
  <si>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</si>
  <si>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</si>
  <si>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</si>
  <si>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</si>
  <si>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</si>
  <si>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</si>
  <si>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</si>
  <si>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</si>
  <si>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</si>
  <si>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</si>
  <si>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</si>
  <si>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</si>
  <si>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</si>
  <si>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</si>
  <si>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</si>
  <si>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</si>
  <si>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</si>
  <si>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</si>
  <si>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</si>
  <si>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</si>
  <si>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</si>
  <si>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</si>
  <si>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</si>
  <si>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</si>
  <si>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</si>
  <si>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</si>
  <si>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</si>
  <si>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</si>
  <si>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</si>
  <si>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</si>
  <si>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</si>
  <si>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</si>
  <si>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</si>
  <si>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</si>
  <si>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</si>
  <si>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</si>
  <si>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</si>
  <si>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</si>
  <si>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</si>
  <si>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</si>
  <si>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</si>
  <si>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</si>
  <si>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</si>
  <si>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</si>
  <si>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</si>
  <si>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</si>
  <si>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</si>
  <si>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</si>
  <si>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</si>
  <si>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</si>
  <si>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</si>
  <si>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</si>
  <si>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</si>
  <si>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</si>
  <si>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</si>
  <si>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</si>
  <si>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</si>
  <si>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</si>
  <si>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</si>
  <si>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</si>
  <si>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</si>
  <si>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</si>
  <si>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</si>
  <si>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</si>
  <si>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</si>
  <si>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</si>
  <si>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</si>
  <si>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</si>
  <si>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</si>
  <si>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</si>
  <si>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</si>
  <si>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</si>
  <si>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</si>
  <si>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</si>
  <si>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</si>
  <si>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</si>
  <si>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</si>
  <si>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</si>
  <si>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</si>
  <si>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</si>
  <si>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</si>
  <si>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</si>
  <si>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</si>
  <si>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</si>
  <si>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</si>
  <si>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</si>
  <si>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</si>
  <si>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</si>
  <si>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</si>
  <si>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</si>
  <si>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</si>
  <si>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</si>
  <si>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</si>
  <si>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</si>
  <si>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</si>
  <si>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</si>
  <si>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</si>
  <si>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</si>
  <si>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</si>
  <si>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</si>
  <si>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</si>
  <si>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</si>
  <si>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</si>
  <si>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</si>
  <si>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</si>
  <si>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</si>
  <si>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</si>
  <si>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</si>
  <si>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</si>
  <si>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</si>
  <si>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</si>
  <si>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</si>
  <si>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</si>
  <si>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</si>
  <si>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</si>
  <si>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</si>
  <si>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</si>
  <si>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</si>
  <si>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</si>
  <si>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</si>
  <si>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</si>
  <si>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</si>
  <si>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</si>
  <si>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</si>
  <si>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</si>
  <si>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</si>
  <si>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</si>
  <si>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</si>
  <si>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</si>
  <si>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</si>
  <si>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</si>
  <si>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</si>
  <si>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</si>
  <si>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</si>
  <si>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</si>
  <si>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</si>
  <si>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</si>
  <si>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</si>
  <si>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</si>
  <si>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</si>
  <si>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</si>
  <si>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</si>
  <si>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</si>
  <si>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</si>
  <si>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</si>
  <si>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</si>
  <si>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</si>
  <si>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</si>
  <si>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</si>
  <si>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</si>
  <si>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</si>
  <si>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</si>
  <si>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</si>
  <si>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</si>
  <si>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</si>
  <si>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</si>
  <si>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</si>
  <si>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</si>
  <si>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</si>
  <si>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</si>
  <si>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</si>
  <si>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</si>
  <si>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</si>
  <si>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</si>
  <si>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</si>
  <si>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</si>
  <si>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</si>
  <si>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</si>
  <si>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</si>
  <si>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</si>
  <si>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</si>
  <si>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</si>
  <si>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</si>
  <si>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</si>
  <si>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</si>
  <si>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</si>
  <si>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</si>
  <si>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</si>
  <si>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</si>
  <si>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</si>
  <si>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</si>
  <si>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</si>
  <si>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</si>
  <si>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</si>
  <si>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</si>
  <si>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</si>
  <si>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</si>
  <si>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</si>
  <si>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</si>
  <si>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</si>
  <si>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</si>
  <si>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</si>
  <si>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</si>
  <si>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</si>
  <si>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</si>
  <si>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</si>
  <si>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</si>
  <si>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</si>
  <si>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</si>
  <si>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</si>
  <si>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</si>
  <si>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</si>
  <si>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</si>
  <si>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</si>
  <si>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</si>
  <si>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</si>
  <si>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</si>
  <si>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</si>
  <si>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</si>
  <si>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</si>
  <si>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</si>
  <si>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</si>
  <si>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</si>
  <si>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</si>
  <si>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</si>
  <si>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</si>
  <si>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</si>
  <si>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</si>
  <si>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18.07.2012</t>
  </si>
  <si>
    <t>ფულადი შემოწირულობა</t>
  </si>
  <si>
    <t>15</t>
  </si>
  <si>
    <t>9995</t>
  </si>
  <si>
    <t>ფოფხაძე</t>
  </si>
  <si>
    <t>ჩხიკვაძე</t>
  </si>
  <si>
    <t>მასალკინი</t>
  </si>
  <si>
    <t>ეთერი</t>
  </si>
  <si>
    <t>ნუგზარი</t>
  </si>
  <si>
    <t>გიორგი</t>
  </si>
  <si>
    <t>60001076535</t>
  </si>
  <si>
    <t>46001001558</t>
  </si>
  <si>
    <t>61001014180</t>
  </si>
  <si>
    <t>GE96TB0306336010300014</t>
  </si>
  <si>
    <t>GE17TB7762936010100005</t>
  </si>
  <si>
    <t>GE54BS0000000020336114</t>
  </si>
  <si>
    <t>თიბისი</t>
  </si>
  <si>
    <t>ბაზისბანკი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</si>
  <si>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</si>
  <si>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</si>
  <si>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</si>
  <si>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</si>
  <si>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</si>
  <si>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</si>
  <si>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</si>
  <si>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</si>
  <si>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</si>
  <si>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</si>
  <si>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</si>
  <si>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</si>
  <si>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</si>
  <si>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 xml:space="preserve">სხვა მოძრავი ქონების იჯარის ხარჯი (ვიდეო აუდიო აღჭურვილობა) 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</si>
  <si>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</si>
  <si>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</si>
  <si>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</si>
  <si>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</si>
  <si>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</si>
  <si>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</si>
  <si>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</si>
  <si>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</si>
  <si>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</si>
  <si>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</si>
  <si>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</si>
  <si>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</si>
  <si>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</si>
  <si>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</si>
  <si>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</si>
  <si>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</si>
  <si>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</si>
  <si>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</si>
  <si>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</si>
  <si>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</si>
  <si>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</si>
  <si>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</si>
  <si>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</si>
  <si>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</si>
  <si>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</si>
  <si>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</si>
  <si>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</si>
  <si>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</si>
  <si>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</si>
  <si>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</si>
  <si>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</si>
  <si>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</si>
  <si>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</si>
  <si>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</si>
  <si>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</si>
  <si>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</si>
  <si>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</si>
  <si>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</si>
  <si>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</si>
  <si>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</si>
  <si>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</si>
  <si>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</si>
  <si>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</si>
  <si>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</si>
  <si>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</si>
  <si>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</si>
  <si>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</si>
  <si>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</si>
  <si>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</si>
  <si>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</si>
  <si>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</si>
  <si>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</si>
  <si>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</si>
  <si>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</si>
  <si>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</si>
  <si>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</si>
  <si>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</si>
  <si>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</si>
  <si>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</si>
  <si>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</si>
  <si>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</si>
  <si>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</si>
  <si>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</si>
  <si>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</si>
  <si>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</si>
  <si>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</si>
  <si>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</si>
  <si>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</si>
  <si>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</si>
  <si>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</si>
  <si>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</si>
  <si>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</si>
  <si>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</si>
  <si>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</si>
  <si>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</si>
  <si>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</si>
  <si>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</si>
  <si>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</si>
  <si>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</si>
  <si>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</si>
  <si>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</si>
  <si>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</si>
  <si>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</si>
  <si>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</si>
  <si>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</si>
  <si>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</si>
  <si>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</si>
  <si>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</si>
  <si>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</si>
  <si>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</si>
  <si>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</si>
  <si>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</si>
  <si>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</si>
  <si>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</si>
  <si>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</si>
  <si>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</si>
  <si>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</si>
  <si>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</si>
  <si>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</si>
  <si>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</si>
  <si>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</si>
  <si>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</si>
  <si>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</si>
  <si>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</si>
  <si>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</si>
  <si>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</si>
  <si>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</si>
  <si>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</si>
  <si>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</si>
  <si>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</si>
  <si>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</si>
  <si>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</si>
  <si>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</si>
  <si>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</si>
  <si>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</si>
  <si>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</si>
  <si>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</si>
  <si>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</si>
  <si>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</si>
  <si>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</si>
  <si>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</si>
  <si>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</si>
  <si>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</si>
  <si>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</si>
  <si>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</si>
  <si>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</si>
  <si>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</si>
  <si>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</si>
  <si>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</si>
  <si>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</si>
  <si>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</si>
  <si>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</si>
  <si>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</si>
  <si>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</si>
  <si>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</si>
  <si>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</si>
  <si>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</si>
  <si>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</si>
  <si>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</si>
  <si>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</si>
  <si>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</si>
  <si>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</si>
  <si>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</si>
  <si>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</si>
  <si>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</si>
  <si>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</si>
  <si>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</si>
  <si>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</si>
  <si>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</si>
  <si>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</si>
  <si>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</si>
  <si>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</si>
  <si>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</si>
  <si>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</si>
  <si>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</si>
  <si>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</si>
  <si>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</si>
  <si>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ბაკურ მურმანაშვილი</t>
  </si>
  <si>
    <t>57001040643</t>
  </si>
  <si>
    <t>ლალი ჩაჩანიძე</t>
  </si>
  <si>
    <t>54001010533</t>
  </si>
  <si>
    <t>ამირან მექურიშვილი</t>
  </si>
  <si>
    <t>57001019178</t>
  </si>
  <si>
    <t>აკაკი ღონღაძე</t>
  </si>
  <si>
    <t>57001030160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</si>
  <si>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</si>
  <si>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</si>
  <si>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</si>
  <si>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</si>
  <si>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</si>
  <si>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</si>
  <si>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</si>
  <si>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</si>
  <si>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</si>
  <si>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</si>
  <si>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</si>
  <si>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</si>
  <si>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</si>
  <si>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</si>
  <si>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</si>
  <si>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</si>
  <si>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</si>
  <si>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</si>
  <si>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</si>
  <si>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</si>
  <si>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</si>
  <si>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</si>
  <si>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</si>
  <si>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</si>
  <si>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</si>
  <si>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</si>
  <si>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</si>
  <si>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</si>
  <si>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</si>
  <si>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</si>
  <si>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</si>
  <si>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</si>
  <si>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</si>
  <si>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</si>
  <si>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</si>
  <si>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</si>
  <si>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</si>
  <si>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</si>
  <si>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</si>
  <si>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</si>
  <si>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</si>
  <si>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</si>
  <si>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</si>
  <si>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</si>
  <si>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</si>
  <si>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</si>
  <si>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</si>
  <si>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</si>
  <si>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</si>
  <si>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</si>
  <si>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</si>
  <si>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</si>
  <si>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</si>
  <si>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</si>
  <si>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</si>
  <si>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</si>
  <si>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</si>
  <si>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</si>
  <si>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</si>
  <si>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</si>
  <si>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</si>
  <si>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</si>
  <si>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</si>
  <si>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</si>
  <si>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</si>
  <si>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</si>
  <si>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</si>
  <si>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</si>
  <si>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</si>
  <si>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</si>
  <si>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</si>
  <si>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</si>
  <si>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</si>
  <si>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</si>
  <si>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</si>
  <si>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</si>
  <si>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</si>
  <si>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</si>
  <si>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</si>
  <si>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</si>
  <si>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</si>
  <si>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</si>
  <si>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</si>
  <si>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</si>
  <si>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</si>
  <si>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</si>
  <si>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</si>
  <si>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</si>
  <si>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</si>
  <si>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</si>
  <si>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</si>
  <si>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</si>
  <si>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</si>
  <si>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</si>
  <si>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</si>
  <si>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</si>
  <si>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</si>
  <si>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</si>
  <si>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</si>
  <si>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</si>
  <si>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</si>
  <si>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</si>
  <si>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</si>
  <si>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</si>
  <si>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</si>
  <si>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</si>
  <si>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</si>
  <si>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</si>
  <si>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</si>
  <si>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</si>
  <si>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</si>
  <si>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</si>
  <si>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</si>
  <si>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ივერი კაპანაძე</t>
  </si>
  <si>
    <t>02001012485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</si>
  <si>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</si>
  <si>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</si>
  <si>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</si>
  <si>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</si>
  <si>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</si>
  <si>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</si>
  <si>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</si>
  <si>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</si>
  <si>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</si>
  <si>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</si>
  <si>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</si>
  <si>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</si>
  <si>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</si>
  <si>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</si>
  <si>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</si>
  <si>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</si>
  <si>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</si>
  <si>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</si>
  <si>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</si>
  <si>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</si>
  <si>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</si>
  <si>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</si>
  <si>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</si>
  <si>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</si>
  <si>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</si>
  <si>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</si>
  <si>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</si>
  <si>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</si>
  <si>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</si>
  <si>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</si>
  <si>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</si>
  <si>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</si>
  <si>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</si>
  <si>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</si>
  <si>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</si>
  <si>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</si>
  <si>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</si>
  <si>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</si>
  <si>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</si>
  <si>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</si>
  <si>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</si>
  <si>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</si>
  <si>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ბესიკ შენგელია</t>
  </si>
  <si>
    <t>48001004614</t>
  </si>
  <si>
    <t>ნანა გოგუა</t>
  </si>
  <si>
    <t>62001034643</t>
  </si>
  <si>
    <t>ირაკლი გულუა</t>
  </si>
  <si>
    <t>48001001702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</si>
  <si>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</si>
  <si>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</si>
  <si>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</si>
  <si>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</si>
  <si>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</si>
  <si>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</si>
  <si>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</si>
  <si>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</si>
  <si>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</si>
  <si>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</si>
  <si>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</si>
  <si>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</si>
  <si>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</si>
  <si>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</si>
  <si>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</si>
  <si>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</si>
  <si>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</si>
  <si>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</si>
  <si>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</si>
  <si>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</si>
  <si>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</si>
  <si>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</si>
  <si>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</si>
  <si>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</si>
  <si>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</si>
  <si>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</si>
  <si>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</si>
  <si>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</si>
  <si>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</si>
  <si>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</si>
  <si>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</si>
  <si>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</si>
  <si>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</si>
  <si>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</si>
  <si>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</si>
  <si>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</si>
  <si>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</si>
  <si>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</si>
  <si>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</si>
  <si>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</si>
  <si>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</si>
  <si>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</si>
  <si>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</si>
  <si>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</si>
  <si>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</si>
  <si>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</si>
  <si>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</si>
  <si>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</si>
  <si>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</si>
  <si>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</si>
  <si>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</si>
  <si>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</si>
  <si>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</si>
  <si>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</si>
  <si>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</si>
  <si>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</si>
  <si>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</si>
  <si>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</si>
  <si>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</si>
  <si>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</si>
  <si>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</si>
  <si>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</si>
  <si>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</si>
  <si>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</si>
  <si>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</si>
  <si>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</si>
  <si>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</si>
  <si>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</si>
  <si>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</si>
  <si>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</si>
  <si>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</si>
  <si>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</si>
  <si>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</si>
  <si>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</si>
  <si>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</si>
  <si>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</si>
  <si>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</si>
  <si>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</si>
  <si>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</si>
  <si>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</si>
  <si>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</si>
  <si>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</si>
  <si>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</si>
  <si>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</si>
  <si>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</si>
  <si>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</si>
  <si>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</si>
  <si>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</si>
  <si>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</si>
  <si>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</si>
  <si>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</si>
  <si>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</si>
  <si>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</si>
  <si>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</si>
  <si>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</si>
  <si>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</si>
  <si>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</si>
  <si>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</si>
  <si>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</si>
  <si>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</si>
  <si>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</si>
  <si>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</si>
  <si>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</si>
  <si>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</si>
  <si>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</si>
  <si>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</si>
  <si>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</si>
  <si>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</si>
  <si>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</si>
  <si>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</si>
  <si>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</si>
  <si>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</si>
  <si>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</si>
  <si>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</si>
  <si>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</si>
  <si>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</si>
  <si>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</si>
  <si>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</si>
  <si>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</si>
  <si>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</si>
  <si>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</si>
  <si>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</si>
  <si>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</si>
  <si>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</si>
  <si>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</si>
  <si>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</si>
  <si>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</si>
  <si>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</si>
  <si>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</si>
  <si>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</si>
  <si>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</si>
  <si>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</si>
  <si>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</si>
  <si>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</si>
  <si>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</si>
  <si>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</si>
  <si>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</si>
  <si>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</si>
  <si>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</si>
  <si>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</si>
  <si>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</si>
  <si>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</si>
  <si>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</si>
  <si>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</si>
  <si>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</si>
  <si>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</si>
  <si>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</si>
  <si>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</si>
  <si>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</si>
  <si>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</si>
  <si>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</si>
  <si>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</si>
  <si>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</si>
  <si>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</si>
  <si>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</si>
  <si>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</si>
  <si>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</si>
  <si>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</si>
  <si>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</si>
  <si>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</si>
  <si>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</si>
  <si>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</si>
  <si>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</si>
  <si>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</si>
  <si>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</si>
  <si>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</si>
  <si>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</si>
  <si>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</si>
  <si>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</si>
  <si>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</si>
  <si>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</si>
  <si>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</si>
  <si>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</si>
  <si>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</si>
  <si>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</si>
  <si>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</si>
  <si>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</si>
  <si>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</si>
  <si>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</si>
  <si>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</si>
  <si>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</si>
  <si>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</si>
  <si>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</si>
  <si>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</si>
  <si>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</si>
  <si>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</si>
  <si>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</si>
  <si>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</si>
  <si>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</si>
  <si>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</si>
  <si>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</si>
  <si>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</si>
  <si>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</si>
  <si>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</si>
  <si>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</si>
  <si>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</si>
  <si>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</si>
  <si>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</si>
  <si>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</si>
  <si>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</si>
  <si>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</si>
  <si>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</si>
  <si>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</si>
  <si>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</si>
  <si>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</si>
  <si>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</si>
  <si>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</si>
  <si>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</si>
  <si>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</si>
  <si>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</si>
  <si>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</si>
  <si>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</si>
  <si>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</si>
  <si>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</si>
  <si>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</si>
  <si>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</si>
  <si>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</si>
  <si>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</si>
  <si>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</si>
  <si>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</si>
  <si>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</si>
  <si>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</si>
  <si>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</si>
  <si>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</si>
  <si>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</si>
  <si>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</si>
  <si>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</si>
  <si>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</si>
  <si>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</si>
  <si>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</si>
  <si>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</si>
  <si>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</si>
  <si>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</si>
  <si>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</si>
  <si>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</si>
  <si>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</si>
  <si>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</si>
  <si>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</si>
  <si>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</si>
  <si>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</si>
  <si>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</si>
  <si>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</si>
  <si>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</si>
  <si>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</si>
  <si>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</si>
  <si>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</si>
  <si>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</si>
  <si>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</si>
  <si>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</si>
  <si>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</si>
  <si>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</si>
  <si>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</si>
  <si>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</si>
  <si>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</si>
  <si>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</si>
  <si>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</si>
  <si>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</si>
  <si>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</si>
  <si>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</si>
  <si>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</si>
  <si>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</si>
  <si>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</si>
  <si>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</si>
  <si>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</si>
  <si>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</si>
  <si>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</si>
  <si>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</si>
  <si>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</si>
  <si>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</si>
  <si>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</si>
  <si>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</si>
  <si>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</si>
  <si>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</si>
  <si>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</si>
  <si>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</si>
  <si>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</si>
  <si>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</si>
  <si>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</si>
  <si>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</si>
  <si>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</si>
  <si>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</si>
  <si>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</si>
  <si>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</si>
  <si>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</si>
  <si>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</si>
  <si>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</si>
  <si>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</si>
  <si>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</si>
  <si>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</si>
  <si>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</si>
  <si>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</si>
  <si>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</si>
  <si>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</si>
  <si>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</si>
  <si>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</si>
  <si>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</si>
  <si>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</si>
  <si>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</si>
  <si>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</si>
  <si>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</si>
  <si>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</si>
  <si>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</si>
  <si>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</si>
  <si>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</si>
  <si>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</si>
  <si>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</si>
  <si>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</si>
  <si>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</si>
  <si>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</si>
  <si>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</si>
  <si>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</si>
  <si>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</si>
  <si>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</si>
  <si>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</si>
  <si>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</si>
  <si>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</si>
  <si>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</si>
  <si>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</si>
  <si>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</si>
  <si>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</si>
  <si>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</si>
  <si>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</si>
  <si>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</si>
  <si>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</si>
  <si>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</si>
  <si>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</si>
  <si>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</si>
  <si>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</si>
  <si>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</si>
  <si>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</si>
  <si>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</si>
  <si>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</si>
  <si>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</si>
  <si>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</si>
  <si>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</si>
  <si>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</si>
  <si>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</si>
  <si>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</si>
  <si>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</si>
  <si>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</si>
  <si>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</si>
  <si>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</si>
  <si>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</si>
  <si>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</si>
  <si>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</si>
  <si>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</si>
  <si>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</si>
  <si>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</si>
  <si>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</si>
  <si>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</si>
  <si>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</si>
  <si>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</si>
  <si>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</si>
  <si>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</si>
  <si>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</si>
  <si>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</si>
  <si>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</si>
  <si>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</si>
  <si>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</si>
  <si>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</si>
  <si>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</si>
  <si>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</si>
  <si>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</si>
  <si>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</si>
  <si>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</si>
  <si>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</si>
  <si>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</si>
  <si>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</si>
  <si>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</si>
  <si>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</si>
  <si>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</si>
  <si>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</si>
  <si>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</si>
  <si>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</si>
  <si>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</si>
  <si>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</si>
  <si>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</si>
  <si>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</si>
  <si>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</si>
  <si>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</si>
  <si>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</si>
  <si>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</si>
  <si>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</si>
  <si>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</si>
  <si>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</si>
  <si>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</si>
  <si>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</si>
  <si>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</si>
  <si>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</si>
  <si>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</si>
  <si>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</si>
  <si>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</si>
  <si>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</si>
  <si>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</si>
  <si>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</si>
  <si>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</si>
  <si>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</si>
  <si>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</si>
  <si>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</si>
  <si>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</si>
  <si>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</si>
  <si>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</si>
  <si>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</si>
  <si>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</si>
  <si>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</si>
  <si>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</si>
  <si>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</si>
  <si>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</si>
  <si>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</si>
  <si>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</si>
  <si>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</si>
  <si>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</si>
  <si>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</si>
  <si>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</si>
  <si>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</si>
  <si>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</si>
  <si>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</si>
  <si>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</si>
  <si>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</si>
  <si>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</si>
  <si>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</si>
  <si>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</si>
  <si>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</si>
  <si>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</si>
  <si>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</si>
  <si>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</si>
  <si>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</si>
  <si>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</si>
  <si>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</si>
  <si>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</si>
  <si>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</si>
  <si>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</si>
  <si>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</si>
  <si>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</si>
  <si>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</si>
  <si>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</si>
  <si>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</si>
  <si>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</si>
  <si>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</si>
  <si>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</si>
  <si>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</si>
  <si>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</si>
  <si>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</si>
  <si>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</si>
  <si>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</si>
  <si>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</si>
  <si>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</si>
  <si>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</si>
  <si>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</si>
  <si>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</si>
  <si>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</si>
  <si>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</si>
  <si>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</si>
  <si>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</si>
  <si>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</si>
  <si>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</si>
  <si>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</si>
  <si>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</si>
  <si>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</si>
  <si>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</si>
  <si>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</si>
  <si>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</si>
  <si>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</si>
  <si>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</si>
  <si>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</si>
  <si>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</si>
  <si>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</si>
  <si>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</si>
  <si>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</si>
  <si>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</si>
  <si>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</si>
  <si>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</si>
  <si>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</si>
  <si>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</si>
  <si>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</si>
  <si>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</si>
  <si>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</si>
  <si>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</si>
  <si>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</si>
  <si>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</si>
  <si>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</si>
  <si>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</si>
  <si>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</si>
  <si>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</si>
  <si>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</si>
  <si>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</si>
  <si>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</si>
  <si>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</si>
  <si>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</si>
  <si>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</si>
  <si>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</si>
  <si>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</si>
  <si>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</si>
  <si>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</si>
  <si>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</si>
  <si>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</si>
  <si>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</si>
  <si>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</si>
  <si>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</si>
  <si>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</si>
  <si>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</si>
  <si>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</si>
  <si>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</si>
  <si>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</si>
  <si>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</si>
  <si>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</si>
  <si>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</si>
  <si>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</si>
  <si>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</si>
  <si>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</si>
  <si>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</si>
  <si>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</si>
  <si>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</si>
  <si>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</si>
  <si>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</si>
  <si>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</si>
  <si>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</si>
  <si>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</si>
  <si>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</si>
  <si>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</si>
  <si>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</si>
  <si>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</si>
  <si>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</si>
  <si>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</si>
  <si>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</si>
  <si>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</si>
  <si>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</si>
  <si>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</si>
  <si>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</si>
  <si>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</si>
  <si>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</si>
  <si>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</si>
  <si>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</si>
  <si>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</si>
  <si>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</si>
  <si>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</si>
  <si>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</si>
  <si>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</si>
  <si>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</si>
  <si>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</si>
  <si>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</si>
  <si>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</si>
  <si>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</si>
  <si>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</si>
  <si>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</si>
  <si>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</si>
  <si>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</si>
  <si>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</si>
  <si>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</si>
  <si>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</si>
  <si>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</si>
  <si>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</si>
  <si>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</si>
  <si>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</si>
  <si>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</si>
  <si>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</si>
  <si>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</si>
  <si>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</si>
  <si>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</si>
  <si>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</si>
  <si>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</si>
  <si>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</si>
  <si>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</si>
  <si>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</si>
  <si>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</si>
  <si>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</si>
  <si>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</si>
  <si>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</si>
  <si>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</si>
  <si>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</si>
  <si>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</si>
  <si>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</si>
  <si>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</si>
  <si>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</si>
  <si>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</si>
  <si>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</si>
  <si>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</si>
  <si>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</si>
  <si>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</si>
  <si>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</si>
  <si>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</si>
  <si>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</si>
  <si>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</si>
  <si>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</si>
  <si>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</si>
  <si>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</si>
  <si>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</si>
  <si>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</si>
  <si>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</si>
  <si>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</si>
  <si>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</si>
  <si>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</si>
  <si>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</si>
  <si>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</si>
  <si>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</si>
  <si>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</si>
  <si>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</si>
  <si>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</si>
  <si>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</si>
  <si>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</si>
  <si>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</si>
  <si>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</si>
  <si>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</si>
  <si>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</si>
  <si>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</si>
  <si>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</si>
  <si>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</si>
  <si>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</si>
  <si>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</si>
  <si>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</si>
  <si>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</si>
  <si>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</si>
  <si>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</si>
  <si>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</si>
  <si>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</si>
  <si>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</si>
  <si>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</si>
  <si>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</si>
  <si>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</si>
  <si>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</si>
  <si>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</si>
  <si>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</si>
  <si>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</si>
  <si>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</si>
  <si>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</si>
  <si>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</si>
  <si>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</si>
  <si>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</si>
  <si>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</si>
  <si>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</si>
  <si>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</si>
  <si>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</si>
  <si>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</si>
  <si>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</si>
  <si>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</si>
  <si>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</si>
  <si>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</si>
  <si>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</si>
  <si>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</si>
  <si>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</si>
  <si>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</si>
  <si>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</si>
  <si>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</si>
  <si>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</si>
  <si>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</si>
  <si>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</si>
  <si>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</si>
  <si>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</si>
  <si>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</si>
  <si>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</si>
  <si>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</si>
  <si>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</si>
  <si>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</si>
  <si>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</si>
  <si>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</si>
  <si>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</si>
  <si>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</si>
  <si>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</si>
  <si>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</si>
  <si>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</si>
  <si>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</si>
  <si>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</si>
  <si>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</si>
  <si>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</si>
  <si>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</si>
  <si>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</si>
  <si>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</si>
  <si>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</si>
  <si>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</si>
  <si>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</si>
  <si>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</si>
  <si>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</si>
  <si>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</si>
  <si>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</si>
  <si>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</si>
  <si>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</si>
  <si>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</si>
  <si>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</si>
  <si>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</si>
  <si>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</si>
  <si>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</si>
  <si>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</si>
  <si>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</si>
  <si>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</si>
  <si>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</si>
  <si>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</si>
  <si>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</si>
  <si>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</si>
  <si>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</si>
  <si>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</si>
  <si>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</si>
  <si>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</si>
  <si>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</si>
  <si>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</si>
  <si>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</si>
  <si>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</si>
  <si>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</si>
  <si>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</si>
  <si>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</si>
  <si>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</si>
  <si>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</si>
  <si>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</si>
  <si>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</si>
  <si>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</si>
  <si>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</si>
  <si>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</si>
  <si>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</si>
  <si>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</si>
  <si>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</si>
  <si>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</si>
  <si>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</si>
  <si>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</si>
  <si>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</si>
  <si>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</si>
  <si>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</si>
  <si>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</si>
  <si>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</si>
  <si>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</si>
  <si>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</si>
  <si>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</si>
  <si>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</si>
  <si>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</si>
  <si>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</si>
  <si>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</si>
  <si>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</si>
  <si>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</si>
  <si>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</si>
  <si>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ლანა სამინავა</t>
  </si>
  <si>
    <t>39001033004</t>
  </si>
  <si>
    <t>ამირან შურღაია</t>
  </si>
  <si>
    <t>39001019784</t>
  </si>
  <si>
    <t>ეკატერინა კილასონია</t>
  </si>
  <si>
    <t>39001026571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</si>
  <si>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</si>
  <si>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</si>
  <si>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</si>
  <si>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</si>
  <si>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</si>
  <si>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</si>
  <si>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</si>
  <si>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</si>
  <si>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მარინე ბურჭულაძე</t>
  </si>
  <si>
    <t>33001071181</t>
  </si>
  <si>
    <t>ნატო მიმინოშვილი</t>
  </si>
  <si>
    <t>33001065079</t>
  </si>
  <si>
    <t>გერმანი მდინარაძე</t>
  </si>
  <si>
    <t>33001034316</t>
  </si>
  <si>
    <t>ირინა მდინარაძე</t>
  </si>
  <si>
    <t>33001069854</t>
  </si>
  <si>
    <t>მარინა ჩხაიძე</t>
  </si>
  <si>
    <t>33002061637</t>
  </si>
  <si>
    <t>ამირან ბაქანიძე</t>
  </si>
  <si>
    <t>33001018141</t>
  </si>
  <si>
    <t>ალფესი ჯოხაძე</t>
  </si>
  <si>
    <t>33001062896</t>
  </si>
  <si>
    <t>გინატრე ქერქაძე</t>
  </si>
  <si>
    <t>33001071486</t>
  </si>
  <si>
    <t>ბესიკ ჯახუტაშვილი</t>
  </si>
  <si>
    <t>33001006440</t>
  </si>
  <si>
    <t>ლიანა ჩხაიძე</t>
  </si>
  <si>
    <t>33001052938</t>
  </si>
  <si>
    <t>ალექსანდრე ჩახვაძე</t>
  </si>
  <si>
    <t>33001035448</t>
  </si>
  <si>
    <t>თეა ცხომელიძე</t>
  </si>
  <si>
    <t>33001021692</t>
  </si>
  <si>
    <t>თეონა თავაძე</t>
  </si>
  <si>
    <t>33001056190</t>
  </si>
  <si>
    <t>რევაზ ფუტკარაძე</t>
  </si>
  <si>
    <t>33001007322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</si>
  <si>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</si>
  <si>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</si>
  <si>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</si>
  <si>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</si>
  <si>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</si>
  <si>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</si>
  <si>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</si>
  <si>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</si>
  <si>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</si>
  <si>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</si>
  <si>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</si>
  <si>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</si>
  <si>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</si>
  <si>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</si>
  <si>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</si>
  <si>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</si>
  <si>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კესო კობაიძე</t>
  </si>
  <si>
    <t>44001002959</t>
  </si>
  <si>
    <t>შორენა ასაბაშვილი</t>
  </si>
  <si>
    <t>01014002630</t>
  </si>
  <si>
    <t>ნანი კვარაცხეელი</t>
  </si>
  <si>
    <t>60001044085</t>
  </si>
  <si>
    <t>დიანა კარაპეტიანი</t>
  </si>
  <si>
    <t>01011071827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</si>
  <si>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</si>
  <si>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</si>
  <si>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</si>
  <si>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</si>
  <si>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</si>
  <si>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</si>
  <si>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მაია ხუროძე</t>
  </si>
  <si>
    <t>29001221399</t>
  </si>
  <si>
    <t>რუზაანა მკრტიჩიანი</t>
  </si>
  <si>
    <t>01011031774</t>
  </si>
  <si>
    <t>სოფიო ალიბეგაშვილი</t>
  </si>
  <si>
    <t>60001053702</t>
  </si>
  <si>
    <t>ნინო მამაცაშვილი</t>
  </si>
  <si>
    <t>38001021630</t>
  </si>
  <si>
    <t>გიორგი კვირკველია</t>
  </si>
  <si>
    <t>01001104789</t>
  </si>
  <si>
    <t>ეკატერინე დვალიშვილი</t>
  </si>
  <si>
    <t>54001040675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</si>
  <si>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</si>
  <si>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</si>
  <si>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</si>
  <si>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</si>
  <si>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</si>
  <si>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</si>
  <si>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</si>
  <si>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</si>
  <si>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</si>
  <si>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</si>
  <si>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</si>
  <si>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</si>
  <si>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ქეთევან კვინიკაძე</t>
  </si>
  <si>
    <t>43001008559</t>
  </si>
  <si>
    <t>ზაურ გოგოლაძე</t>
  </si>
  <si>
    <t>01027011924</t>
  </si>
  <si>
    <t>თინათინ ქიზიყურაშილი</t>
  </si>
  <si>
    <t>01011075007</t>
  </si>
  <si>
    <t>თამილა თოქმაძე</t>
  </si>
  <si>
    <t>01010020045</t>
  </si>
  <si>
    <t>მაკა თაბაგარი</t>
  </si>
  <si>
    <t>01003003148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</si>
  <si>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</si>
  <si>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</si>
  <si>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</si>
  <si>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</si>
  <si>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</si>
  <si>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გენო ხარძეიშვილი</t>
  </si>
  <si>
    <t>17001002186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</si>
  <si>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</si>
  <si>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</si>
  <si>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</si>
  <si>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</si>
  <si>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</si>
  <si>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</si>
  <si>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</si>
  <si>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</si>
  <si>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</si>
  <si>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</si>
  <si>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</si>
  <si>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</si>
  <si>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ნანული გვენეტაძე</t>
  </si>
  <si>
    <t>01012027318</t>
  </si>
  <si>
    <t>გიორგი მელიქაძე</t>
  </si>
  <si>
    <t>01011072533</t>
  </si>
  <si>
    <t>თორნიკე ტორაძე</t>
  </si>
  <si>
    <t>01211113702</t>
  </si>
  <si>
    <t>ნათელა ბეგიაშვილი</t>
  </si>
  <si>
    <t>40001023150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</si>
  <si>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</si>
  <si>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</si>
  <si>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</si>
  <si>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</si>
  <si>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</si>
  <si>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</si>
  <si>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</si>
  <si>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</si>
  <si>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</si>
  <si>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</si>
  <si>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</si>
  <si>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</si>
  <si>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</si>
  <si>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</si>
  <si>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</si>
  <si>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</si>
  <si>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</si>
  <si>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</si>
  <si>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</si>
  <si>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</si>
  <si>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</si>
  <si>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</si>
  <si>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</si>
  <si>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</si>
  <si>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</si>
  <si>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</si>
  <si>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</si>
  <si>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</si>
  <si>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</si>
  <si>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</si>
  <si>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</si>
  <si>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</si>
  <si>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</si>
  <si>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</si>
  <si>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</si>
  <si>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</si>
  <si>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</si>
  <si>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</si>
  <si>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</si>
  <si>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</si>
  <si>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</si>
  <si>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</si>
  <si>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</si>
  <si>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</si>
  <si>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</si>
  <si>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</si>
  <si>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</si>
  <si>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</si>
  <si>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</si>
  <si>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</si>
  <si>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</si>
  <si>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</si>
  <si>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</si>
  <si>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</si>
  <si>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</si>
  <si>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</si>
  <si>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</si>
  <si>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</si>
  <si>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</si>
  <si>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</si>
  <si>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</si>
  <si>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</si>
  <si>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</si>
  <si>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</si>
  <si>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</si>
  <si>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</si>
  <si>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</si>
  <si>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</si>
  <si>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</si>
  <si>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</si>
  <si>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</si>
  <si>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</si>
  <si>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</si>
  <si>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</si>
  <si>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</si>
  <si>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</si>
  <si>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</si>
  <si>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</si>
  <si>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</si>
  <si>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</si>
  <si>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</si>
  <si>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</si>
  <si>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</si>
  <si>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</si>
  <si>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</si>
  <si>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</si>
  <si>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</si>
  <si>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</si>
  <si>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</si>
  <si>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</si>
  <si>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</si>
  <si>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</si>
  <si>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</si>
  <si>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</si>
  <si>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</si>
  <si>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</si>
  <si>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</si>
  <si>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</si>
  <si>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</si>
  <si>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</si>
  <si>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</si>
  <si>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</si>
  <si>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</si>
  <si>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</si>
  <si>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</si>
  <si>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</si>
  <si>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</si>
  <si>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</si>
  <si>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</si>
  <si>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</si>
  <si>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</si>
  <si>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</si>
  <si>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</si>
  <si>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</si>
  <si>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</si>
  <si>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</si>
  <si>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</si>
  <si>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</si>
  <si>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</si>
  <si>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</si>
  <si>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</si>
  <si>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</si>
  <si>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</si>
  <si>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</si>
  <si>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</si>
  <si>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</si>
  <si>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</si>
  <si>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</si>
  <si>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</si>
  <si>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</si>
  <si>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</si>
  <si>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</si>
  <si>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</si>
  <si>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</si>
  <si>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</si>
  <si>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</si>
  <si>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</si>
  <si>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</si>
  <si>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</si>
  <si>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</si>
  <si>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</si>
  <si>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</si>
  <si>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</si>
  <si>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</si>
  <si>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</si>
  <si>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</si>
  <si>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</si>
  <si>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</si>
  <si>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</si>
  <si>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</si>
  <si>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</si>
  <si>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</si>
  <si>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</si>
  <si>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</si>
  <si>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</si>
  <si>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</si>
  <si>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</si>
  <si>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</si>
  <si>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</si>
  <si>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</si>
  <si>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</si>
  <si>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</si>
  <si>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</si>
  <si>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</si>
  <si>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</si>
  <si>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</si>
  <si>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</si>
  <si>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</si>
  <si>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</si>
  <si>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</si>
  <si>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</si>
  <si>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</si>
  <si>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</si>
  <si>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</si>
  <si>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</si>
  <si>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</si>
  <si>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</si>
  <si>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</si>
  <si>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</si>
  <si>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</si>
  <si>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</si>
  <si>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</si>
  <si>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</si>
  <si>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</si>
  <si>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</si>
  <si>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</si>
  <si>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</si>
  <si>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</si>
  <si>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</si>
  <si>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</si>
  <si>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</si>
  <si>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</si>
  <si>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</si>
  <si>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</si>
  <si>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</si>
  <si>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</si>
  <si>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</si>
  <si>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</si>
  <si>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</si>
  <si>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</si>
  <si>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</si>
  <si>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</si>
  <si>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</si>
  <si>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</si>
  <si>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</si>
  <si>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</si>
  <si>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</si>
  <si>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</si>
  <si>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</si>
  <si>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</si>
  <si>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</si>
  <si>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</si>
  <si>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</si>
  <si>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</si>
  <si>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</si>
  <si>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</si>
  <si>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</si>
  <si>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</si>
  <si>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</si>
  <si>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</si>
  <si>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</si>
  <si>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</si>
  <si>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</si>
  <si>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</si>
  <si>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</si>
  <si>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</si>
  <si>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</si>
  <si>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</si>
  <si>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</si>
  <si>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</si>
  <si>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</si>
  <si>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</si>
  <si>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</si>
  <si>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</si>
  <si>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</si>
  <si>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</si>
  <si>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</si>
  <si>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</si>
  <si>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</si>
  <si>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</si>
  <si>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</si>
  <si>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</si>
  <si>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</si>
  <si>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</si>
  <si>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</si>
  <si>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</si>
  <si>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</si>
  <si>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</si>
  <si>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</si>
  <si>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</si>
  <si>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</si>
  <si>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</si>
  <si>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</si>
  <si>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</si>
  <si>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</si>
  <si>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</si>
  <si>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</si>
  <si>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</si>
  <si>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</si>
  <si>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</si>
  <si>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</si>
  <si>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</si>
  <si>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</si>
  <si>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</si>
  <si>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</si>
  <si>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</si>
  <si>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</si>
  <si>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</si>
  <si>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</si>
  <si>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</si>
  <si>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</si>
  <si>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</si>
  <si>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</si>
  <si>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</si>
  <si>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</si>
  <si>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</si>
  <si>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</si>
  <si>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</si>
  <si>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</si>
  <si>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</si>
  <si>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</si>
  <si>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</si>
  <si>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</si>
  <si>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</si>
  <si>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</si>
  <si>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</si>
  <si>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</si>
  <si>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</si>
  <si>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</si>
  <si>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</si>
  <si>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</si>
  <si>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</si>
  <si>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</si>
  <si>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</si>
  <si>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</si>
  <si>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</si>
  <si>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</si>
  <si>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</si>
  <si>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</si>
  <si>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</si>
  <si>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</si>
  <si>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</si>
  <si>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</si>
  <si>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</si>
  <si>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</si>
  <si>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</si>
  <si>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</si>
  <si>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</si>
  <si>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</si>
  <si>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</si>
  <si>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</si>
  <si>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</si>
  <si>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</si>
  <si>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</si>
  <si>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</si>
  <si>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</si>
  <si>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</si>
  <si>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</si>
  <si>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</si>
  <si>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</si>
  <si>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</si>
  <si>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</si>
  <si>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</si>
  <si>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</si>
  <si>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</si>
  <si>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</si>
  <si>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</si>
  <si>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</si>
  <si>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</si>
  <si>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</si>
  <si>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</si>
  <si>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</si>
  <si>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</si>
  <si>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</si>
  <si>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</si>
  <si>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</si>
  <si>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</si>
  <si>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</si>
  <si>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</si>
  <si>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</si>
  <si>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</si>
  <si>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</si>
  <si>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</si>
  <si>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</si>
  <si>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</si>
  <si>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</si>
  <si>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</si>
  <si>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</si>
  <si>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</si>
  <si>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</si>
  <si>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</si>
  <si>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</si>
  <si>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</si>
  <si>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</si>
  <si>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</si>
  <si>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</si>
  <si>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</si>
  <si>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</si>
  <si>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</si>
  <si>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</si>
  <si>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</si>
  <si>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</si>
  <si>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</si>
  <si>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</si>
  <si>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</si>
  <si>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</si>
  <si>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</si>
  <si>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</si>
  <si>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</si>
  <si>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</si>
  <si>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</si>
  <si>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</si>
  <si>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</si>
  <si>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</si>
  <si>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</si>
  <si>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</si>
  <si>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</si>
  <si>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</si>
  <si>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</si>
  <si>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</si>
  <si>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</si>
  <si>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</si>
  <si>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</si>
  <si>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</si>
  <si>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</si>
  <si>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</si>
  <si>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</si>
  <si>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</si>
  <si>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</si>
  <si>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</si>
  <si>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</si>
  <si>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</si>
  <si>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</si>
  <si>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</si>
  <si>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</si>
  <si>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</si>
  <si>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</si>
  <si>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</si>
  <si>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</si>
  <si>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</si>
  <si>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</si>
  <si>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</si>
  <si>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</si>
  <si>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</si>
  <si>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</si>
  <si>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</si>
  <si>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</si>
  <si>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</si>
  <si>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</si>
  <si>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</si>
  <si>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</si>
  <si>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</si>
  <si>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</si>
  <si>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</si>
  <si>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</si>
  <si>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</si>
  <si>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</si>
  <si>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</si>
  <si>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</si>
  <si>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</si>
  <si>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</si>
  <si>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</si>
  <si>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</si>
  <si>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</si>
  <si>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</si>
  <si>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</si>
  <si>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</si>
  <si>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</si>
  <si>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</si>
  <si>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</si>
  <si>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</si>
  <si>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</si>
  <si>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</si>
  <si>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</si>
  <si>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</si>
  <si>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</si>
  <si>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</si>
  <si>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</si>
  <si>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</si>
  <si>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</si>
  <si>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</si>
  <si>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</si>
  <si>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</si>
  <si>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</si>
  <si>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</si>
  <si>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</si>
  <si>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</si>
  <si>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</si>
  <si>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</si>
  <si>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</si>
  <si>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</si>
  <si>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</si>
  <si>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</si>
  <si>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</si>
  <si>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</si>
  <si>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</si>
  <si>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</si>
  <si>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</si>
  <si>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</si>
  <si>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</si>
  <si>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</si>
  <si>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</si>
  <si>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</si>
  <si>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</si>
  <si>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</si>
  <si>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</si>
  <si>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</si>
  <si>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</si>
  <si>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</si>
  <si>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</si>
  <si>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</si>
  <si>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</si>
  <si>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</si>
  <si>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</si>
  <si>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</si>
  <si>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</si>
  <si>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</si>
  <si>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</si>
  <si>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</si>
  <si>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</si>
  <si>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</si>
  <si>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</si>
  <si>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</si>
  <si>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</si>
  <si>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</si>
  <si>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</si>
  <si>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</si>
  <si>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</si>
  <si>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</si>
  <si>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</si>
  <si>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</si>
  <si>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</si>
  <si>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</si>
  <si>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</si>
  <si>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</si>
  <si>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</si>
  <si>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</si>
  <si>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</si>
  <si>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</si>
  <si>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</si>
  <si>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</si>
  <si>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</si>
  <si>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</si>
  <si>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</si>
  <si>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</si>
  <si>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</si>
  <si>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</si>
  <si>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</si>
  <si>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</si>
  <si>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</si>
  <si>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</si>
  <si>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</si>
  <si>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"ვიდეოსკოპი"</t>
  </si>
  <si>
    <t>205282905</t>
  </si>
  <si>
    <t>ვედიოტექნიკური სერვისით უზრუნველყოფა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</si>
  <si>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</si>
  <si>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</si>
  <si>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</si>
  <si>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</si>
  <si>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</si>
  <si>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ბურჯი</t>
  </si>
  <si>
    <t>204973742</t>
  </si>
  <si>
    <t xml:space="preserve">სატრანსპორტო მომსახურება </t>
  </si>
  <si>
    <t>შპს ელიტა ბურჯი</t>
  </si>
  <si>
    <t>206120437</t>
  </si>
  <si>
    <t xml:space="preserve">ავეჯის მოწოდება </t>
  </si>
  <si>
    <t xml:space="preserve">სარეკლამო მომსახურება </t>
  </si>
  <si>
    <t>შპს მენეჯმენტ სერვისი</t>
  </si>
  <si>
    <t>205177057</t>
  </si>
  <si>
    <t>იჯარა</t>
  </si>
  <si>
    <t>შპს ქართული ოცნება</t>
  </si>
  <si>
    <t xml:space="preserve">მოწყობილობის იჯარა 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</si>
  <si>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</si>
  <si>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</si>
  <si>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</si>
  <si>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</si>
  <si>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</si>
  <si>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</si>
  <si>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</si>
  <si>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</si>
  <si>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</si>
  <si>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</si>
  <si>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</si>
  <si>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</si>
  <si>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</si>
  <si>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</si>
  <si>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</si>
  <si>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</si>
  <si>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</si>
  <si>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</si>
  <si>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</si>
  <si>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</si>
  <si>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</si>
  <si>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</si>
  <si>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</si>
  <si>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</si>
  <si>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</si>
  <si>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</si>
  <si>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ჩოხატაურის მაცნე</t>
  </si>
  <si>
    <t>241994142</t>
  </si>
  <si>
    <t>ჯიმი ჯანიაშვილი</t>
  </si>
  <si>
    <t>13001012968</t>
  </si>
  <si>
    <t>კახა მეგრელიძე</t>
  </si>
  <si>
    <t>46001001234</t>
  </si>
  <si>
    <t>გოჩა  დიდებაშვილი</t>
  </si>
  <si>
    <t>01028003961</t>
  </si>
  <si>
    <t>ვასილ ლობჯანიძე</t>
  </si>
  <si>
    <t>14001002770</t>
  </si>
  <si>
    <t>იოსებ დანელიშვილი</t>
  </si>
  <si>
    <t>01012008898</t>
  </si>
  <si>
    <t>გიორგი ისიანი</t>
  </si>
  <si>
    <t>60003003775</t>
  </si>
  <si>
    <t>შპს აი თი მასტერ</t>
  </si>
  <si>
    <t>404913821</t>
  </si>
  <si>
    <t xml:space="preserve">კომპიუტერული მომსახურება </t>
  </si>
  <si>
    <t>შპს ჯორჯიან მიკროსისტემს</t>
  </si>
  <si>
    <t>202268517</t>
  </si>
  <si>
    <t>სისტემა კოდექსის განაზლება</t>
  </si>
  <si>
    <t>2012წლის ივლისის თვის ოფისის იჯარა</t>
  </si>
  <si>
    <t>204891652</t>
  </si>
  <si>
    <t>იჯარა ივლისის თვის, ხელშეკრულება 01/06/2012</t>
  </si>
  <si>
    <t>შპს "მაესტრო"</t>
  </si>
  <si>
    <t>236080557</t>
  </si>
  <si>
    <t>განათავსა კოალიციის რეკლამა 01.07.12-31.07.2012</t>
  </si>
  <si>
    <t>შპს "კავკასია"</t>
  </si>
  <si>
    <t>203842823</t>
  </si>
  <si>
    <t>შპს "მეცხრე არხი"</t>
  </si>
  <si>
    <t>205150726</t>
  </si>
  <si>
    <t>მეცხრე არხის სატელივიზიო ეთერში</t>
  </si>
  <si>
    <t>შპს გამომცემლობა კოლორი</t>
  </si>
  <si>
    <t>208149859</t>
  </si>
  <si>
    <t>საგაზეთო გამოცემა "ქართული ოცნება"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</si>
  <si>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</si>
  <si>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</si>
  <si>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</si>
  <si>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</si>
  <si>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</si>
  <si>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</si>
  <si>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2.7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</si>
  <si>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</si>
  <si>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</si>
  <si>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ქ. რუსთავი, ტაშკენტის ქ. 5</t>
  </si>
  <si>
    <t>ოფისი</t>
  </si>
  <si>
    <t>8 თვე</t>
  </si>
  <si>
    <t>შპს „მენეჯმენტ სერვისი“</t>
  </si>
  <si>
    <t>ქ. თბილისი, მოსკოვის გამზ. 35</t>
  </si>
  <si>
    <t>ქ. წალენჯიხა, მებონიას ქ. 2</t>
  </si>
  <si>
    <t>7 თვე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</si>
  <si>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</si>
  <si>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</si>
  <si>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</si>
  <si>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</si>
  <si>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</si>
  <si>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</si>
  <si>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</si>
  <si>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</si>
  <si>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</si>
  <si>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01015006405</t>
  </si>
  <si>
    <t>გურამ</t>
  </si>
  <si>
    <t>ბერძენიშვილი</t>
  </si>
  <si>
    <t>ქ. თბილისი, ქ. წამებულის/ბოჭორმის 49/8</t>
  </si>
  <si>
    <t>01028000992</t>
  </si>
  <si>
    <t>ზურაბ</t>
  </si>
  <si>
    <t>როსტიაშვილი</t>
  </si>
  <si>
    <t>ქ. თბილისი, გრიგოლ რობაქიძის ქ. 7</t>
  </si>
  <si>
    <t>5,5 თვე</t>
  </si>
  <si>
    <t>01015018308</t>
  </si>
  <si>
    <t>ნანა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</si>
  <si>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</si>
  <si>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</si>
  <si>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</si>
  <si>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</si>
  <si>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</si>
  <si>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</si>
  <si>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ლევან</t>
  </si>
  <si>
    <t>კუხიანიძე</t>
  </si>
  <si>
    <t>ქ. თბილისი, ც. დადიანის ქ. 104</t>
  </si>
  <si>
    <t>0801278114</t>
  </si>
  <si>
    <t xml:space="preserve">მერაბ </t>
  </si>
  <si>
    <t>გველესიანი</t>
  </si>
  <si>
    <t>ქ. თბილისი, ხიზანიშვილის ქ. 41ა</t>
  </si>
  <si>
    <t>12 თვე</t>
  </si>
  <si>
    <t>01003001569</t>
  </si>
  <si>
    <t>მამუკა</t>
  </si>
  <si>
    <t>გურგენიძე</t>
  </si>
  <si>
    <t>ქ. საგარეჯო, ალაზნის ქ. 2</t>
  </si>
  <si>
    <t>36001033813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</si>
  <si>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</si>
  <si>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</si>
  <si>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</si>
  <si>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</si>
  <si>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</si>
  <si>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</si>
  <si>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</si>
  <si>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>01008040230</t>
  </si>
  <si>
    <t xml:space="preserve">ნაირა </t>
  </si>
  <si>
    <t>გელაშვილი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</si>
  <si>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</si>
  <si>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</si>
  <si>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</si>
  <si>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</si>
  <si>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</si>
  <si>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</si>
  <si>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ნინო</t>
  </si>
  <si>
    <t>მამაცაშვილი</t>
  </si>
  <si>
    <t>ქ. ყვარელი, მარჯანიშვილის ქ. 47</t>
  </si>
  <si>
    <t>45001006907</t>
  </si>
  <si>
    <t>თამარ</t>
  </si>
  <si>
    <t>ტორაძე</t>
  </si>
  <si>
    <t>ქ. თელავი, ილ. ჭავჭავაძის მოედანი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</si>
  <si>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</si>
  <si>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</si>
  <si>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</si>
  <si>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</si>
  <si>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</si>
  <si>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</si>
  <si>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41.00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</si>
  <si>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</si>
  <si>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</si>
  <si>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</si>
  <si>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</si>
  <si>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</si>
  <si>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</si>
  <si>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</si>
  <si>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</si>
  <si>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</si>
  <si>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</si>
  <si>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</si>
  <si>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მზია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</si>
  <si>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</si>
  <si>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</si>
  <si>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</si>
  <si>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</si>
  <si>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</si>
  <si>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</si>
  <si>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</si>
  <si>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</si>
  <si>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</si>
  <si>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</si>
  <si>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</si>
  <si>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</si>
  <si>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01008004397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</si>
  <si>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</si>
  <si>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</si>
  <si>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</si>
  <si>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</si>
  <si>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</si>
  <si>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</si>
  <si>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</si>
  <si>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</si>
  <si>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მანანა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</si>
  <si>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</si>
  <si>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</si>
  <si>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</si>
  <si>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</si>
  <si>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</si>
  <si>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</si>
  <si>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</si>
  <si>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</si>
  <si>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</si>
  <si>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</si>
  <si>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</si>
  <si>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</si>
  <si>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</si>
  <si>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</si>
  <si>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</si>
  <si>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</si>
  <si>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</si>
  <si>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</si>
  <si>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</si>
  <si>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</si>
  <si>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77.00</t>
  </si>
  <si>
    <t>01024031913</t>
  </si>
  <si>
    <t>მედეა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</si>
  <si>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</si>
  <si>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</si>
  <si>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</si>
  <si>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</si>
  <si>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</si>
  <si>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34001004461</t>
  </si>
  <si>
    <t>იოლანდა</t>
  </si>
  <si>
    <t>ჩაგელიშვილი</t>
  </si>
  <si>
    <t>ქ. ამბროლაური, კოსტავას ქ. 1</t>
  </si>
  <si>
    <t>04001002669</t>
  </si>
  <si>
    <t>ციცინო</t>
  </si>
  <si>
    <t>ნეფარიძე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</si>
  <si>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</si>
  <si>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</si>
  <si>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</si>
  <si>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</si>
  <si>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</si>
  <si>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</si>
  <si>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ნათელა</t>
  </si>
  <si>
    <t>ქურასბედიანი</t>
  </si>
  <si>
    <t>დაბა მესტია, თამარ მეფის ქ. 14</t>
  </si>
  <si>
    <t>62005023736</t>
  </si>
  <si>
    <t>ნინა</t>
  </si>
  <si>
    <t>ჯაფარიძე</t>
  </si>
  <si>
    <t>დაბა ხარაგაული, სოლომონ მეფის 21</t>
  </si>
  <si>
    <t>01018001780</t>
  </si>
  <si>
    <t>არევაძე-წერეთელი</t>
  </si>
  <si>
    <t>ქ. თერჯოლა, რუსთაველის ქ. 122</t>
  </si>
  <si>
    <t>21001011677</t>
  </si>
  <si>
    <t>გრიგოლ</t>
  </si>
  <si>
    <t>აბჟანდაძე</t>
  </si>
  <si>
    <t>ქ. საჩხერე, ს. დურმიშიძის ქ. 57/59</t>
  </si>
  <si>
    <t>38001000058</t>
  </si>
  <si>
    <t>თამაზ</t>
  </si>
  <si>
    <t>გოგოლიძე</t>
  </si>
  <si>
    <t>ქ. ზესტაფონი, ქუთაისის ქ. 1</t>
  </si>
  <si>
    <t>18001001854</t>
  </si>
  <si>
    <t>ლალი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</si>
  <si>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</si>
  <si>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</si>
  <si>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</si>
  <si>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</si>
  <si>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</si>
  <si>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17001000134</t>
  </si>
  <si>
    <t>ომარ</t>
  </si>
  <si>
    <t>კორძაძე</t>
  </si>
  <si>
    <t>ქ. სამტრედია, ჭავჭავაძის ქ. 17</t>
  </si>
  <si>
    <t>37001007683</t>
  </si>
  <si>
    <t>ლუარა</t>
  </si>
  <si>
    <t>ქოქრაშვილი</t>
  </si>
  <si>
    <t>ქ. ხონი, მოსე ხონელის ქ. 5</t>
  </si>
  <si>
    <t>01019022016</t>
  </si>
  <si>
    <t>თეიმურაზ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</si>
  <si>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</si>
  <si>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</si>
  <si>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</si>
  <si>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</si>
  <si>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</si>
  <si>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</si>
  <si>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</si>
  <si>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</si>
  <si>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</si>
  <si>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</si>
  <si>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</si>
  <si>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</si>
  <si>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ჯოჯუა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</si>
  <si>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</si>
  <si>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</si>
  <si>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</si>
  <si>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</si>
  <si>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</si>
  <si>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</si>
  <si>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გოგუაძე</t>
  </si>
  <si>
    <t>ქ. ლანჩხუთი, მდინარაძის ქ. 3</t>
  </si>
  <si>
    <t>26001002376</t>
  </si>
  <si>
    <t>ორმოცაძე</t>
  </si>
  <si>
    <t>ქ. ჩოხატაური, დუმბაძის 3</t>
  </si>
  <si>
    <t>46001015708</t>
  </si>
  <si>
    <t>მაია</t>
  </si>
  <si>
    <t>ქ. სენაკი, დ. ვაჰანიას ქ. 10</t>
  </si>
  <si>
    <t>39001021959</t>
  </si>
  <si>
    <t>ციური</t>
  </si>
  <si>
    <t>გაბესკირია</t>
  </si>
  <si>
    <t>ქ. მარტვილი, ნ. გეგიას ქ. 2</t>
  </si>
  <si>
    <t>29001006917</t>
  </si>
  <si>
    <t>გაბუნია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</si>
  <si>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</si>
  <si>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</si>
  <si>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</si>
  <si>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</si>
  <si>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</si>
  <si>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</si>
  <si>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</si>
  <si>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</si>
  <si>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</si>
  <si>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19001038925</t>
  </si>
  <si>
    <t>ალექსანდრე</t>
  </si>
  <si>
    <t>ჟვანია</t>
  </si>
  <si>
    <t>ქ. ფოთი, რუსთაველის რკალი 24</t>
  </si>
  <si>
    <t>42001002750</t>
  </si>
  <si>
    <t>ებრალიძე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</si>
  <si>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</si>
  <si>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</si>
  <si>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</si>
  <si>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</si>
  <si>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</si>
  <si>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</si>
  <si>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</si>
  <si>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</si>
  <si>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</si>
  <si>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</si>
  <si>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</si>
  <si>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</si>
  <si>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</si>
  <si>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</si>
  <si>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</si>
  <si>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</si>
  <si>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</si>
  <si>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ტარიელ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</si>
  <si>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</si>
  <si>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</si>
  <si>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</si>
  <si>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</si>
  <si>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</si>
  <si>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</si>
  <si>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</si>
  <si>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</si>
  <si>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</si>
  <si>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</si>
  <si>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</si>
  <si>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01015018173</t>
  </si>
  <si>
    <t>მალხაზიშვილი</t>
  </si>
  <si>
    <t>ქ.თბილისი, გლდანი 1 კვ მიმდებარედ</t>
  </si>
  <si>
    <t>1,1 თვე</t>
  </si>
  <si>
    <t>210,00</t>
  </si>
  <si>
    <t>შ.პ.ს ,,ცქიფო"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</si>
  <si>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</si>
  <si>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</si>
  <si>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</si>
  <si>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</si>
  <si>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01.01.2012-31.12.2012</t>
  </si>
  <si>
    <t>04.01.2012</t>
  </si>
  <si>
    <t>19.01.2012</t>
  </si>
  <si>
    <t>20.01.2012</t>
  </si>
  <si>
    <t>22.01.2012</t>
  </si>
  <si>
    <t>24.01.2012</t>
  </si>
  <si>
    <t>26.01.2012</t>
  </si>
  <si>
    <t>27.01.2012</t>
  </si>
  <si>
    <t>30.01.2012</t>
  </si>
  <si>
    <t>06.02.2012</t>
  </si>
  <si>
    <t>08.02.2012</t>
  </si>
  <si>
    <t>11.02.2012</t>
  </si>
  <si>
    <t>21.02.2012</t>
  </si>
  <si>
    <t>12.03.3012</t>
  </si>
  <si>
    <t>30.06.2012</t>
  </si>
  <si>
    <t>01.07.2012</t>
  </si>
  <si>
    <t>08.07.2012</t>
  </si>
  <si>
    <t>15.07.2012</t>
  </si>
  <si>
    <t>03.07.2012</t>
  </si>
  <si>
    <t>03.12.2012</t>
  </si>
  <si>
    <t>28.02.2012</t>
  </si>
  <si>
    <t>07.03.2012</t>
  </si>
  <si>
    <t>12.03.2012</t>
  </si>
  <si>
    <t>14.03.2012</t>
  </si>
  <si>
    <t>15.03.2012</t>
  </si>
  <si>
    <t>16.03.2012</t>
  </si>
  <si>
    <t>17.03.2012</t>
  </si>
  <si>
    <t>20.03.2012</t>
  </si>
  <si>
    <t>21.03.2012</t>
  </si>
  <si>
    <t>29.03.2012</t>
  </si>
  <si>
    <t>30.03.2012</t>
  </si>
  <si>
    <t>03.04.2012</t>
  </si>
  <si>
    <t>06.04.2012</t>
  </si>
  <si>
    <t>10.04.2012</t>
  </si>
  <si>
    <t>20.04.2012</t>
  </si>
  <si>
    <t>12.04.2012</t>
  </si>
  <si>
    <t>13.04.2012</t>
  </si>
  <si>
    <t>19.04.2012</t>
  </si>
  <si>
    <t>02.05.2012</t>
  </si>
  <si>
    <t>10.05.2012</t>
  </si>
  <si>
    <t>13.02.2012</t>
  </si>
  <si>
    <t>17.05.2012</t>
  </si>
  <si>
    <t>18.05.2012</t>
  </si>
  <si>
    <t>19.05.2012</t>
  </si>
  <si>
    <t>23.05.2012</t>
  </si>
  <si>
    <t>24.05.2012</t>
  </si>
  <si>
    <t>25.05.2012</t>
  </si>
  <si>
    <t>31.05.2012</t>
  </si>
  <si>
    <t>07.06.2012</t>
  </si>
  <si>
    <t>09.06.2012</t>
  </si>
  <si>
    <t>15.06.2012</t>
  </si>
  <si>
    <t>16.06.2012</t>
  </si>
  <si>
    <t>დასუფთავების საფასური (კოსტავა 71 ოფისი)</t>
  </si>
  <si>
    <t>ელექტროენერგიის ხარჯი, კოსტავას 71</t>
  </si>
  <si>
    <t>მანქანის ნაწილები</t>
  </si>
  <si>
    <t>ოფისის მარაები</t>
  </si>
  <si>
    <t>მივლინება - სამეგრელო</t>
  </si>
  <si>
    <t>მივლინება -  იმერეთი</t>
  </si>
  <si>
    <t>ინგოროყვას ოფისის ტელეფონის დავალიანება</t>
  </si>
  <si>
    <t>რუსთაველის ოფისის წყლის გადასახადის ანაზღაურება მეპატრონეზე</t>
  </si>
  <si>
    <t>რუსთაველის ოფისის დენის გადასახადის ანაზღაურება მეპატრონეზე</t>
  </si>
  <si>
    <t>მივლინება 29.01-ის -  სამცხე ჯავახეთი</t>
  </si>
  <si>
    <t>მივლინება - გორი, ბათმი, ზუგდიდი, ახალციხე, ამბროლაური</t>
  </si>
  <si>
    <t>კოსტავას 71 ოფისის ტელეფონის დავალიანებას გადახდა</t>
  </si>
  <si>
    <t>რუსთაველის ოფისის დენის  გადასახადის ანაზღაურება მეპატრონეზე</t>
  </si>
  <si>
    <t>რუსთაველის ოფისის წყლის  გადასახადის ანაზღაურება მეპატრონეზე</t>
  </si>
  <si>
    <t xml:space="preserve">მივლინება - 2-23.02-ის </t>
  </si>
  <si>
    <t>მივლინება - 28.02 - ახმეტა - ზაალ მესხი</t>
  </si>
  <si>
    <t>თანხის სალაროში შემოტანა</t>
  </si>
  <si>
    <t>მივლინება - საჩხერე - ჭიათურა</t>
  </si>
  <si>
    <r>
      <t>მივლინება - ლანჩხუ</t>
    </r>
    <r>
      <rPr>
        <sz val="9"/>
        <rFont val="Sylfaen"/>
        <family val="1"/>
      </rPr>
      <t>თი თბილისი</t>
    </r>
  </si>
  <si>
    <t>მივლინება - თიანეთი</t>
  </si>
  <si>
    <t>მივლინება - იმერეთის რეგიონი</t>
  </si>
  <si>
    <t>მივლინება -ფოთი-თბილისი-ფოთი</t>
  </si>
  <si>
    <t>მივლინება - ჩოხატაური  - თბილისი - ჩოხატაური</t>
  </si>
  <si>
    <t>მივლინება - ქობულეთი-თბილისი-ქობულეთი</t>
  </si>
  <si>
    <t>მივლინება - ყვარელი</t>
  </si>
  <si>
    <t>მივლინება - ქარელი-თბილისი - ქარელი</t>
  </si>
  <si>
    <t>მივლინება - ზუგდიდი - თბილისი - ზუგდიდი</t>
  </si>
  <si>
    <t>დასუფთავების ხარჯი, კოსტავას 71</t>
  </si>
  <si>
    <t>მივლინება- ქუთაისი-თბილისი-ქუთაისი</t>
  </si>
  <si>
    <t>ოფისის მარაგები</t>
  </si>
  <si>
    <t>მივლინება - მარნეული</t>
  </si>
  <si>
    <t>მივლინება - დასავლეთ საქართველო</t>
  </si>
  <si>
    <t>მივლინება - ქუთაისი</t>
  </si>
  <si>
    <t>ავტომობილის ჯარიმის გადასახადი</t>
  </si>
  <si>
    <t>საკომუნიკაციო ხარჯის ანაზღაურება, რუსთაველის ოფისი</t>
  </si>
  <si>
    <t>ტელეფონის ხარჯი, კოსტავას 25</t>
  </si>
  <si>
    <t>მივლინება - სტეფანწმინდა</t>
  </si>
  <si>
    <t>მანქანის მომსახურება</t>
  </si>
  <si>
    <t>მივლინება - ფოთი</t>
  </si>
  <si>
    <t>მივლინება - თელავი</t>
  </si>
  <si>
    <t>მივლინება - ზესტაფონი</t>
  </si>
  <si>
    <t>მივლინება -  საჩხერე, კასპი</t>
  </si>
  <si>
    <t>მივლინება - დ.ბერძენბიშვილი - გურია</t>
  </si>
  <si>
    <t>მივლინება  - ახმეტა</t>
  </si>
  <si>
    <t>მივლინება -ფ. საყვარელიძე - ახმეტა</t>
  </si>
  <si>
    <t>მივლინება -ფ. საყვარელიძე -თერჯოლა</t>
  </si>
  <si>
    <t xml:space="preserve"> მანქანის ზეთის გამოცვლა</t>
  </si>
  <si>
    <t>ნოტარიუსის ხარჯის ანაზღაურება</t>
  </si>
  <si>
    <t>ხარაგაულის ოფისის რემონტის ავანსის გადახდა</t>
  </si>
  <si>
    <t>სატრანსპორტო მომსახურების ანაზღაურება</t>
  </si>
  <si>
    <t>სარემონტო თანხის დაბრუნება</t>
  </si>
  <si>
    <t>მივლინება - ახალციხე</t>
  </si>
  <si>
    <t>მივლინება - ბორჯომი</t>
  </si>
  <si>
    <t>მივლინება - ხარაგაული</t>
  </si>
  <si>
    <t xml:space="preserve">სამივლინებო და სამეურნეო ხარჯი სალაროში შემოსავალი </t>
  </si>
  <si>
    <t>ხელფასი სალაროში შემოსავალი</t>
  </si>
  <si>
    <t>ქსერო-ასლების გადაღება</t>
  </si>
  <si>
    <t xml:space="preserve"> ქსერო-ასლების გადაღება</t>
  </si>
  <si>
    <t>ხიდაშელი</t>
  </si>
  <si>
    <t>თინათინ</t>
  </si>
  <si>
    <t>01014000670</t>
  </si>
  <si>
    <t>GE66TB0600000027179740</t>
  </si>
  <si>
    <t>10000</t>
  </si>
  <si>
    <t>23.04.2012</t>
  </si>
  <si>
    <t>24.04.2012</t>
  </si>
  <si>
    <t>30.04.2012</t>
  </si>
  <si>
    <t>14.05.2012</t>
  </si>
  <si>
    <t>15.05.2012</t>
  </si>
  <si>
    <t>16.05.2012</t>
  </si>
  <si>
    <t>21.05.2012</t>
  </si>
  <si>
    <t>30.05.2012</t>
  </si>
  <si>
    <t>06.06.2012</t>
  </si>
  <si>
    <t>11.06.2012</t>
  </si>
  <si>
    <t>12.06.2012</t>
  </si>
  <si>
    <t>22.06.2012</t>
  </si>
  <si>
    <t>27.06.2012</t>
  </si>
  <si>
    <t>02.07.2012</t>
  </si>
  <si>
    <t>29.06.2012</t>
  </si>
  <si>
    <t>17.02.2012</t>
  </si>
  <si>
    <t>06.07.2012</t>
  </si>
  <si>
    <t>11.07.2012</t>
  </si>
  <si>
    <t>16.07.2012</t>
  </si>
  <si>
    <t>13.07.2012</t>
  </si>
  <si>
    <t>14.07.2012</t>
  </si>
  <si>
    <t>20.07.2012</t>
  </si>
  <si>
    <t>24.07.2012</t>
  </si>
  <si>
    <t>25.07.2012</t>
  </si>
  <si>
    <t>02.08.2012</t>
  </si>
  <si>
    <t>03.08.2012</t>
  </si>
  <si>
    <t>04.08.2012</t>
  </si>
  <si>
    <t>06.08.2012</t>
  </si>
  <si>
    <t>07.08.2012</t>
  </si>
  <si>
    <t>08.08.2012</t>
  </si>
  <si>
    <t>09.08.2012</t>
  </si>
  <si>
    <t>14.08.2012</t>
  </si>
  <si>
    <t>19.11.2012</t>
  </si>
  <si>
    <t>20.11.2012</t>
  </si>
  <si>
    <t>21.11.2012</t>
  </si>
  <si>
    <t>22.11.2012</t>
  </si>
  <si>
    <t>26.11.2012</t>
  </si>
  <si>
    <t>27.11.2012</t>
  </si>
  <si>
    <t>29.11.2012</t>
  </si>
  <si>
    <t>08.12.2012</t>
  </si>
  <si>
    <t>16000</t>
  </si>
  <si>
    <t>8075</t>
  </si>
  <si>
    <t>8500</t>
  </si>
  <si>
    <t>4000</t>
  </si>
  <si>
    <t>300</t>
  </si>
  <si>
    <t>1000</t>
  </si>
  <si>
    <t>4997,5</t>
  </si>
  <si>
    <t>5000</t>
  </si>
  <si>
    <t>6993,1</t>
  </si>
  <si>
    <t>50</t>
  </si>
  <si>
    <t>400</t>
  </si>
  <si>
    <t>4800</t>
  </si>
  <si>
    <t>500</t>
  </si>
  <si>
    <t>999</t>
  </si>
  <si>
    <t>6000</t>
  </si>
  <si>
    <t>2500</t>
  </si>
  <si>
    <t>1300</t>
  </si>
  <si>
    <t>15000</t>
  </si>
  <si>
    <t>5</t>
  </si>
  <si>
    <t>10</t>
  </si>
  <si>
    <t>20</t>
  </si>
  <si>
    <t>3000</t>
  </si>
  <si>
    <t>7000</t>
  </si>
  <si>
    <t>3475</t>
  </si>
  <si>
    <t>8,1</t>
  </si>
  <si>
    <t>1996</t>
  </si>
  <si>
    <t>2000</t>
  </si>
  <si>
    <t>22000</t>
  </si>
  <si>
    <t>700</t>
  </si>
  <si>
    <t>900</t>
  </si>
  <si>
    <t>1200</t>
  </si>
  <si>
    <t>4996,5</t>
  </si>
  <si>
    <t>600</t>
  </si>
  <si>
    <t>4795</t>
  </si>
  <si>
    <t>6200</t>
  </si>
  <si>
    <t>9990</t>
  </si>
  <si>
    <t>4500</t>
  </si>
  <si>
    <t>29985</t>
  </si>
  <si>
    <t>უსუფაშვილი</t>
  </si>
  <si>
    <t>სარაჯიშვილი</t>
  </si>
  <si>
    <t>მეტრეველი</t>
  </si>
  <si>
    <t>ტოფაძე</t>
  </si>
  <si>
    <t>მიქაუტაძე</t>
  </si>
  <si>
    <t>ჩავლეიშვილი</t>
  </si>
  <si>
    <t>სვიმონიშვილი</t>
  </si>
  <si>
    <t>ანდღულაძე</t>
  </si>
  <si>
    <t>თევდორაშვილი</t>
  </si>
  <si>
    <t>ზედელაშვილი</t>
  </si>
  <si>
    <t>ნასყიდაშვილი</t>
  </si>
  <si>
    <t>სვანიძე</t>
  </si>
  <si>
    <t>აბაიშვილი</t>
  </si>
  <si>
    <t>ნასრაშვილი</t>
  </si>
  <si>
    <t>ბაქაქური</t>
  </si>
  <si>
    <t>მირზაშვილი</t>
  </si>
  <si>
    <t>ხაინდრავა</t>
  </si>
  <si>
    <t>ქოჩიშვილი</t>
  </si>
  <si>
    <t>ჩიტორელიძე</t>
  </si>
  <si>
    <t>გოგისვანიძე</t>
  </si>
  <si>
    <t>ქათამაძე</t>
  </si>
  <si>
    <t>წინწკალაძე</t>
  </si>
  <si>
    <t>ბერიშვილი</t>
  </si>
  <si>
    <t>ჩოგოვაძე</t>
  </si>
  <si>
    <t>მუქერია</t>
  </si>
  <si>
    <t>ბაჩილავა</t>
  </si>
  <si>
    <t>ხმალაძე</t>
  </si>
  <si>
    <t>მურუსიძე</t>
  </si>
  <si>
    <t>სხვედიანი</t>
  </si>
  <si>
    <t>ამბროლაძე</t>
  </si>
  <si>
    <t>იმერლიშვილი</t>
  </si>
  <si>
    <t>ქობალია</t>
  </si>
  <si>
    <t>მარაქველიძე</t>
  </si>
  <si>
    <t>ჩეჩელაშვილი-ბერუაშვილი</t>
  </si>
  <si>
    <t>ფურცხვანიძე</t>
  </si>
  <si>
    <t>კაშია</t>
  </si>
  <si>
    <t>ფაილოძე-მაღრაძე</t>
  </si>
  <si>
    <t>სირაძე</t>
  </si>
  <si>
    <t>ჯახუტაშვილი</t>
  </si>
  <si>
    <t>სერგია</t>
  </si>
  <si>
    <t>ცანავა</t>
  </si>
  <si>
    <t>საბულუა</t>
  </si>
  <si>
    <t>შიოშვილი</t>
  </si>
  <si>
    <t>წულაია</t>
  </si>
  <si>
    <t>ზუბაშვილი</t>
  </si>
  <si>
    <t>ქარუმიძე</t>
  </si>
  <si>
    <t>ქაჯაია</t>
  </si>
  <si>
    <t>ბუცხრიკიძე</t>
  </si>
  <si>
    <t>შუშანია</t>
  </si>
  <si>
    <t>ხაბელოვი</t>
  </si>
  <si>
    <t>კვიჟინაძე</t>
  </si>
  <si>
    <t>ყურაშვილი</t>
  </si>
  <si>
    <t>ებანოიძე</t>
  </si>
  <si>
    <t>რაზმაძე</t>
  </si>
  <si>
    <t>ბრაგვაძე</t>
  </si>
  <si>
    <t>მოსეშვილი</t>
  </si>
  <si>
    <t>ნოღაშვილი</t>
  </si>
  <si>
    <t>ესაკია</t>
  </si>
  <si>
    <t>ხორბალაძე</t>
  </si>
  <si>
    <t>მღებრიშვილი</t>
  </si>
  <si>
    <t>ჭელიძე</t>
  </si>
  <si>
    <t>კაპანაძე</t>
  </si>
  <si>
    <t>გულიაშვილი</t>
  </si>
  <si>
    <t>წერეთელი</t>
  </si>
  <si>
    <t>კოხრეიძე</t>
  </si>
  <si>
    <t>მამამთავრიშვილი</t>
  </si>
  <si>
    <t>გოგოლაძე</t>
  </si>
  <si>
    <t>ლაბაძე</t>
  </si>
  <si>
    <t>დავით</t>
  </si>
  <si>
    <t>ელენე</t>
  </si>
  <si>
    <t>ბექა</t>
  </si>
  <si>
    <t>ირაკლი</t>
  </si>
  <si>
    <t>ზაზა</t>
  </si>
  <si>
    <t>ლარისა</t>
  </si>
  <si>
    <t>გელა</t>
  </si>
  <si>
    <t>თამარი</t>
  </si>
  <si>
    <t>ივლიანე</t>
  </si>
  <si>
    <t>ბესიკი</t>
  </si>
  <si>
    <t>ნატო</t>
  </si>
  <si>
    <t>რობიზონი</t>
  </si>
  <si>
    <t>ბუდუ</t>
  </si>
  <si>
    <t>ვახტანგ</t>
  </si>
  <si>
    <t>მარინა</t>
  </si>
  <si>
    <t>იპოლიტე</t>
  </si>
  <si>
    <t>ირინე</t>
  </si>
  <si>
    <t>ნათია</t>
  </si>
  <si>
    <t>ლია</t>
  </si>
  <si>
    <t>ნუგზარ</t>
  </si>
  <si>
    <t>ეკა</t>
  </si>
  <si>
    <t>თეონა</t>
  </si>
  <si>
    <t>ანდრო</t>
  </si>
  <si>
    <t>აპოლონ</t>
  </si>
  <si>
    <t>იმედა</t>
  </si>
  <si>
    <t>ლიანა</t>
  </si>
  <si>
    <t>ლერი</t>
  </si>
  <si>
    <t>მალხაზი</t>
  </si>
  <si>
    <t>ნოდარ</t>
  </si>
  <si>
    <t>სოფიკო</t>
  </si>
  <si>
    <t>მერი</t>
  </si>
  <si>
    <t>ანა</t>
  </si>
  <si>
    <t>ზაქარია</t>
  </si>
  <si>
    <t>მალხაზ</t>
  </si>
  <si>
    <t>თენგიზი</t>
  </si>
  <si>
    <t>პაატა</t>
  </si>
  <si>
    <t>01007015558</t>
  </si>
  <si>
    <t>01023000953</t>
  </si>
  <si>
    <t>01009021432</t>
  </si>
  <si>
    <t>01024000884</t>
  </si>
  <si>
    <t>61001029431</t>
  </si>
  <si>
    <t>61001002499</t>
  </si>
  <si>
    <t>36001005529</t>
  </si>
  <si>
    <t>61001008127</t>
  </si>
  <si>
    <t>01001010468</t>
  </si>
  <si>
    <t>01027005949</t>
  </si>
  <si>
    <t>01024002795</t>
  </si>
  <si>
    <t>40001002155</t>
  </si>
  <si>
    <t>39001013132</t>
  </si>
  <si>
    <t>01006012406</t>
  </si>
  <si>
    <t>14001001004</t>
  </si>
  <si>
    <t>01023005547</t>
  </si>
  <si>
    <t>01023008137</t>
  </si>
  <si>
    <t>01030007471</t>
  </si>
  <si>
    <t>01004000931</t>
  </si>
  <si>
    <t>60001055918</t>
  </si>
  <si>
    <t>60001074342</t>
  </si>
  <si>
    <t>60001044437</t>
  </si>
  <si>
    <t>03001001189</t>
  </si>
  <si>
    <t>01030011303</t>
  </si>
  <si>
    <t>60001047539</t>
  </si>
  <si>
    <t>60001002131</t>
  </si>
  <si>
    <t>01001056530</t>
  </si>
  <si>
    <t>01017006819</t>
  </si>
  <si>
    <t>60001065635</t>
  </si>
  <si>
    <t>62004008863</t>
  </si>
  <si>
    <t>60002007794</t>
  </si>
  <si>
    <t>01024003484</t>
  </si>
  <si>
    <t>01007010878</t>
  </si>
  <si>
    <t>62007005809</t>
  </si>
  <si>
    <t>60001016644</t>
  </si>
  <si>
    <t>60001031706</t>
  </si>
  <si>
    <t>60001113349</t>
  </si>
  <si>
    <t>01007017602</t>
  </si>
  <si>
    <t>01011005758</t>
  </si>
  <si>
    <t>54001043323</t>
  </si>
  <si>
    <t>62001006112</t>
  </si>
  <si>
    <t>62003000909</t>
  </si>
  <si>
    <t>02001002226</t>
  </si>
  <si>
    <t>59001018393</t>
  </si>
  <si>
    <t>01030001213</t>
  </si>
  <si>
    <t>59001017656</t>
  </si>
  <si>
    <t>01008003316</t>
  </si>
  <si>
    <t>62004023309</t>
  </si>
  <si>
    <t>62004018798</t>
  </si>
  <si>
    <t>62001001311</t>
  </si>
  <si>
    <t>01009008636</t>
  </si>
  <si>
    <t>25001003030</t>
  </si>
  <si>
    <t>61002011690</t>
  </si>
  <si>
    <t>56001002576</t>
  </si>
  <si>
    <t>59001008645</t>
  </si>
  <si>
    <t>01011047851</t>
  </si>
  <si>
    <t>01014001028</t>
  </si>
  <si>
    <t>01029007938</t>
  </si>
  <si>
    <t>46001001724</t>
  </si>
  <si>
    <t>01011070647</t>
  </si>
  <si>
    <t>28001021728</t>
  </si>
  <si>
    <t>01005000193</t>
  </si>
  <si>
    <t>01001029929</t>
  </si>
  <si>
    <t>01013000348</t>
  </si>
  <si>
    <t>01007009465</t>
  </si>
  <si>
    <t>54001017534</t>
  </si>
  <si>
    <t>01009011811</t>
  </si>
  <si>
    <t>01006019923</t>
  </si>
  <si>
    <t>54001005086</t>
  </si>
  <si>
    <t>54001045554</t>
  </si>
  <si>
    <t>GE56TB0600000028701947</t>
  </si>
  <si>
    <t>GE26TB1100000316200522</t>
  </si>
  <si>
    <t>GE55TB1100000380200503</t>
  </si>
  <si>
    <t>GE37TB7682036010100004</t>
  </si>
  <si>
    <t>GE09TB0600000071718801</t>
  </si>
  <si>
    <t>GE26VT5500000011933601</t>
  </si>
  <si>
    <t>GE71CR0150009216273601</t>
  </si>
  <si>
    <t>GE52CR0000000893333601</t>
  </si>
  <si>
    <t>GE13BS0000000050336430</t>
  </si>
  <si>
    <t>GE20TB7545145063600021</t>
  </si>
  <si>
    <t>GE17PC0243600100012853</t>
  </si>
  <si>
    <t>GE84BG0000000470601200</t>
  </si>
  <si>
    <t>GE75TB7859745163600001</t>
  </si>
  <si>
    <t>GE54BG0000000623462100</t>
  </si>
  <si>
    <t>GE98BR0099994501000023</t>
  </si>
  <si>
    <t>GE47TB7702036010300002</t>
  </si>
  <si>
    <t>GE74BR0000010845883658</t>
  </si>
  <si>
    <t>GE35TB0600000039701834</t>
  </si>
  <si>
    <t>GE62VT1000005624524506</t>
  </si>
  <si>
    <t>GE14TB1105145063622496</t>
  </si>
  <si>
    <t>GE28TB0600000909179114</t>
  </si>
  <si>
    <t>GE65TB0600000909179321</t>
  </si>
  <si>
    <t>GE44TB0600000909179020</t>
  </si>
  <si>
    <t>GE35TB7554636010100008</t>
  </si>
  <si>
    <t>GE48TB7531045161600001</t>
  </si>
  <si>
    <t>GE03TB7888236010100006</t>
  </si>
  <si>
    <t>GE60TB7854136010100006</t>
  </si>
  <si>
    <t>GE47KS0000005000194965</t>
  </si>
  <si>
    <t>GE87TB0600000018701465</t>
  </si>
  <si>
    <t>GE12TB7685136010100008</t>
  </si>
  <si>
    <t>GE51TB7684736010100005</t>
  </si>
  <si>
    <t>GE13TB7068545060600002</t>
  </si>
  <si>
    <t>GE33TB0679445061622347</t>
  </si>
  <si>
    <t>GE60TB7124936010300008</t>
  </si>
  <si>
    <t>GE76TB7685436010100005</t>
  </si>
  <si>
    <t>GE60CR0050008724223601</t>
  </si>
  <si>
    <t>GE16TB0600000035179745</t>
  </si>
  <si>
    <t>GE40TB7882636010100008</t>
  </si>
  <si>
    <t>GE26TB0700000450000109</t>
  </si>
  <si>
    <t>GE70TB7685636010100006</t>
  </si>
  <si>
    <t>GE37TB0341545063622335</t>
  </si>
  <si>
    <t>GE75TB7652836010100004</t>
  </si>
  <si>
    <t>GE05PC0313600100008793</t>
  </si>
  <si>
    <t>GE74TB1100000337200158</t>
  </si>
  <si>
    <t>GE63BG0000000328567000</t>
  </si>
  <si>
    <t>GE91BG0000000274511500</t>
  </si>
  <si>
    <t>GE83TB7525736010100007</t>
  </si>
  <si>
    <t>GE56BG0000000876291400</t>
  </si>
  <si>
    <t>GE64TB7916845061600001</t>
  </si>
  <si>
    <t>GE45TB1100000303070260</t>
  </si>
  <si>
    <t>GE17TB7689236010100004</t>
  </si>
  <si>
    <t>GE38TB0600000009701911</t>
  </si>
  <si>
    <t>GE50BG0000000617217700</t>
  </si>
  <si>
    <t>GE61PC0183600100029029</t>
  </si>
  <si>
    <t>450103306051001</t>
  </si>
  <si>
    <t>GE36VT6600000781373601</t>
  </si>
  <si>
    <t>GE41CR0030086125463601</t>
  </si>
  <si>
    <t>GE16TB1031136010100702</t>
  </si>
  <si>
    <t>GE82TB7039145064300004</t>
  </si>
  <si>
    <t>GE44BG0000000318325500</t>
  </si>
  <si>
    <t>GE68BR0000010060394838</t>
  </si>
  <si>
    <t>GE32TB7868136010100004</t>
  </si>
  <si>
    <t>GE40TB1180245064822334</t>
  </si>
  <si>
    <t>GE44BR0000010643317546</t>
  </si>
  <si>
    <t>GE43BG0000000653858800</t>
  </si>
  <si>
    <t>GE03TB1019045062122335</t>
  </si>
  <si>
    <t>GE58TB1128245063622392</t>
  </si>
  <si>
    <t>GE85BG0000000630553600</t>
  </si>
  <si>
    <t>GE44BG0000000654634200</t>
  </si>
  <si>
    <t>GE20BR0000010104229614</t>
  </si>
  <si>
    <t>GE26CR0000000878333601</t>
  </si>
  <si>
    <t>GE52LB0711118748901000</t>
  </si>
  <si>
    <t>GE31CR0000000914123601</t>
  </si>
  <si>
    <t>GE80CR0000000914113601</t>
  </si>
  <si>
    <t>GE55BG0000000623548800</t>
  </si>
  <si>
    <t>GE69BG0000000486586100</t>
  </si>
  <si>
    <t>GE24TB7320745063600014</t>
  </si>
  <si>
    <t>ვითიბი</t>
  </si>
  <si>
    <t>ბანკი ქართუ</t>
  </si>
  <si>
    <t>პროკრედიტ ბანკი</t>
  </si>
  <si>
    <t>საქართველოს ბანკი</t>
  </si>
  <si>
    <t>ბანკი რესპუბლიკა</t>
  </si>
  <si>
    <t>კორ სტანდარტ ბანკი</t>
  </si>
  <si>
    <t>ლიბერთი</t>
  </si>
  <si>
    <t>25.06.2012</t>
  </si>
  <si>
    <t>19.07.2012</t>
  </si>
  <si>
    <t>13.08.2012</t>
  </si>
  <si>
    <t>15.08.2012</t>
  </si>
  <si>
    <t>18.08.2012</t>
  </si>
  <si>
    <t>არაფულადი შემოწირულობა</t>
  </si>
  <si>
    <t>2700</t>
  </si>
  <si>
    <t>17300</t>
  </si>
  <si>
    <t>242</t>
  </si>
  <si>
    <t>270</t>
  </si>
  <si>
    <t>917</t>
  </si>
  <si>
    <t>156</t>
  </si>
  <si>
    <t>105</t>
  </si>
  <si>
    <t>100</t>
  </si>
  <si>
    <t>ივანიშვილი</t>
  </si>
  <si>
    <t>ბუსკივაძე</t>
  </si>
  <si>
    <t>გაიკარაშვილი</t>
  </si>
  <si>
    <t>ადეიშვილი</t>
  </si>
  <si>
    <t>გიორგაძე</t>
  </si>
  <si>
    <t>სოფიო</t>
  </si>
  <si>
    <t>მერაბ</t>
  </si>
  <si>
    <t>მარიამ</t>
  </si>
  <si>
    <t>ლაშა</t>
  </si>
  <si>
    <t>01012000982</t>
  </si>
  <si>
    <t>21001006252</t>
  </si>
  <si>
    <t>21001000921</t>
  </si>
  <si>
    <t>21001010939</t>
  </si>
  <si>
    <t>45001025709</t>
  </si>
  <si>
    <t>19001001803</t>
  </si>
  <si>
    <t>01030035304</t>
  </si>
  <si>
    <t>უძრავი ქონება (საოფისე ფართი) მისამართზე: ქ.თბილისი, თამარ მეფის #5 (ს/კ 01.13.08.002.001.01.537)</t>
  </si>
  <si>
    <t>11 შავი და 11 თეთრი მაისური ლოგოს გამოსახულებით</t>
  </si>
  <si>
    <t>კონდიციონერი</t>
  </si>
  <si>
    <t>ქ. ოზურგეთი 26 მაისის ქუჩა #38 -ში მდებარე ორსართულიანი ნაგებობა ს.კ 26.26.46.057</t>
  </si>
  <si>
    <t>ქ. ყვარელი, სოფ. გავაზში მდებარე ერთსართულიანი ნაგებობა (საერთო ფართი 30 კვ.მ) 57.04.25.2019 უსასყიდლოდ სარგებლობა 80 დღით</t>
  </si>
  <si>
    <t>ზუგდიდი, თამარ მეფის ქ. #35 საკად.კოდი: 43.32.01.030.01.500 საოფისე ფართი</t>
  </si>
  <si>
    <t>საჯარო ინფორმაციის ასლის გადაღების უფლება</t>
  </si>
  <si>
    <t xml:space="preserve">საოფისე ფართით საერგებლობის უფლება </t>
  </si>
  <si>
    <t xml:space="preserve">მიქაუტაძე </t>
  </si>
  <si>
    <t>1800</t>
  </si>
  <si>
    <t>2170</t>
  </si>
  <si>
    <t>14.09.2012</t>
  </si>
  <si>
    <t>მაისური 100 ცალი წარწერით დავით უსუფაშვილი</t>
  </si>
  <si>
    <t>საწერი კალამი 3000 ცალი წარწერით დავით უსუფაშვილი</t>
  </si>
  <si>
    <t>გასაშლელი კარავი 6 ცალი წარწერით დავით უსუფაშვილი</t>
  </si>
  <si>
    <t>57001024116</t>
  </si>
  <si>
    <t>ბუღალტერი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</si>
  <si>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</si>
  <si>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საარჩევნო სიების დაზუსტების ხარჯი</t>
  </si>
  <si>
    <t>აღსრულების ეროვნული ბიურო  გადახდის იდენტიფიკატორი 1214535899.N2653 ს/ფ და "ს/წ შესახებ"საქართველოს კანონის მე-17 მუხლის პირველი პუნქტისა და 38 მუხლის მე-6(1)პუნქტისა.</t>
  </si>
  <si>
    <t>30</t>
  </si>
  <si>
    <t>01017001462</t>
  </si>
  <si>
    <t>ჯოხაძე</t>
  </si>
  <si>
    <t>GE26PC0293600100005341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</si>
  <si>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</si>
  <si>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</si>
  <si>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</si>
  <si>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</si>
  <si>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31.10.2012</t>
  </si>
  <si>
    <t>უძრავი ქონების იჯარა</t>
  </si>
  <si>
    <t>09.11.2012</t>
  </si>
  <si>
    <t>შპს ტოიოტა ცენტრი თბილისი</t>
  </si>
  <si>
    <t>211346220</t>
  </si>
  <si>
    <t>ავტოტექმომსახურება</t>
  </si>
  <si>
    <t>30.11.2012</t>
  </si>
  <si>
    <t>25.08.2012</t>
  </si>
  <si>
    <t>YILMAZ TEXTIL ABDULAH YIMAZ / Turkey</t>
  </si>
  <si>
    <t>მაისური</t>
  </si>
  <si>
    <t>01.12.2012</t>
  </si>
  <si>
    <t>მამუკა გურგენიძე</t>
  </si>
  <si>
    <t>დეკემბრის თვის იჯარა</t>
  </si>
  <si>
    <t>ნაირა გელაშვილი</t>
  </si>
  <si>
    <t>ჯეირან ხუბანოვი</t>
  </si>
  <si>
    <t>სვეტლანა ისაევი</t>
  </si>
  <si>
    <t>რუსუდან ნონიკაშვილი</t>
  </si>
  <si>
    <t>იოლანდა ჩაგელიშვილი</t>
  </si>
  <si>
    <t>ციცინო ნეფარიძე</t>
  </si>
  <si>
    <t>ნათელა ქურასბედიანი</t>
  </si>
  <si>
    <t>გრიგოლ აბჟანდაძე</t>
  </si>
  <si>
    <t>ნიკოლოზ მახარაშვილი</t>
  </si>
  <si>
    <t>გიორგი ორმოცაძე</t>
  </si>
  <si>
    <t>გელოდი ცომაია</t>
  </si>
  <si>
    <t>ციური გაბესკირია</t>
  </si>
  <si>
    <t>მაყვალა გაბუნია</t>
  </si>
  <si>
    <t>ნინო ბასილია</t>
  </si>
  <si>
    <t>61001025501</t>
  </si>
  <si>
    <t>მირზა აბაშიძე</t>
  </si>
  <si>
    <t>არჩილ ცენტერაძე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</si>
  <si>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</si>
  <si>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</si>
  <si>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</si>
  <si>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</si>
  <si>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სხვა ფულადი შემოსავლები (საკუთარი სატრანსპ. საშუალებების გაყიდვა)</t>
  </si>
  <si>
    <t>ფონდები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</si>
</sst>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#,##0.0"/>
    <numFmt numFmtId="169" formatCode="dd/mm/yyyy;@"/>
    <numFmt numFmtId="170" formatCode="mm/dd/yyyy;@"/>
  </numFmts>
  <fonts count="4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indexed="8"/>
      <name val="Arial"/>
      <family val="2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1"/>
      <name val="Calibri"/>
      <family val="2"/>
      <scheme val="minor"/>
    </font>
    <font>
      <sz val="10"/>
      <color theme="1"/>
      <name val="Sylfaen"/>
      <family val="1"/>
      <charset val="204"/>
    </font>
    <font>
      <b/>
      <sz val="10"/>
      <color theme="1"/>
      <name val="Sylfaen"/>
      <family val="1"/>
      <charset val="204"/>
    </font>
    <font>
      <sz val="9"/>
      <color rgb="FF222222"/>
      <name val="Arial"/>
      <family val="2"/>
      <charset val="204"/>
    </font>
    <font>
      <sz val="9"/>
      <color theme="1"/>
      <name val="Arial Unicode MS"/>
      <family val="2"/>
      <charset val="204"/>
    </font>
    <font>
      <sz val="9"/>
      <color theme="1"/>
      <name val="Arial Unicode MS"/>
      <family val="2"/>
    </font>
    <font>
      <sz val="11"/>
      <color theme="1"/>
      <name val="LitNusx"/>
      <family val="2"/>
    </font>
    <font>
      <b/>
      <sz val="11"/>
      <color theme="1"/>
      <name val="LitNusx"/>
    </font>
    <font>
      <sz val="9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3" fillId="0" borderId="0"/>
  </cellStyleXfs>
  <cellXfs count="58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6" applyFont="1" applyFill="1" applyBorder="1" applyAlignment="1" applyProtection="1">
      <alignment horizontal="left" vertical="center" wrapText="1"/>
    </xf>
    <xf numFmtId="0" fontId="8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2"/>
    </xf>
    <xf numFmtId="0" fontId="7" fillId="2" borderId="1" xfId="16" applyFont="1" applyFill="1" applyBorder="1" applyAlignment="1" applyProtection="1">
      <alignment horizontal="left" vertical="center" wrapText="1" indent="3"/>
    </xf>
    <xf numFmtId="0" fontId="7" fillId="2" borderId="1" xfId="16" applyFont="1" applyFill="1" applyBorder="1" applyAlignment="1" applyProtection="1">
      <alignment horizontal="left" vertical="center" wrapText="1" indent="4"/>
    </xf>
    <xf numFmtId="0" fontId="7" fillId="0" borderId="0" xfId="5" applyFont="1" applyAlignment="1" applyProtection="1">
      <alignment horizontal="center" vertical="center"/>
      <protection locked="0"/>
    </xf>
    <xf numFmtId="0" fontId="24" fillId="0" borderId="0" xfId="5" applyFont="1" applyAlignment="1" applyProtection="1">
      <alignment horizontal="center" vertical="center"/>
      <protection locked="0"/>
    </xf>
    <xf numFmtId="0" fontId="7" fillId="0" borderId="0" xfId="5" applyFont="1" applyProtection="1">
      <protection locked="0"/>
    </xf>
    <xf numFmtId="0" fontId="0" fillId="0" borderId="0" xfId="0" applyProtection="1">
      <protection locked="0"/>
    </xf>
    <xf numFmtId="0" fontId="25" fillId="0" borderId="0" xfId="6" applyFont="1" applyProtection="1">
      <protection locked="0"/>
    </xf>
    <xf numFmtId="0" fontId="26" fillId="0" borderId="1" xfId="6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/>
      <protection locked="0"/>
    </xf>
    <xf numFmtId="3" fontId="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6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5" fontId="7" fillId="0" borderId="1" xfId="1" applyNumberFormat="1" applyFont="1" applyFill="1" applyBorder="1" applyAlignment="1" applyProtection="1">
      <alignment horizontal="right" vertical="center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5" applyFont="1" applyFill="1" applyBorder="1" applyAlignment="1" applyProtection="1">
      <alignment horizontal="right"/>
      <protection locked="0"/>
    </xf>
    <xf numFmtId="0" fontId="7" fillId="0" borderId="3" xfId="5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6" applyFont="1" applyFill="1" applyBorder="1" applyAlignment="1" applyProtection="1">
      <alignment horizontal="left" vertical="center" wrapText="1"/>
    </xf>
    <xf numFmtId="0" fontId="7" fillId="0" borderId="4" xfId="5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27" fillId="0" borderId="0" xfId="9" applyFont="1" applyProtection="1"/>
    <xf numFmtId="0" fontId="27" fillId="0" borderId="0" xfId="9" applyFont="1" applyProtection="1">
      <protection locked="0"/>
    </xf>
    <xf numFmtId="0" fontId="28" fillId="3" borderId="5" xfId="9" applyFont="1" applyFill="1" applyBorder="1" applyAlignment="1" applyProtection="1">
      <alignment horizontal="center" vertical="top" wrapText="1"/>
    </xf>
    <xf numFmtId="0" fontId="28" fillId="3" borderId="6" xfId="9" applyFont="1" applyFill="1" applyBorder="1" applyAlignment="1" applyProtection="1">
      <alignment horizontal="center" vertical="top" wrapText="1"/>
    </xf>
    <xf numFmtId="49" fontId="28" fillId="3" borderId="6" xfId="9" applyNumberFormat="1" applyFont="1" applyFill="1" applyBorder="1" applyAlignment="1" applyProtection="1">
      <alignment horizontal="center" vertical="top" wrapText="1"/>
    </xf>
    <xf numFmtId="0" fontId="28" fillId="3" borderId="7" xfId="9" applyFont="1" applyFill="1" applyBorder="1" applyAlignment="1" applyProtection="1">
      <alignment horizontal="center" vertical="top" wrapText="1"/>
    </xf>
    <xf numFmtId="0" fontId="28" fillId="3" borderId="8" xfId="9" applyFont="1" applyFill="1" applyBorder="1" applyAlignment="1" applyProtection="1">
      <alignment horizontal="center" vertical="top" wrapText="1"/>
    </xf>
    <xf numFmtId="0" fontId="28" fillId="4" borderId="5" xfId="9" applyFont="1" applyFill="1" applyBorder="1" applyAlignment="1" applyProtection="1">
      <alignment horizontal="center" vertical="top" wrapText="1"/>
    </xf>
    <xf numFmtId="0" fontId="28" fillId="4" borderId="6" xfId="9" applyFont="1" applyFill="1" applyBorder="1" applyAlignment="1" applyProtection="1">
      <alignment horizontal="center" vertical="top" wrapText="1"/>
    </xf>
    <xf numFmtId="0" fontId="28" fillId="0" borderId="0" xfId="9" applyFont="1" applyAlignment="1" applyProtection="1">
      <alignment horizontal="center" vertical="top" wrapText="1"/>
      <protection locked="0"/>
    </xf>
    <xf numFmtId="0" fontId="27" fillId="0" borderId="9" xfId="9" applyFont="1" applyBorder="1" applyAlignment="1" applyProtection="1">
      <alignment wrapText="1"/>
      <protection locked="0"/>
    </xf>
    <xf numFmtId="0" fontId="27" fillId="0" borderId="1" xfId="9" applyFont="1" applyBorder="1" applyAlignment="1" applyProtection="1">
      <alignment wrapText="1"/>
      <protection locked="0"/>
    </xf>
    <xf numFmtId="49" fontId="27" fillId="0" borderId="1" xfId="9" applyNumberFormat="1" applyFont="1" applyBorder="1" applyProtection="1">
      <protection locked="0"/>
    </xf>
    <xf numFmtId="0" fontId="27" fillId="4" borderId="1" xfId="9" applyFont="1" applyFill="1" applyBorder="1" applyAlignment="1" applyProtection="1">
      <alignment wrapText="1"/>
      <protection locked="0"/>
    </xf>
    <xf numFmtId="0" fontId="27" fillId="4" borderId="1" xfId="9" applyFont="1" applyFill="1" applyBorder="1" applyProtection="1">
      <protection locked="0"/>
    </xf>
    <xf numFmtId="49" fontId="27" fillId="0" borderId="0" xfId="9" applyNumberFormat="1" applyFont="1" applyProtection="1">
      <protection locked="0"/>
    </xf>
    <xf numFmtId="0" fontId="26" fillId="0" borderId="0" xfId="6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5" fillId="0" borderId="0" xfId="6" applyFont="1" applyBorder="1" applyProtection="1">
      <protection locked="0"/>
    </xf>
    <xf numFmtId="0" fontId="6" fillId="0" borderId="0" xfId="0" applyFont="1"/>
    <xf numFmtId="0" fontId="27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26" fillId="0" borderId="1" xfId="6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0" xfId="0" applyBorder="1"/>
    <xf numFmtId="0" fontId="26" fillId="0" borderId="0" xfId="9" applyFont="1" applyProtection="1">
      <protection locked="0"/>
    </xf>
    <xf numFmtId="0" fontId="26" fillId="0" borderId="0" xfId="9" applyFont="1" applyProtection="1"/>
    <xf numFmtId="49" fontId="26" fillId="0" borderId="0" xfId="9" applyNumberFormat="1" applyFont="1" applyProtection="1">
      <protection locked="0"/>
    </xf>
    <xf numFmtId="0" fontId="8" fillId="5" borderId="0" xfId="0" applyFont="1" applyFill="1" applyProtection="1"/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16" applyFont="1" applyFill="1" applyAlignment="1" applyProtection="1">
      <alignment vertical="center"/>
    </xf>
    <xf numFmtId="3" fontId="8" fillId="5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5" borderId="1" xfId="16" applyNumberFormat="1" applyFont="1" applyFill="1" applyBorder="1" applyAlignment="1" applyProtection="1">
      <alignment horizontal="right" vertical="center"/>
    </xf>
    <xf numFmtId="3" fontId="7" fillId="5" borderId="1" xfId="16" applyNumberFormat="1" applyFont="1" applyFill="1" applyBorder="1" applyAlignment="1" applyProtection="1">
      <alignment horizontal="right" vertical="center" wrapText="1"/>
    </xf>
    <xf numFmtId="3" fontId="8" fillId="5" borderId="1" xfId="16" applyNumberFormat="1" applyFont="1" applyFill="1" applyBorder="1" applyAlignment="1" applyProtection="1">
      <alignment horizontal="right" vertical="center" wrapText="1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6" borderId="1" xfId="16" applyNumberFormat="1" applyFont="1" applyFill="1" applyBorder="1" applyAlignment="1" applyProtection="1">
      <alignment horizontal="left" vertical="center" wrapText="1"/>
    </xf>
    <xf numFmtId="3" fontId="8" fillId="6" borderId="1" xfId="16" applyNumberFormat="1" applyFont="1" applyFill="1" applyBorder="1" applyAlignment="1" applyProtection="1">
      <alignment horizontal="center" vertical="center" wrapText="1"/>
    </xf>
    <xf numFmtId="0" fontId="7" fillId="6" borderId="0" xfId="16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16" applyFont="1" applyFill="1" applyAlignment="1" applyProtection="1">
      <alignment horizontal="center" vertical="center"/>
    </xf>
    <xf numFmtId="0" fontId="26" fillId="5" borderId="0" xfId="9" applyFont="1" applyFill="1" applyProtection="1"/>
    <xf numFmtId="0" fontId="26" fillId="5" borderId="0" xfId="9" applyFont="1" applyFill="1" applyProtection="1">
      <protection locked="0"/>
    </xf>
    <xf numFmtId="0" fontId="0" fillId="5" borderId="0" xfId="0" applyFill="1"/>
    <xf numFmtId="0" fontId="29" fillId="5" borderId="0" xfId="9" applyFont="1" applyFill="1" applyBorder="1" applyAlignment="1" applyProtection="1">
      <alignment horizontal="right"/>
    </xf>
    <xf numFmtId="0" fontId="1" fillId="5" borderId="0" xfId="0" applyFont="1" applyFill="1"/>
    <xf numFmtId="167" fontId="26" fillId="5" borderId="0" xfId="9" applyNumberFormat="1" applyFont="1" applyFill="1" applyBorder="1" applyProtection="1"/>
    <xf numFmtId="14" fontId="26" fillId="5" borderId="0" xfId="9" applyNumberFormat="1" applyFont="1" applyFill="1" applyBorder="1" applyProtection="1"/>
    <xf numFmtId="0" fontId="29" fillId="5" borderId="0" xfId="9" applyFont="1" applyFill="1" applyBorder="1" applyAlignment="1" applyProtection="1">
      <alignment horizontal="right"/>
      <protection locked="0"/>
    </xf>
    <xf numFmtId="49" fontId="26" fillId="5" borderId="0" xfId="9" applyNumberFormat="1" applyFont="1" applyFill="1" applyProtection="1">
      <protection locked="0"/>
    </xf>
    <xf numFmtId="0" fontId="7" fillId="5" borderId="0" xfId="16" applyFont="1" applyFill="1" applyAlignment="1" applyProtection="1">
      <alignment horizontal="left" vertical="center"/>
    </xf>
    <xf numFmtId="167" fontId="26" fillId="5" borderId="0" xfId="9" applyNumberFormat="1" applyFont="1" applyFill="1" applyBorder="1" applyProtection="1">
      <protection locked="0"/>
    </xf>
    <xf numFmtId="0" fontId="27" fillId="5" borderId="0" xfId="9" applyFont="1" applyFill="1" applyProtection="1"/>
    <xf numFmtId="0" fontId="30" fillId="5" borderId="0" xfId="9" applyFont="1" applyFill="1" applyProtection="1"/>
    <xf numFmtId="0" fontId="27" fillId="5" borderId="0" xfId="9" applyFont="1" applyFill="1" applyBorder="1" applyAlignment="1" applyProtection="1"/>
    <xf numFmtId="0" fontId="26" fillId="5" borderId="0" xfId="9" applyFont="1" applyFill="1" applyBorder="1" applyProtection="1">
      <protection locked="0"/>
    </xf>
    <xf numFmtId="0" fontId="0" fillId="5" borderId="0" xfId="0" applyFill="1" applyBorder="1"/>
    <xf numFmtId="0" fontId="7" fillId="5" borderId="0" xfId="16" applyFont="1" applyFill="1" applyBorder="1" applyAlignment="1" applyProtection="1">
      <alignment horizontal="right" vertical="center"/>
    </xf>
    <xf numFmtId="0" fontId="7" fillId="5" borderId="0" xfId="16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16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26" fillId="5" borderId="0" xfId="9" applyFont="1" applyFill="1" applyAlignment="1" applyProtection="1">
      <alignment horizontal="left"/>
    </xf>
    <xf numFmtId="14" fontId="29" fillId="5" borderId="0" xfId="9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4" fillId="5" borderId="0" xfId="5" applyFont="1" applyFill="1" applyAlignment="1" applyProtection="1">
      <alignment horizontal="center" vertical="center" wrapText="1"/>
    </xf>
    <xf numFmtId="0" fontId="7" fillId="5" borderId="0" xfId="5" applyFont="1" applyFill="1" applyAlignment="1" applyProtection="1">
      <alignment horizontal="center" vertical="center"/>
      <protection locked="0"/>
    </xf>
    <xf numFmtId="0" fontId="7" fillId="5" borderId="0" xfId="5" applyFont="1" applyFill="1" applyProtection="1"/>
    <xf numFmtId="0" fontId="7" fillId="5" borderId="1" xfId="1" applyFont="1" applyFill="1" applyBorder="1" applyAlignment="1" applyProtection="1">
      <alignment horizontal="right" vertical="top"/>
    </xf>
    <xf numFmtId="0" fontId="8" fillId="5" borderId="3" xfId="5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5" borderId="10" xfId="0" applyFont="1" applyFill="1" applyBorder="1" applyProtection="1"/>
    <xf numFmtId="0" fontId="7" fillId="5" borderId="0" xfId="0" applyFont="1" applyFill="1" applyAlignment="1" applyProtection="1">
      <alignment horizontal="center" vertical="center"/>
    </xf>
    <xf numFmtId="0" fontId="7" fillId="5" borderId="10" xfId="16" applyFont="1" applyFill="1" applyBorder="1" applyAlignment="1" applyProtection="1">
      <alignment horizontal="left" vertical="center"/>
    </xf>
    <xf numFmtId="0" fontId="10" fillId="5" borderId="11" xfId="1" applyFont="1" applyFill="1" applyBorder="1" applyAlignment="1" applyProtection="1">
      <alignment horizontal="center" vertical="top" wrapText="1"/>
    </xf>
    <xf numFmtId="0" fontId="10" fillId="5" borderId="12" xfId="1" applyFont="1" applyFill="1" applyBorder="1" applyAlignment="1" applyProtection="1">
      <alignment horizontal="center" vertical="top" wrapText="1"/>
    </xf>
    <xf numFmtId="1" fontId="10" fillId="5" borderId="12" xfId="1" applyNumberFormat="1" applyFont="1" applyFill="1" applyBorder="1" applyAlignment="1" applyProtection="1">
      <alignment horizontal="center" vertical="top" wrapText="1"/>
    </xf>
    <xf numFmtId="1" fontId="10" fillId="5" borderId="11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9" fillId="5" borderId="4" xfId="6" applyFont="1" applyFill="1" applyBorder="1" applyAlignment="1" applyProtection="1">
      <alignment horizontal="center" vertical="center" wrapText="1"/>
    </xf>
    <xf numFmtId="0" fontId="29" fillId="5" borderId="1" xfId="6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16" applyNumberFormat="1" applyFont="1" applyFill="1" applyBorder="1" applyAlignment="1" applyProtection="1">
      <alignment vertical="center"/>
    </xf>
    <xf numFmtId="0" fontId="7" fillId="5" borderId="0" xfId="16" applyFont="1" applyFill="1" applyBorder="1" applyAlignment="1" applyProtection="1">
      <alignment vertical="center"/>
    </xf>
    <xf numFmtId="14" fontId="7" fillId="5" borderId="0" xfId="16" applyNumberFormat="1" applyFont="1" applyFill="1" applyBorder="1" applyAlignment="1" applyProtection="1">
      <alignment horizontal="center" vertical="center"/>
    </xf>
    <xf numFmtId="0" fontId="2" fillId="5" borderId="0" xfId="16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9" fillId="5" borderId="4" xfId="6" applyFont="1" applyFill="1" applyBorder="1" applyAlignment="1" applyProtection="1">
      <alignment horizontal="left" vertical="center" wrapText="1"/>
    </xf>
    <xf numFmtId="0" fontId="7" fillId="5" borderId="0" xfId="16" applyFont="1" applyFill="1" applyBorder="1" applyAlignment="1" applyProtection="1">
      <alignment vertical="center"/>
      <protection locked="0"/>
    </xf>
    <xf numFmtId="0" fontId="25" fillId="5" borderId="0" xfId="6" applyFont="1" applyFill="1" applyBorder="1" applyProtection="1">
      <protection locked="0"/>
    </xf>
    <xf numFmtId="0" fontId="7" fillId="5" borderId="0" xfId="5" applyFont="1" applyFill="1" applyProtection="1">
      <protection locked="0"/>
    </xf>
    <xf numFmtId="0" fontId="7" fillId="5" borderId="0" xfId="16" applyFont="1" applyFill="1" applyProtection="1">
      <protection locked="0"/>
    </xf>
    <xf numFmtId="0" fontId="9" fillId="5" borderId="0" xfId="16" applyFont="1" applyFill="1" applyAlignment="1" applyProtection="1">
      <alignment horizontal="center" vertical="center" wrapText="1"/>
      <protection locked="0"/>
    </xf>
    <xf numFmtId="14" fontId="27" fillId="0" borderId="9" xfId="9" applyNumberFormat="1" applyFont="1" applyBorder="1" applyAlignment="1" applyProtection="1">
      <alignment wrapText="1"/>
      <protection locked="0"/>
    </xf>
    <xf numFmtId="0" fontId="28" fillId="5" borderId="5" xfId="9" applyFont="1" applyFill="1" applyBorder="1" applyAlignment="1" applyProtection="1">
      <alignment horizontal="center" vertical="center"/>
    </xf>
    <xf numFmtId="0" fontId="28" fillId="5" borderId="6" xfId="9" applyFont="1" applyFill="1" applyBorder="1" applyAlignment="1" applyProtection="1">
      <alignment horizontal="center"/>
    </xf>
    <xf numFmtId="0" fontId="28" fillId="5" borderId="13" xfId="9" applyFont="1" applyFill="1" applyBorder="1" applyAlignment="1" applyProtection="1">
      <alignment horizontal="center"/>
    </xf>
    <xf numFmtId="0" fontId="28" fillId="5" borderId="5" xfId="9" applyFont="1" applyFill="1" applyBorder="1" applyAlignment="1" applyProtection="1">
      <alignment horizontal="center"/>
    </xf>
    <xf numFmtId="0" fontId="28" fillId="5" borderId="8" xfId="9" applyFont="1" applyFill="1" applyBorder="1" applyAlignment="1" applyProtection="1">
      <alignment horizontal="center"/>
    </xf>
    <xf numFmtId="0" fontId="28" fillId="5" borderId="6" xfId="9" applyNumberFormat="1" applyFont="1" applyFill="1" applyBorder="1" applyAlignment="1" applyProtection="1">
      <alignment horizontal="center"/>
    </xf>
    <xf numFmtId="0" fontId="28" fillId="5" borderId="7" xfId="9" applyFont="1" applyFill="1" applyBorder="1" applyAlignment="1" applyProtection="1">
      <alignment horizontal="center"/>
    </xf>
    <xf numFmtId="0" fontId="28" fillId="5" borderId="5" xfId="9" applyFont="1" applyFill="1" applyBorder="1" applyAlignment="1" applyProtection="1">
      <alignment horizontal="center" vertical="top" wrapText="1"/>
    </xf>
    <xf numFmtId="0" fontId="28" fillId="5" borderId="6" xfId="9" applyFont="1" applyFill="1" applyBorder="1" applyAlignment="1" applyProtection="1">
      <alignment horizontal="center" vertical="top" wrapText="1"/>
    </xf>
    <xf numFmtId="0" fontId="28" fillId="5" borderId="13" xfId="9" applyFont="1" applyFill="1" applyBorder="1" applyAlignment="1" applyProtection="1">
      <alignment horizontal="center" vertical="top" wrapText="1"/>
    </xf>
    <xf numFmtId="0" fontId="28" fillId="5" borderId="8" xfId="9" applyFont="1" applyFill="1" applyBorder="1" applyAlignment="1" applyProtection="1">
      <alignment horizontal="center" vertical="top" wrapText="1"/>
    </xf>
    <xf numFmtId="0" fontId="10" fillId="0" borderId="14" xfId="1" applyFont="1" applyFill="1" applyBorder="1" applyAlignment="1" applyProtection="1">
      <alignment horizontal="center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1" fontId="10" fillId="0" borderId="15" xfId="1" applyNumberFormat="1" applyFont="1" applyFill="1" applyBorder="1" applyAlignment="1" applyProtection="1">
      <alignment horizontal="left" vertical="top" wrapText="1"/>
      <protection locked="0"/>
    </xf>
    <xf numFmtId="0" fontId="12" fillId="5" borderId="1" xfId="1" applyFont="1" applyFill="1" applyBorder="1" applyAlignment="1" applyProtection="1">
      <alignment horizontal="center" vertical="top" wrapText="1"/>
    </xf>
    <xf numFmtId="1" fontId="12" fillId="5" borderId="1" xfId="1" applyNumberFormat="1" applyFont="1" applyFill="1" applyBorder="1" applyAlignment="1" applyProtection="1">
      <alignment horizontal="center" vertical="top" wrapText="1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16" applyFont="1" applyFill="1" applyAlignment="1" applyProtection="1">
      <alignment horizontal="right" vertical="center"/>
    </xf>
    <xf numFmtId="0" fontId="7" fillId="5" borderId="0" xfId="16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 applyProtection="1">
      <alignment horizontal="center" vertical="top" wrapText="1"/>
    </xf>
    <xf numFmtId="1" fontId="12" fillId="5" borderId="2" xfId="1" applyNumberFormat="1" applyFont="1" applyFill="1" applyBorder="1" applyAlignment="1" applyProtection="1">
      <alignment horizontal="center" vertical="top" wrapText="1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5" borderId="2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" xfId="1" applyFont="1" applyFill="1" applyBorder="1" applyAlignment="1" applyProtection="1">
      <alignment horizontal="left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2" fillId="5" borderId="17" xfId="1" applyFont="1" applyFill="1" applyBorder="1" applyAlignment="1" applyProtection="1">
      <alignment horizontal="left" vertical="top"/>
      <protection locked="0"/>
    </xf>
    <xf numFmtId="0" fontId="10" fillId="5" borderId="17" xfId="1" applyFont="1" applyFill="1" applyBorder="1" applyAlignment="1" applyProtection="1">
      <alignment horizontal="left" vertical="top" wrapText="1"/>
      <protection locked="0"/>
    </xf>
    <xf numFmtId="0" fontId="10" fillId="5" borderId="18" xfId="1" applyFont="1" applyFill="1" applyBorder="1" applyAlignment="1" applyProtection="1">
      <alignment horizontal="left" vertical="top" wrapText="1"/>
      <protection locked="0"/>
    </xf>
    <xf numFmtId="1" fontId="10" fillId="5" borderId="18" xfId="1" applyNumberFormat="1" applyFont="1" applyFill="1" applyBorder="1" applyAlignment="1" applyProtection="1">
      <alignment horizontal="left" vertical="top" wrapText="1"/>
      <protection locked="0"/>
    </xf>
    <xf numFmtId="1" fontId="10" fillId="5" borderId="19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5" applyFont="1" applyFill="1" applyProtection="1"/>
    <xf numFmtId="0" fontId="1" fillId="5" borderId="0" xfId="5" applyFill="1" applyProtection="1"/>
    <xf numFmtId="0" fontId="1" fillId="5" borderId="0" xfId="5" applyFill="1" applyBorder="1" applyProtection="1"/>
    <xf numFmtId="0" fontId="1" fillId="0" borderId="0" xfId="5" applyProtection="1">
      <protection locked="0"/>
    </xf>
    <xf numFmtId="0" fontId="1" fillId="5" borderId="0" xfId="5" applyFill="1" applyProtection="1">
      <protection locked="0"/>
    </xf>
    <xf numFmtId="0" fontId="1" fillId="5" borderId="0" xfId="5" applyFill="1" applyBorder="1" applyProtection="1">
      <protection locked="0"/>
    </xf>
    <xf numFmtId="0" fontId="1" fillId="0" borderId="0" xfId="5" applyFill="1" applyProtection="1"/>
    <xf numFmtId="0" fontId="1" fillId="0" borderId="0" xfId="5" applyFill="1" applyBorder="1" applyProtection="1"/>
    <xf numFmtId="0" fontId="1" fillId="5" borderId="10" xfId="5" applyFill="1" applyBorder="1" applyProtection="1"/>
    <xf numFmtId="0" fontId="6" fillId="5" borderId="1" xfId="5" applyFont="1" applyFill="1" applyBorder="1" applyAlignment="1" applyProtection="1">
      <alignment horizontal="center" vertical="center"/>
    </xf>
    <xf numFmtId="0" fontId="6" fillId="5" borderId="1" xfId="5" applyFont="1" applyFill="1" applyBorder="1" applyAlignment="1" applyProtection="1">
      <alignment horizontal="center" vertical="center" wrapText="1"/>
    </xf>
    <xf numFmtId="0" fontId="6" fillId="5" borderId="9" xfId="5" applyFont="1" applyFill="1" applyBorder="1" applyAlignment="1" applyProtection="1">
      <alignment horizontal="center" vertical="center" wrapText="1"/>
    </xf>
    <xf numFmtId="0" fontId="1" fillId="0" borderId="1" xfId="5" applyBorder="1" applyProtection="1">
      <protection locked="0"/>
    </xf>
    <xf numFmtId="14" fontId="1" fillId="0" borderId="1" xfId="5" applyNumberFormat="1" applyBorder="1" applyProtection="1">
      <protection locked="0"/>
    </xf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7" fillId="0" borderId="10" xfId="5" applyFont="1" applyBorder="1" applyProtection="1">
      <protection locked="0"/>
    </xf>
    <xf numFmtId="0" fontId="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/>
      <protection locked="0"/>
    </xf>
    <xf numFmtId="0" fontId="1" fillId="0" borderId="0" xfId="5"/>
    <xf numFmtId="0" fontId="1" fillId="0" borderId="0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26" fillId="0" borderId="9" xfId="6" applyFont="1" applyBorder="1" applyAlignment="1" applyProtection="1">
      <alignment vertical="center"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5" fillId="2" borderId="0" xfId="6" applyFont="1" applyFill="1" applyProtection="1">
      <protection locked="0"/>
    </xf>
    <xf numFmtId="0" fontId="7" fillId="5" borderId="0" xfId="16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0" xfId="0" applyFill="1" applyBorder="1"/>
    <xf numFmtId="0" fontId="6" fillId="5" borderId="9" xfId="5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31" fillId="5" borderId="0" xfId="0" applyFont="1" applyFill="1" applyBorder="1" applyProtection="1"/>
    <xf numFmtId="0" fontId="31" fillId="5" borderId="0" xfId="0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5" borderId="0" xfId="16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5" borderId="0" xfId="16" applyFont="1" applyFill="1" applyAlignment="1" applyProtection="1">
      <alignment horizontal="right" vertical="center"/>
    </xf>
    <xf numFmtId="0" fontId="1" fillId="5" borderId="0" xfId="5" applyFill="1" applyBorder="1" applyAlignment="1" applyProtection="1">
      <alignment horizontal="left"/>
      <protection locked="0"/>
    </xf>
    <xf numFmtId="0" fontId="1" fillId="5" borderId="20" xfId="5" applyFill="1" applyBorder="1" applyProtection="1"/>
    <xf numFmtId="0" fontId="1" fillId="5" borderId="1" xfId="5" applyFont="1" applyFill="1" applyBorder="1" applyAlignment="1" applyProtection="1">
      <alignment horizontal="center" vertical="center"/>
    </xf>
    <xf numFmtId="0" fontId="1" fillId="5" borderId="1" xfId="5" applyFill="1" applyBorder="1" applyAlignment="1" applyProtection="1">
      <alignment horizontal="center" vertical="center" wrapText="1"/>
    </xf>
    <xf numFmtId="0" fontId="1" fillId="5" borderId="9" xfId="5" applyFill="1" applyBorder="1" applyAlignment="1" applyProtection="1">
      <alignment horizontal="center" vertical="center" wrapText="1"/>
    </xf>
    <xf numFmtId="0" fontId="1" fillId="5" borderId="1" xfId="5" applyFont="1" applyFill="1" applyBorder="1" applyAlignment="1" applyProtection="1">
      <alignment horizontal="center" vertical="center" wrapText="1"/>
    </xf>
    <xf numFmtId="0" fontId="1" fillId="5" borderId="9" xfId="5" applyFont="1" applyFill="1" applyBorder="1" applyAlignment="1" applyProtection="1">
      <alignment horizontal="center" vertical="center" wrapText="1"/>
    </xf>
    <xf numFmtId="0" fontId="27" fillId="0" borderId="1" xfId="11" applyFont="1" applyBorder="1" applyAlignment="1" applyProtection="1">
      <alignment wrapText="1"/>
      <protection locked="0"/>
    </xf>
    <xf numFmtId="14" fontId="1" fillId="5" borderId="1" xfId="5" applyNumberFormat="1" applyFill="1" applyBorder="1" applyProtection="1"/>
    <xf numFmtId="0" fontId="1" fillId="0" borderId="1" xfId="5" applyBorder="1" applyAlignment="1" applyProtection="1">
      <alignment horizontal="left" vertical="center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5" borderId="1" xfId="0" applyFont="1" applyFill="1" applyBorder="1" applyProtection="1">
      <protection locked="0"/>
    </xf>
    <xf numFmtId="0" fontId="8" fillId="2" borderId="1" xfId="16" applyFont="1" applyFill="1" applyBorder="1" applyAlignment="1" applyProtection="1">
      <alignment vertical="center" wrapText="1"/>
    </xf>
    <xf numFmtId="0" fontId="8" fillId="0" borderId="4" xfId="16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5" borderId="21" xfId="16" applyNumberFormat="1" applyFont="1" applyFill="1" applyBorder="1" applyAlignment="1" applyProtection="1">
      <alignment horizontal="right" vertical="center" wrapText="1"/>
    </xf>
    <xf numFmtId="0" fontId="8" fillId="5" borderId="9" xfId="0" applyFont="1" applyFill="1" applyBorder="1" applyProtection="1"/>
    <xf numFmtId="0" fontId="26" fillId="5" borderId="0" xfId="9" applyFont="1" applyFill="1" applyBorder="1" applyAlignment="1" applyProtection="1">
      <alignment horizontal="right"/>
    </xf>
    <xf numFmtId="0" fontId="7" fillId="5" borderId="10" xfId="0" applyFont="1" applyFill="1" applyBorder="1" applyProtection="1">
      <protection locked="0"/>
    </xf>
    <xf numFmtId="0" fontId="0" fillId="5" borderId="10" xfId="0" applyFill="1" applyBorder="1"/>
    <xf numFmtId="49" fontId="3" fillId="0" borderId="1" xfId="0" applyNumberFormat="1" applyFont="1" applyBorder="1" applyAlignment="1">
      <alignment horizontal="center"/>
    </xf>
    <xf numFmtId="49" fontId="7" fillId="0" borderId="1" xfId="16" applyNumberFormat="1" applyFont="1" applyFill="1" applyBorder="1" applyAlignment="1" applyProtection="1">
      <alignment horizontal="left" vertical="center" wrapText="1" indent="1"/>
    </xf>
    <xf numFmtId="3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16" applyFont="1" applyFill="1" applyBorder="1" applyAlignment="1" applyProtection="1">
      <alignment horizontal="center" vertical="center"/>
    </xf>
    <xf numFmtId="0" fontId="10" fillId="0" borderId="22" xfId="1" applyFont="1" applyFill="1" applyBorder="1" applyAlignment="1" applyProtection="1">
      <alignment horizontal="center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23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27" fillId="0" borderId="9" xfId="9" applyFont="1" applyFill="1" applyBorder="1" applyAlignment="1" applyProtection="1">
      <alignment wrapText="1"/>
      <protection locked="0"/>
    </xf>
    <xf numFmtId="14" fontId="27" fillId="0" borderId="9" xfId="9" applyNumberFormat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horizontal="right" vertical="top" wrapText="1"/>
      <protection locked="0"/>
    </xf>
    <xf numFmtId="1" fontId="10" fillId="0" borderId="26" xfId="1" applyNumberFormat="1" applyFont="1" applyFill="1" applyBorder="1" applyAlignment="1" applyProtection="1">
      <alignment horizontal="left" vertical="top"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10" fillId="0" borderId="27" xfId="1" applyFont="1" applyFill="1" applyBorder="1" applyAlignment="1" applyProtection="1">
      <alignment horizontal="center" vertical="top" wrapText="1"/>
      <protection locked="0"/>
    </xf>
    <xf numFmtId="0" fontId="7" fillId="5" borderId="0" xfId="16" applyFont="1" applyFill="1" applyBorder="1" applyAlignment="1" applyProtection="1">
      <alignment horizontal="center" vertical="center"/>
    </xf>
    <xf numFmtId="0" fontId="8" fillId="0" borderId="0" xfId="1" applyFont="1" applyFill="1" applyProtection="1"/>
    <xf numFmtId="0" fontId="7" fillId="0" borderId="0" xfId="1" applyFont="1" applyFill="1" applyProtection="1"/>
    <xf numFmtId="0" fontId="7" fillId="0" borderId="0" xfId="1" applyFont="1" applyFill="1" applyAlignment="1" applyProtection="1">
      <alignment horizontal="center"/>
    </xf>
    <xf numFmtId="0" fontId="7" fillId="0" borderId="0" xfId="16" applyFont="1" applyFill="1" applyAlignment="1" applyProtection="1">
      <alignment horizontal="center" vertical="center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center"/>
    </xf>
    <xf numFmtId="0" fontId="12" fillId="0" borderId="2" xfId="1" applyFont="1" applyFill="1" applyBorder="1" applyAlignment="1" applyProtection="1">
      <alignment horizontal="center" vertical="top" wrapText="1"/>
    </xf>
    <xf numFmtId="1" fontId="12" fillId="0" borderId="2" xfId="1" applyNumberFormat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Protection="1">
      <protection locked="0"/>
    </xf>
    <xf numFmtId="49" fontId="10" fillId="0" borderId="2" xfId="1" applyNumberFormat="1" applyFont="1" applyFill="1" applyBorder="1" applyAlignment="1" applyProtection="1">
      <alignment horizontal="left" vertical="top" wrapText="1"/>
      <protection locked="0"/>
    </xf>
    <xf numFmtId="49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center" vertical="top" wrapText="1"/>
      <protection locked="0"/>
    </xf>
    <xf numFmtId="0" fontId="10" fillId="0" borderId="25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3" fillId="0" borderId="1" xfId="1" applyFill="1" applyBorder="1" applyAlignment="1">
      <alignment horizontal="center"/>
    </xf>
    <xf numFmtId="0" fontId="3" fillId="0" borderId="0" xfId="1" applyFill="1"/>
    <xf numFmtId="0" fontId="10" fillId="0" borderId="25" xfId="1" applyFont="1" applyFill="1" applyBorder="1" applyAlignment="1" applyProtection="1">
      <alignment vertical="top" wrapText="1"/>
      <protection locked="0"/>
    </xf>
    <xf numFmtId="49" fontId="7" fillId="0" borderId="1" xfId="1" applyNumberFormat="1" applyFont="1" applyFill="1" applyBorder="1" applyProtection="1">
      <protection locked="0"/>
    </xf>
    <xf numFmtId="0" fontId="32" fillId="0" borderId="1" xfId="1" applyFont="1" applyFill="1" applyBorder="1" applyAlignment="1">
      <alignment horizontal="right"/>
    </xf>
    <xf numFmtId="0" fontId="7" fillId="0" borderId="1" xfId="1" applyFont="1" applyFill="1" applyBorder="1" applyAlignment="1" applyProtection="1">
      <alignment vertical="center" wrapText="1"/>
    </xf>
    <xf numFmtId="0" fontId="8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3" fillId="0" borderId="0" xfId="1" applyFill="1" applyAlignment="1">
      <alignment horizontal="center"/>
    </xf>
    <xf numFmtId="0" fontId="7" fillId="0" borderId="10" xfId="1" applyFont="1" applyFill="1" applyBorder="1" applyProtection="1">
      <protection locked="0"/>
    </xf>
    <xf numFmtId="0" fontId="7" fillId="0" borderId="10" xfId="1" applyFont="1" applyFill="1" applyBorder="1" applyAlignment="1" applyProtection="1">
      <alignment horizontal="center"/>
      <protection locked="0"/>
    </xf>
    <xf numFmtId="0" fontId="3" fillId="0" borderId="0" xfId="1" applyFill="1" applyBorder="1" applyAlignment="1">
      <alignment horizontal="center"/>
    </xf>
    <xf numFmtId="0" fontId="8" fillId="0" borderId="0" xfId="1" applyFont="1" applyFill="1" applyProtection="1"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8" fillId="5" borderId="0" xfId="1" applyFont="1" applyFill="1" applyProtection="1"/>
    <xf numFmtId="0" fontId="7" fillId="5" borderId="0" xfId="1" applyFont="1" applyFill="1" applyBorder="1" applyAlignment="1" applyProtection="1">
      <alignment horizontal="left" wrapText="1"/>
    </xf>
    <xf numFmtId="0" fontId="7" fillId="5" borderId="0" xfId="1" applyFont="1" applyFill="1" applyProtection="1">
      <protection locked="0"/>
    </xf>
    <xf numFmtId="0" fontId="7" fillId="0" borderId="0" xfId="1" applyFont="1" applyProtection="1">
      <protection locked="0"/>
    </xf>
    <xf numFmtId="0" fontId="7" fillId="5" borderId="0" xfId="1" applyFont="1" applyFill="1" applyProtection="1"/>
    <xf numFmtId="4" fontId="7" fillId="5" borderId="0" xfId="1" applyNumberFormat="1" applyFont="1" applyFill="1" applyBorder="1" applyProtection="1"/>
    <xf numFmtId="0" fontId="7" fillId="5" borderId="0" xfId="1" applyFont="1" applyFill="1" applyBorder="1" applyAlignment="1" applyProtection="1">
      <alignment horizontal="left"/>
    </xf>
    <xf numFmtId="4" fontId="7" fillId="5" borderId="0" xfId="1" applyNumberFormat="1" applyFont="1" applyFill="1" applyProtection="1"/>
    <xf numFmtId="0" fontId="7" fillId="5" borderId="0" xfId="1" applyFont="1" applyFill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left"/>
    </xf>
    <xf numFmtId="4" fontId="7" fillId="0" borderId="0" xfId="1" applyNumberFormat="1" applyFont="1" applyFill="1" applyProtection="1"/>
    <xf numFmtId="0" fontId="7" fillId="5" borderId="0" xfId="1" applyFont="1" applyFill="1" applyBorder="1" applyProtection="1"/>
    <xf numFmtId="0" fontId="7" fillId="5" borderId="10" xfId="1" applyFont="1" applyFill="1" applyBorder="1" applyAlignment="1" applyProtection="1">
      <alignment horizontal="left"/>
    </xf>
    <xf numFmtId="0" fontId="7" fillId="5" borderId="10" xfId="1" applyFont="1" applyFill="1" applyBorder="1" applyAlignment="1" applyProtection="1">
      <alignment horizontal="left" wrapText="1"/>
    </xf>
    <xf numFmtId="4" fontId="7" fillId="5" borderId="10" xfId="1" applyNumberFormat="1" applyFont="1" applyFill="1" applyBorder="1" applyProtection="1"/>
    <xf numFmtId="0" fontId="8" fillId="5" borderId="10" xfId="1" applyFont="1" applyFill="1" applyBorder="1" applyAlignment="1" applyProtection="1">
      <alignment horizontal="center" vertical="center" wrapText="1"/>
    </xf>
    <xf numFmtId="4" fontId="8" fillId="5" borderId="10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0" xfId="1" applyFont="1" applyAlignment="1" applyProtection="1">
      <alignment horizontal="center" vertical="center" wrapText="1"/>
    </xf>
    <xf numFmtId="4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4" fontId="8" fillId="5" borderId="1" xfId="1" applyNumberFormat="1" applyFont="1" applyFill="1" applyBorder="1" applyAlignment="1" applyProtection="1">
      <alignment horizontal="right" vertical="center" wrapText="1"/>
    </xf>
    <xf numFmtId="0" fontId="8" fillId="0" borderId="1" xfId="1" applyFont="1" applyFill="1" applyBorder="1" applyAlignment="1" applyProtection="1">
      <alignment horizontal="left" indent="1"/>
    </xf>
    <xf numFmtId="0" fontId="7" fillId="0" borderId="1" xfId="1" applyFont="1" applyBorder="1" applyAlignment="1" applyProtection="1">
      <alignment wrapText="1"/>
    </xf>
    <xf numFmtId="4" fontId="8" fillId="5" borderId="1" xfId="1" applyNumberFormat="1" applyFont="1" applyFill="1" applyBorder="1" applyProtection="1"/>
    <xf numFmtId="4" fontId="7" fillId="0" borderId="0" xfId="1" applyNumberFormat="1" applyFont="1" applyProtection="1">
      <protection locked="0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wrapText="1"/>
    </xf>
    <xf numFmtId="4" fontId="7" fillId="0" borderId="1" xfId="1" applyNumberFormat="1" applyFont="1" applyBorder="1" applyProtection="1">
      <protection locked="0"/>
    </xf>
    <xf numFmtId="4" fontId="7" fillId="0" borderId="1" xfId="1" applyNumberFormat="1" applyFont="1" applyBorder="1" applyAlignment="1" applyProtection="1">
      <alignment horizontal="right"/>
      <protection locked="0"/>
    </xf>
    <xf numFmtId="4" fontId="7" fillId="0" borderId="1" xfId="1" applyNumberFormat="1" applyFont="1" applyFill="1" applyBorder="1" applyProtection="1">
      <protection locked="0"/>
    </xf>
    <xf numFmtId="0" fontId="8" fillId="0" borderId="0" xfId="1" applyFont="1" applyFill="1" applyBorder="1" applyAlignment="1" applyProtection="1">
      <alignment horizontal="left" indent="1"/>
      <protection locked="0"/>
    </xf>
    <xf numFmtId="0" fontId="7" fillId="0" borderId="0" xfId="1" applyFont="1" applyFill="1" applyBorder="1" applyAlignment="1" applyProtection="1">
      <alignment horizontal="left" wrapText="1"/>
      <protection locked="0"/>
    </xf>
    <xf numFmtId="0" fontId="8" fillId="0" borderId="1" xfId="1" applyFont="1" applyFill="1" applyBorder="1" applyAlignment="1" applyProtection="1">
      <alignment horizontal="left" vertical="center" indent="1"/>
    </xf>
    <xf numFmtId="0" fontId="8" fillId="0" borderId="0" xfId="1" applyFont="1" applyFill="1" applyBorder="1" applyAlignment="1" applyProtection="1">
      <alignment horizontal="left" vertical="center" indent="1"/>
      <protection locked="0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3" fillId="0" borderId="0" xfId="1"/>
    <xf numFmtId="4" fontId="7" fillId="0" borderId="0" xfId="1" applyNumberFormat="1" applyFont="1" applyBorder="1" applyProtection="1">
      <protection locked="0"/>
    </xf>
    <xf numFmtId="0" fontId="6" fillId="0" borderId="0" xfId="1" applyFont="1"/>
    <xf numFmtId="4" fontId="3" fillId="0" borderId="0" xfId="1" applyNumberFormat="1"/>
    <xf numFmtId="0" fontId="7" fillId="0" borderId="0" xfId="1" applyFont="1" applyFill="1" applyBorder="1" applyAlignment="1" applyProtection="1">
      <alignment horizontal="left"/>
      <protection locked="0"/>
    </xf>
    <xf numFmtId="0" fontId="33" fillId="5" borderId="1" xfId="7" applyFont="1" applyFill="1" applyBorder="1" applyAlignment="1" applyProtection="1">
      <alignment vertical="center" wrapText="1"/>
    </xf>
    <xf numFmtId="0" fontId="33" fillId="5" borderId="1" xfId="7" applyFont="1" applyFill="1" applyBorder="1" applyAlignment="1" applyProtection="1">
      <alignment horizontal="center" vertical="center" wrapText="1"/>
    </xf>
    <xf numFmtId="0" fontId="33" fillId="0" borderId="0" xfId="7" applyFont="1" applyProtection="1">
      <protection locked="0"/>
    </xf>
    <xf numFmtId="0" fontId="34" fillId="5" borderId="4" xfId="7" applyFont="1" applyFill="1" applyBorder="1" applyAlignment="1" applyProtection="1">
      <alignment horizontal="center" vertical="center" wrapText="1"/>
    </xf>
    <xf numFmtId="0" fontId="34" fillId="5" borderId="3" xfId="7" applyFont="1" applyFill="1" applyBorder="1" applyAlignment="1" applyProtection="1">
      <alignment horizontal="center" vertical="center" wrapText="1"/>
    </xf>
    <xf numFmtId="0" fontId="34" fillId="5" borderId="1" xfId="7" applyFont="1" applyFill="1" applyBorder="1" applyAlignment="1" applyProtection="1">
      <alignment horizontal="center" vertical="center" wrapText="1"/>
    </xf>
    <xf numFmtId="0" fontId="34" fillId="0" borderId="1" xfId="7" applyFont="1" applyBorder="1" applyAlignment="1" applyProtection="1">
      <alignment vertical="center" wrapText="1"/>
    </xf>
    <xf numFmtId="168" fontId="20" fillId="5" borderId="1" xfId="16" applyNumberFormat="1" applyFont="1" applyFill="1" applyBorder="1" applyAlignment="1" applyProtection="1">
      <alignment horizontal="right" vertical="center"/>
    </xf>
    <xf numFmtId="0" fontId="33" fillId="0" borderId="1" xfId="7" applyFont="1" applyBorder="1" applyAlignment="1" applyProtection="1">
      <alignment vertical="center" wrapText="1"/>
    </xf>
    <xf numFmtId="168" fontId="33" fillId="5" borderId="1" xfId="7" applyNumberFormat="1" applyFont="1" applyFill="1" applyBorder="1" applyAlignment="1" applyProtection="1">
      <alignment vertical="center" wrapText="1"/>
    </xf>
    <xf numFmtId="168" fontId="33" fillId="0" borderId="1" xfId="7" applyNumberFormat="1" applyFont="1" applyBorder="1" applyAlignment="1" applyProtection="1">
      <alignment vertical="center" wrapText="1"/>
      <protection locked="0"/>
    </xf>
    <xf numFmtId="168" fontId="29" fillId="5" borderId="1" xfId="7" applyNumberFormat="1" applyFont="1" applyFill="1" applyBorder="1" applyAlignment="1" applyProtection="1">
      <alignment vertical="center" wrapText="1"/>
    </xf>
    <xf numFmtId="0" fontId="33" fillId="0" borderId="1" xfId="7" applyFont="1" applyFill="1" applyBorder="1" applyAlignment="1" applyProtection="1">
      <alignment vertical="center" wrapText="1"/>
    </xf>
    <xf numFmtId="168" fontId="33" fillId="0" borderId="1" xfId="7" applyNumberFormat="1" applyFont="1" applyFill="1" applyBorder="1" applyAlignment="1" applyProtection="1">
      <alignment vertical="center" wrapText="1"/>
      <protection locked="0"/>
    </xf>
    <xf numFmtId="0" fontId="33" fillId="0" borderId="0" xfId="7" applyFont="1" applyFill="1" applyProtection="1">
      <protection locked="0"/>
    </xf>
    <xf numFmtId="168" fontId="33" fillId="0" borderId="0" xfId="7" applyNumberFormat="1" applyFont="1" applyFill="1" applyProtection="1">
      <protection locked="0"/>
    </xf>
    <xf numFmtId="168" fontId="33" fillId="0" borderId="1" xfId="7" applyNumberFormat="1" applyFont="1" applyFill="1" applyBorder="1" applyAlignment="1" applyProtection="1">
      <alignment vertical="center" wrapText="1"/>
    </xf>
    <xf numFmtId="0" fontId="34" fillId="0" borderId="1" xfId="7" applyFont="1" applyFill="1" applyBorder="1" applyAlignment="1" applyProtection="1">
      <alignment vertical="center" wrapText="1"/>
    </xf>
    <xf numFmtId="168" fontId="20" fillId="0" borderId="1" xfId="16" applyNumberFormat="1" applyFont="1" applyFill="1" applyBorder="1" applyAlignment="1" applyProtection="1">
      <alignment horizontal="right" vertical="center"/>
    </xf>
    <xf numFmtId="4" fontId="33" fillId="0" borderId="0" xfId="7" applyNumberFormat="1" applyFont="1" applyProtection="1">
      <protection locked="0"/>
    </xf>
    <xf numFmtId="0" fontId="26" fillId="0" borderId="0" xfId="7" applyFont="1" applyAlignment="1" applyProtection="1">
      <alignment vertical="center" wrapText="1"/>
      <protection locked="0"/>
    </xf>
    <xf numFmtId="0" fontId="25" fillId="0" borderId="0" xfId="7" applyFont="1" applyProtection="1">
      <protection locked="0"/>
    </xf>
    <xf numFmtId="0" fontId="29" fillId="5" borderId="4" xfId="8" applyFont="1" applyFill="1" applyBorder="1" applyAlignment="1" applyProtection="1">
      <alignment horizontal="left" vertical="center" wrapText="1"/>
    </xf>
    <xf numFmtId="0" fontId="29" fillId="5" borderId="1" xfId="8" applyFont="1" applyFill="1" applyBorder="1" applyAlignment="1" applyProtection="1">
      <alignment horizontal="center" vertical="center" wrapText="1"/>
    </xf>
    <xf numFmtId="0" fontId="29" fillId="5" borderId="4" xfId="8" applyFont="1" applyFill="1" applyBorder="1" applyAlignment="1" applyProtection="1">
      <alignment horizontal="center" vertical="center" wrapText="1"/>
    </xf>
    <xf numFmtId="0" fontId="26" fillId="0" borderId="1" xfId="8" applyFont="1" applyBorder="1" applyAlignment="1" applyProtection="1">
      <alignment horizontal="center" vertical="center" wrapText="1"/>
      <protection locked="0"/>
    </xf>
    <xf numFmtId="0" fontId="26" fillId="0" borderId="1" xfId="8" applyFont="1" applyBorder="1" applyAlignment="1" applyProtection="1">
      <alignment vertical="center" wrapText="1"/>
      <protection locked="0"/>
    </xf>
    <xf numFmtId="2" fontId="26" fillId="0" borderId="1" xfId="8" applyNumberFormat="1" applyFont="1" applyBorder="1" applyAlignment="1" applyProtection="1">
      <alignment vertical="center" wrapText="1"/>
      <protection locked="0"/>
    </xf>
    <xf numFmtId="49" fontId="26" fillId="0" borderId="1" xfId="8" applyNumberFormat="1" applyFont="1" applyBorder="1" applyAlignment="1" applyProtection="1">
      <alignment vertical="center" wrapText="1"/>
      <protection locked="0"/>
    </xf>
    <xf numFmtId="0" fontId="26" fillId="0" borderId="9" xfId="8" applyFont="1" applyBorder="1" applyAlignment="1" applyProtection="1">
      <alignment vertical="center" wrapText="1"/>
      <protection locked="0"/>
    </xf>
    <xf numFmtId="49" fontId="26" fillId="0" borderId="9" xfId="8" applyNumberFormat="1" applyFont="1" applyBorder="1" applyAlignment="1" applyProtection="1">
      <alignment vertical="center" wrapText="1"/>
      <protection locked="0"/>
    </xf>
    <xf numFmtId="49" fontId="26" fillId="0" borderId="9" xfId="8" applyNumberFormat="1" applyFont="1" applyFill="1" applyBorder="1" applyAlignment="1" applyProtection="1">
      <alignment vertical="center" wrapText="1"/>
      <protection locked="0"/>
    </xf>
    <xf numFmtId="0" fontId="26" fillId="0" borderId="1" xfId="8" applyFont="1" applyFill="1" applyBorder="1" applyAlignment="1" applyProtection="1">
      <alignment vertical="center" wrapText="1"/>
      <protection locked="0"/>
    </xf>
    <xf numFmtId="49" fontId="26" fillId="2" borderId="1" xfId="8" applyNumberFormat="1" applyFont="1" applyFill="1" applyBorder="1" applyAlignment="1" applyProtection="1">
      <alignment vertical="center" wrapText="1"/>
      <protection locked="0"/>
    </xf>
    <xf numFmtId="0" fontId="26" fillId="2" borderId="9" xfId="8" applyFont="1" applyFill="1" applyBorder="1" applyAlignment="1" applyProtection="1">
      <alignment vertical="center" wrapText="1"/>
      <protection locked="0"/>
    </xf>
    <xf numFmtId="0" fontId="35" fillId="0" borderId="0" xfId="0" applyFont="1" applyAlignment="1">
      <alignment horizontal="left"/>
    </xf>
    <xf numFmtId="2" fontId="26" fillId="0" borderId="1" xfId="8" applyNumberFormat="1" applyFont="1" applyBorder="1" applyAlignment="1" applyProtection="1">
      <alignment horizontal="right" vertical="center" wrapText="1"/>
      <protection locked="0"/>
    </xf>
    <xf numFmtId="2" fontId="26" fillId="2" borderId="1" xfId="8" applyNumberFormat="1" applyFont="1" applyFill="1" applyBorder="1" applyAlignment="1" applyProtection="1">
      <alignment vertical="center" wrapText="1"/>
      <protection locked="0"/>
    </xf>
    <xf numFmtId="2" fontId="26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26" fillId="0" borderId="1" xfId="8" applyFont="1" applyBorder="1" applyAlignment="1" applyProtection="1">
      <alignment horizontal="center" vertical="center"/>
      <protection locked="0"/>
    </xf>
    <xf numFmtId="49" fontId="26" fillId="0" borderId="1" xfId="8" applyNumberFormat="1" applyFont="1" applyBorder="1" applyAlignment="1" applyProtection="1">
      <alignment horizontal="right" vertical="center" wrapText="1"/>
      <protection locked="0"/>
    </xf>
    <xf numFmtId="0" fontId="26" fillId="0" borderId="9" xfId="8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1" fontId="8" fillId="0" borderId="4" xfId="1" applyNumberFormat="1" applyFont="1" applyFill="1" applyBorder="1" applyAlignment="1" applyProtection="1">
      <alignment horizontal="center" vertical="top" wrapText="1"/>
    </xf>
    <xf numFmtId="1" fontId="12" fillId="0" borderId="1" xfId="1" applyNumberFormat="1" applyFont="1" applyFill="1" applyBorder="1" applyAlignment="1" applyProtection="1">
      <alignment horizontal="center" vertical="top" wrapText="1"/>
    </xf>
    <xf numFmtId="0" fontId="10" fillId="0" borderId="1" xfId="1" applyFont="1" applyFill="1" applyBorder="1" applyAlignment="1" applyProtection="1">
      <alignment horizontal="center" vertical="top" wrapText="1"/>
      <protection locked="0"/>
    </xf>
    <xf numFmtId="0" fontId="27" fillId="0" borderId="28" xfId="9" applyFont="1" applyBorder="1" applyAlignment="1" applyProtection="1">
      <alignment horizontal="center"/>
      <protection locked="0"/>
    </xf>
    <xf numFmtId="0" fontId="27" fillId="0" borderId="1" xfId="9" applyFont="1" applyBorder="1" applyAlignment="1" applyProtection="1">
      <alignment horizontal="center"/>
      <protection locked="0"/>
    </xf>
    <xf numFmtId="49" fontId="36" fillId="0" borderId="1" xfId="0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left" wrapText="1"/>
    </xf>
    <xf numFmtId="2" fontId="11" fillId="0" borderId="2" xfId="1" applyNumberFormat="1" applyFont="1" applyFill="1" applyBorder="1" applyAlignment="1" applyProtection="1">
      <alignment horizontal="right" vertical="top" wrapText="1"/>
      <protection locked="0"/>
    </xf>
    <xf numFmtId="0" fontId="12" fillId="0" borderId="25" xfId="1" applyFont="1" applyFill="1" applyBorder="1" applyAlignment="1" applyProtection="1">
      <alignment horizontal="left" vertical="top"/>
    </xf>
    <xf numFmtId="1" fontId="10" fillId="5" borderId="25" xfId="1" applyNumberFormat="1" applyFont="1" applyFill="1" applyBorder="1" applyAlignment="1" applyProtection="1">
      <alignment horizontal="center" vertical="top" wrapText="1"/>
      <protection locked="0"/>
    </xf>
    <xf numFmtId="0" fontId="12" fillId="0" borderId="1" xfId="1" applyFont="1" applyFill="1" applyBorder="1" applyAlignment="1" applyProtection="1">
      <alignment horizontal="left" vertical="top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" fontId="10" fillId="5" borderId="1" xfId="1" applyNumberFormat="1" applyFont="1" applyFill="1" applyBorder="1" applyAlignment="1" applyProtection="1">
      <alignment horizontal="center" vertical="top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14" fontId="7" fillId="0" borderId="1" xfId="17" applyNumberFormat="1" applyFont="1" applyFill="1" applyBorder="1" applyAlignment="1">
      <alignment horizontal="right" vertical="center"/>
    </xf>
    <xf numFmtId="169" fontId="7" fillId="0" borderId="1" xfId="17" applyNumberFormat="1" applyFont="1" applyFill="1" applyBorder="1" applyAlignment="1">
      <alignment horizontal="right" vertical="center"/>
    </xf>
    <xf numFmtId="4" fontId="7" fillId="0" borderId="1" xfId="17" applyNumberFormat="1" applyFont="1" applyFill="1" applyBorder="1" applyAlignment="1">
      <alignment horizontal="left" vertical="center" wrapText="1"/>
    </xf>
    <xf numFmtId="0" fontId="7" fillId="5" borderId="0" xfId="0" applyFont="1" applyFill="1" applyAlignment="1" applyProtection="1">
      <alignment horizontal="left"/>
    </xf>
    <xf numFmtId="0" fontId="12" fillId="5" borderId="2" xfId="1" applyFont="1" applyFill="1" applyBorder="1" applyAlignment="1" applyProtection="1">
      <alignment horizontal="left" vertical="top" wrapText="1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>
      <alignment horizontal="left"/>
    </xf>
    <xf numFmtId="0" fontId="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left"/>
    </xf>
    <xf numFmtId="0" fontId="7" fillId="2" borderId="1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4" fontId="7" fillId="0" borderId="1" xfId="17" applyNumberFormat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 applyProtection="1">
      <alignment horizontal="center" vertical="top" wrapText="1"/>
      <protection locked="0"/>
    </xf>
    <xf numFmtId="2" fontId="10" fillId="0" borderId="1" xfId="1" applyNumberFormat="1" applyFont="1" applyFill="1" applyBorder="1" applyAlignment="1" applyProtection="1">
      <alignment horizontal="center" vertical="top" wrapText="1"/>
      <protection locked="0"/>
    </xf>
    <xf numFmtId="0" fontId="38" fillId="0" borderId="1" xfId="0" applyFont="1" applyBorder="1"/>
    <xf numFmtId="0" fontId="39" fillId="0" borderId="1" xfId="0" applyFont="1" applyBorder="1"/>
    <xf numFmtId="49" fontId="40" fillId="0" borderId="34" xfId="0" applyNumberFormat="1" applyFont="1" applyBorder="1" applyAlignment="1">
      <alignment horizontal="left" wrapText="1"/>
    </xf>
    <xf numFmtId="49" fontId="40" fillId="0" borderId="35" xfId="0" applyNumberFormat="1" applyFont="1" applyBorder="1" applyAlignment="1">
      <alignment horizontal="left" wrapText="1"/>
    </xf>
    <xf numFmtId="49" fontId="37" fillId="0" borderId="36" xfId="1" applyNumberFormat="1" applyFont="1" applyBorder="1" applyAlignment="1">
      <alignment horizontal="left" wrapText="1"/>
    </xf>
    <xf numFmtId="49" fontId="40" fillId="0" borderId="37" xfId="0" applyNumberFormat="1" applyFont="1" applyBorder="1" applyAlignment="1">
      <alignment horizontal="left" wrapText="1"/>
    </xf>
    <xf numFmtId="49" fontId="37" fillId="0" borderId="38" xfId="1" applyNumberFormat="1" applyFont="1" applyBorder="1" applyAlignment="1">
      <alignment horizontal="left" wrapText="1"/>
    </xf>
    <xf numFmtId="14" fontId="27" fillId="0" borderId="4" xfId="9" applyNumberFormat="1" applyFont="1" applyBorder="1" applyAlignment="1" applyProtection="1">
      <alignment wrapText="1"/>
      <protection locked="0"/>
    </xf>
    <xf numFmtId="49" fontId="37" fillId="0" borderId="39" xfId="1" applyNumberFormat="1" applyFont="1" applyBorder="1" applyAlignment="1">
      <alignment horizontal="left" wrapText="1"/>
    </xf>
    <xf numFmtId="0" fontId="27" fillId="0" borderId="3" xfId="9" applyFont="1" applyBorder="1" applyProtection="1">
      <protection locked="0"/>
    </xf>
    <xf numFmtId="0" fontId="28" fillId="5" borderId="29" xfId="9" applyFont="1" applyFill="1" applyBorder="1" applyAlignment="1" applyProtection="1">
      <alignment horizontal="center"/>
    </xf>
    <xf numFmtId="49" fontId="40" fillId="4" borderId="34" xfId="0" applyNumberFormat="1" applyFont="1" applyFill="1" applyBorder="1" applyAlignment="1">
      <alignment horizontal="left" wrapText="1"/>
    </xf>
    <xf numFmtId="49" fontId="37" fillId="4" borderId="36" xfId="1" applyNumberFormat="1" applyFont="1" applyFill="1" applyBorder="1" applyAlignment="1">
      <alignment horizontal="left" wrapText="1"/>
    </xf>
    <xf numFmtId="0" fontId="0" fillId="4" borderId="1" xfId="0" applyFill="1" applyBorder="1"/>
    <xf numFmtId="49" fontId="1" fillId="0" borderId="1" xfId="0" applyNumberFormat="1" applyFont="1" applyBorder="1"/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5" borderId="1" xfId="1" applyFont="1" applyFill="1" applyBorder="1" applyAlignment="1" applyProtection="1">
      <alignment horizontal="right" vertical="top"/>
    </xf>
    <xf numFmtId="4" fontId="33" fillId="0" borderId="1" xfId="7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3" fontId="7" fillId="0" borderId="1" xfId="16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Protection="1"/>
    <xf numFmtId="3" fontId="8" fillId="0" borderId="1" xfId="16" applyNumberFormat="1" applyFont="1" applyFill="1" applyBorder="1" applyAlignment="1" applyProtection="1">
      <alignment horizontal="right" vertical="center" wrapText="1"/>
    </xf>
    <xf numFmtId="0" fontId="10" fillId="0" borderId="1" xfId="0" applyFont="1" applyBorder="1" applyAlignment="1">
      <alignment vertical="top" wrapText="1"/>
    </xf>
    <xf numFmtId="4" fontId="20" fillId="5" borderId="1" xfId="16" applyNumberFormat="1" applyFont="1" applyFill="1" applyBorder="1" applyAlignment="1" applyProtection="1">
      <alignment horizontal="right" vertical="center"/>
    </xf>
    <xf numFmtId="0" fontId="7" fillId="0" borderId="0" xfId="16" applyFont="1" applyFill="1" applyProtection="1">
      <protection locked="0"/>
    </xf>
    <xf numFmtId="0" fontId="7" fillId="0" borderId="1" xfId="3" applyFont="1" applyFill="1" applyBorder="1" applyAlignment="1" applyProtection="1">
      <alignment horizontal="center" vertical="top"/>
      <protection locked="0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164" fontId="7" fillId="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0" fontId="7" fillId="0" borderId="0" xfId="4" applyFont="1" applyFill="1" applyAlignment="1" applyProtection="1">
      <alignment horizontal="center" vertical="center"/>
      <protection locked="0"/>
    </xf>
    <xf numFmtId="3" fontId="7" fillId="0" borderId="1" xfId="16" applyNumberFormat="1" applyFont="1" applyFill="1" applyBorder="1" applyAlignment="1" applyProtection="1">
      <alignment horizontal="center" vertical="center" wrapText="1"/>
    </xf>
    <xf numFmtId="3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Fill="1" applyProtection="1">
      <protection locked="0"/>
    </xf>
    <xf numFmtId="0" fontId="7" fillId="0" borderId="4" xfId="4" applyFont="1" applyFill="1" applyBorder="1" applyAlignment="1" applyProtection="1">
      <alignment horizontal="left" vertical="center" indent="1"/>
    </xf>
    <xf numFmtId="0" fontId="7" fillId="0" borderId="1" xfId="4" applyFont="1" applyFill="1" applyBorder="1" applyAlignment="1" applyProtection="1">
      <alignment horizontal="center"/>
    </xf>
    <xf numFmtId="0" fontId="8" fillId="0" borderId="1" xfId="4" applyFont="1" applyFill="1" applyBorder="1" applyAlignment="1" applyProtection="1">
      <alignment horizontal="center"/>
    </xf>
    <xf numFmtId="0" fontId="7" fillId="0" borderId="1" xfId="4" applyFont="1" applyFill="1" applyBorder="1" applyAlignment="1" applyProtection="1">
      <alignment horizontal="center"/>
      <protection locked="0"/>
    </xf>
    <xf numFmtId="0" fontId="7" fillId="0" borderId="9" xfId="4" applyFont="1" applyFill="1" applyBorder="1" applyAlignment="1" applyProtection="1">
      <alignment horizontal="center"/>
    </xf>
    <xf numFmtId="0" fontId="1" fillId="0" borderId="0" xfId="4" applyFill="1" applyProtection="1">
      <protection locked="0"/>
    </xf>
    <xf numFmtId="0" fontId="1" fillId="0" borderId="0" xfId="4" applyFill="1"/>
    <xf numFmtId="49" fontId="1" fillId="0" borderId="0" xfId="0" applyNumberFormat="1" applyFont="1" applyAlignment="1">
      <alignment vertical="center" wrapText="1"/>
    </xf>
    <xf numFmtId="170" fontId="0" fillId="0" borderId="0" xfId="0" applyNumberFormat="1"/>
    <xf numFmtId="3" fontId="8" fillId="0" borderId="0" xfId="16" applyNumberFormat="1" applyFont="1" applyFill="1" applyAlignment="1" applyProtection="1">
      <alignment horizontal="center" vertical="center"/>
      <protection locked="0"/>
    </xf>
    <xf numFmtId="3" fontId="9" fillId="0" borderId="0" xfId="16" applyNumberFormat="1" applyFont="1" applyFill="1" applyAlignment="1" applyProtection="1">
      <alignment horizontal="center" vertical="center" wrapText="1"/>
      <protection locked="0"/>
    </xf>
    <xf numFmtId="0" fontId="7" fillId="0" borderId="0" xfId="1" applyFont="1" applyFill="1" applyAlignment="1" applyProtection="1">
      <alignment horizontal="right"/>
    </xf>
    <xf numFmtId="0" fontId="8" fillId="0" borderId="0" xfId="1" applyFont="1" applyFill="1" applyBorder="1" applyAlignment="1" applyProtection="1">
      <alignment horizontal="right"/>
    </xf>
    <xf numFmtId="0" fontId="12" fillId="0" borderId="2" xfId="1" applyFont="1" applyFill="1" applyBorder="1" applyAlignment="1" applyProtection="1">
      <alignment horizontal="right" vertical="top" wrapText="1"/>
    </xf>
    <xf numFmtId="167" fontId="26" fillId="0" borderId="9" xfId="13" applyNumberFormat="1" applyFont="1" applyFill="1" applyBorder="1" applyAlignment="1" applyProtection="1">
      <alignment horizontal="right"/>
      <protection locked="0"/>
    </xf>
    <xf numFmtId="0" fontId="7" fillId="0" borderId="0" xfId="1" applyFont="1" applyFill="1" applyBorder="1" applyAlignment="1" applyProtection="1">
      <alignment horizontal="right"/>
      <protection locked="0"/>
    </xf>
    <xf numFmtId="0" fontId="7" fillId="0" borderId="0" xfId="1" applyFont="1" applyFill="1" applyBorder="1" applyProtection="1">
      <protection locked="0"/>
    </xf>
    <xf numFmtId="0" fontId="7" fillId="0" borderId="0" xfId="1" applyFont="1" applyFill="1" applyAlignment="1" applyProtection="1">
      <alignment horizontal="right"/>
      <protection locked="0"/>
    </xf>
    <xf numFmtId="0" fontId="8" fillId="0" borderId="0" xfId="1" applyFont="1" applyFill="1" applyAlignment="1" applyProtection="1">
      <alignment horizontal="right"/>
      <protection locked="0"/>
    </xf>
    <xf numFmtId="4" fontId="7" fillId="5" borderId="0" xfId="1" applyNumberFormat="1" applyFont="1" applyFill="1" applyProtection="1">
      <protection locked="0"/>
    </xf>
    <xf numFmtId="0" fontId="10" fillId="7" borderId="2" xfId="1" applyFont="1" applyFill="1" applyBorder="1" applyAlignment="1" applyProtection="1">
      <alignment horizontal="center" vertical="top" wrapText="1"/>
      <protection locked="0"/>
    </xf>
    <xf numFmtId="167" fontId="26" fillId="7" borderId="1" xfId="13" applyNumberFormat="1" applyFont="1" applyFill="1" applyBorder="1" applyAlignment="1" applyProtection="1">
      <alignment horizontal="right"/>
      <protection locked="0"/>
    </xf>
    <xf numFmtId="1" fontId="10" fillId="7" borderId="16" xfId="1" applyNumberFormat="1" applyFont="1" applyFill="1" applyBorder="1" applyAlignment="1" applyProtection="1">
      <alignment horizontal="left" vertical="top" wrapText="1"/>
      <protection locked="0"/>
    </xf>
    <xf numFmtId="49" fontId="7" fillId="7" borderId="1" xfId="1" applyNumberFormat="1" applyFont="1" applyFill="1" applyBorder="1" applyProtection="1">
      <protection locked="0"/>
    </xf>
    <xf numFmtId="0" fontId="7" fillId="7" borderId="1" xfId="1" applyFont="1" applyFill="1" applyBorder="1" applyProtection="1">
      <protection locked="0"/>
    </xf>
    <xf numFmtId="0" fontId="7" fillId="7" borderId="1" xfId="1" applyFont="1" applyFill="1" applyBorder="1" applyAlignment="1" applyProtection="1">
      <alignment horizontal="center"/>
      <protection locked="0"/>
    </xf>
    <xf numFmtId="0" fontId="10" fillId="7" borderId="22" xfId="1" applyFont="1" applyFill="1" applyBorder="1" applyAlignment="1" applyProtection="1">
      <alignment horizontal="center" vertical="top" wrapText="1"/>
      <protection locked="0"/>
    </xf>
    <xf numFmtId="0" fontId="7" fillId="7" borderId="0" xfId="1" applyFont="1" applyFill="1" applyProtection="1">
      <protection locked="0"/>
    </xf>
    <xf numFmtId="0" fontId="0" fillId="7" borderId="0" xfId="0" applyFill="1"/>
    <xf numFmtId="14" fontId="7" fillId="7" borderId="1" xfId="1" applyNumberFormat="1" applyFont="1" applyFill="1" applyBorder="1" applyAlignment="1" applyProtection="1">
      <alignment horizontal="right"/>
      <protection locked="0"/>
    </xf>
    <xf numFmtId="0" fontId="17" fillId="7" borderId="1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3" fillId="7" borderId="1" xfId="1" applyFill="1" applyBorder="1" applyAlignment="1">
      <alignment vertical="top"/>
    </xf>
    <xf numFmtId="0" fontId="22" fillId="7" borderId="1" xfId="0" applyFont="1" applyFill="1" applyBorder="1" applyAlignment="1">
      <alignment horizontal="left" vertical="top" wrapText="1"/>
    </xf>
    <xf numFmtId="4" fontId="22" fillId="7" borderId="1" xfId="0" applyNumberFormat="1" applyFont="1" applyFill="1" applyBorder="1" applyAlignment="1">
      <alignment horizontal="center" vertical="top" wrapText="1"/>
    </xf>
    <xf numFmtId="0" fontId="10" fillId="7" borderId="1" xfId="1" applyFont="1" applyFill="1" applyBorder="1" applyAlignment="1" applyProtection="1">
      <alignment horizontal="center" vertical="top" wrapText="1"/>
      <protection locked="0"/>
    </xf>
    <xf numFmtId="0" fontId="7" fillId="7" borderId="1" xfId="1" applyFont="1" applyFill="1" applyBorder="1" applyAlignment="1" applyProtection="1">
      <alignment horizontal="right"/>
      <protection locked="0"/>
    </xf>
    <xf numFmtId="0" fontId="10" fillId="7" borderId="1" xfId="0" applyFont="1" applyFill="1" applyBorder="1" applyAlignment="1">
      <alignment vertical="top" wrapText="1"/>
    </xf>
    <xf numFmtId="49" fontId="7" fillId="7" borderId="1" xfId="1" applyNumberFormat="1" applyFont="1" applyFill="1" applyBorder="1" applyAlignment="1" applyProtection="1">
      <alignment horizontal="left"/>
      <protection locked="0"/>
    </xf>
    <xf numFmtId="0" fontId="0" fillId="7" borderId="1" xfId="0" applyFill="1" applyBorder="1" applyAlignment="1">
      <alignment horizontal="left" vertical="top" wrapText="1"/>
    </xf>
    <xf numFmtId="2" fontId="7" fillId="7" borderId="1" xfId="1" applyNumberFormat="1" applyFont="1" applyFill="1" applyBorder="1" applyAlignment="1" applyProtection="1">
      <alignment horizontal="center"/>
      <protection locked="0"/>
    </xf>
    <xf numFmtId="0" fontId="19" fillId="7" borderId="1" xfId="1" applyFont="1" applyFill="1" applyBorder="1" applyAlignment="1">
      <alignment vertical="top"/>
    </xf>
    <xf numFmtId="49" fontId="3" fillId="7" borderId="1" xfId="1" applyNumberFormat="1" applyFont="1" applyFill="1" applyBorder="1"/>
    <xf numFmtId="0" fontId="3" fillId="7" borderId="1" xfId="1" applyFill="1" applyBorder="1"/>
    <xf numFmtId="0" fontId="3" fillId="7" borderId="1" xfId="1" applyFill="1" applyBorder="1" applyAlignment="1">
      <alignment horizontal="center"/>
    </xf>
    <xf numFmtId="0" fontId="3" fillId="7" borderId="1" xfId="1" applyFont="1" applyFill="1" applyBorder="1" applyAlignment="1">
      <alignment vertical="top"/>
    </xf>
    <xf numFmtId="0" fontId="0" fillId="0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7" fillId="7" borderId="21" xfId="1" applyFont="1" applyFill="1" applyBorder="1" applyAlignment="1" applyProtection="1">
      <alignment horizontal="center"/>
      <protection locked="0"/>
    </xf>
    <xf numFmtId="14" fontId="7" fillId="7" borderId="21" xfId="1" applyNumberFormat="1" applyFont="1" applyFill="1" applyBorder="1" applyAlignment="1" applyProtection="1">
      <alignment horizontal="right"/>
      <protection locked="0"/>
    </xf>
    <xf numFmtId="0" fontId="19" fillId="7" borderId="21" xfId="1" applyFont="1" applyFill="1" applyBorder="1" applyAlignment="1">
      <alignment vertical="top"/>
    </xf>
    <xf numFmtId="49" fontId="7" fillId="7" borderId="21" xfId="1" applyNumberFormat="1" applyFont="1" applyFill="1" applyBorder="1" applyProtection="1">
      <protection locked="0"/>
    </xf>
    <xf numFmtId="0" fontId="7" fillId="7" borderId="21" xfId="1" applyFont="1" applyFill="1" applyBorder="1" applyProtection="1">
      <protection locked="0"/>
    </xf>
    <xf numFmtId="0" fontId="10" fillId="7" borderId="30" xfId="1" applyFont="1" applyFill="1" applyBorder="1" applyAlignment="1" applyProtection="1">
      <alignment horizontal="center" vertical="top" wrapText="1"/>
      <protection locked="0"/>
    </xf>
    <xf numFmtId="0" fontId="8" fillId="0" borderId="0" xfId="4" applyFont="1" applyFill="1" applyProtection="1"/>
    <xf numFmtId="0" fontId="7" fillId="0" borderId="0" xfId="4" applyFont="1" applyFill="1" applyProtection="1"/>
    <xf numFmtId="0" fontId="7" fillId="0" borderId="0" xfId="4" applyFont="1" applyFill="1" applyBorder="1" applyProtection="1"/>
    <xf numFmtId="0" fontId="7" fillId="0" borderId="0" xfId="4" applyFont="1" applyFill="1" applyAlignment="1" applyProtection="1">
      <alignment horizontal="center"/>
    </xf>
    <xf numFmtId="0" fontId="8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/>
    </xf>
    <xf numFmtId="3" fontId="8" fillId="0" borderId="1" xfId="16" applyNumberFormat="1" applyFont="1" applyFill="1" applyBorder="1" applyAlignment="1" applyProtection="1">
      <alignment horizontal="left" vertical="center" wrapText="1"/>
    </xf>
    <xf numFmtId="3" fontId="8" fillId="0" borderId="1" xfId="16" applyNumberFormat="1" applyFont="1" applyFill="1" applyBorder="1" applyAlignment="1" applyProtection="1">
      <alignment horizontal="center" vertical="center" wrapText="1"/>
    </xf>
    <xf numFmtId="3" fontId="8" fillId="0" borderId="1" xfId="16" applyNumberFormat="1" applyFont="1" applyFill="1" applyBorder="1" applyAlignment="1" applyProtection="1">
      <alignment horizontal="center" vertical="center"/>
    </xf>
    <xf numFmtId="0" fontId="8" fillId="0" borderId="0" xfId="16" applyFont="1" applyFill="1" applyAlignment="1" applyProtection="1">
      <alignment horizontal="center" vertical="center"/>
      <protection locked="0"/>
    </xf>
    <xf numFmtId="0" fontId="9" fillId="0" borderId="0" xfId="16" applyFont="1" applyFill="1" applyAlignment="1" applyProtection="1">
      <alignment horizontal="center" vertical="center" wrapText="1"/>
      <protection locked="0"/>
    </xf>
    <xf numFmtId="3" fontId="7" fillId="0" borderId="0" xfId="16" applyNumberFormat="1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 wrapText="1"/>
      <protection locked="0"/>
    </xf>
    <xf numFmtId="3" fontId="7" fillId="0" borderId="0" xfId="16" applyNumberFormat="1" applyFont="1" applyFill="1" applyAlignment="1" applyProtection="1">
      <alignment horizontal="center" vertical="center"/>
      <protection locked="0"/>
    </xf>
    <xf numFmtId="0" fontId="7" fillId="0" borderId="0" xfId="16" applyFont="1" applyFill="1" applyAlignment="1" applyProtection="1">
      <alignment horizontal="center" vertical="center"/>
      <protection locked="0"/>
    </xf>
    <xf numFmtId="3" fontId="8" fillId="0" borderId="1" xfId="16" applyNumberFormat="1" applyFont="1" applyFill="1" applyBorder="1" applyAlignment="1" applyProtection="1">
      <alignment horizontal="center" vertical="center"/>
      <protection locked="0"/>
    </xf>
    <xf numFmtId="0" fontId="15" fillId="0" borderId="0" xfId="4" applyFont="1" applyFill="1" applyAlignment="1" applyProtection="1">
      <alignment vertical="center"/>
      <protection locked="0"/>
    </xf>
    <xf numFmtId="3" fontId="7" fillId="0" borderId="1" xfId="16" applyNumberFormat="1" applyFont="1" applyFill="1" applyBorder="1" applyAlignment="1" applyProtection="1">
      <alignment horizontal="center" vertical="center"/>
      <protection locked="0"/>
    </xf>
    <xf numFmtId="4" fontId="8" fillId="0" borderId="1" xfId="4" applyNumberFormat="1" applyFont="1" applyFill="1" applyBorder="1" applyAlignment="1" applyProtection="1">
      <alignment horizontal="center"/>
    </xf>
    <xf numFmtId="3" fontId="8" fillId="0" borderId="1" xfId="4" applyNumberFormat="1" applyFont="1" applyFill="1" applyBorder="1" applyAlignment="1" applyProtection="1">
      <alignment horizontal="center"/>
    </xf>
    <xf numFmtId="0" fontId="7" fillId="0" borderId="3" xfId="4" applyFont="1" applyFill="1" applyBorder="1" applyAlignment="1" applyProtection="1">
      <alignment horizontal="center"/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7" fillId="0" borderId="0" xfId="4" applyFont="1" applyFill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  <protection locked="0"/>
    </xf>
    <xf numFmtId="0" fontId="8" fillId="0" borderId="0" xfId="4" applyFont="1" applyFill="1" applyProtection="1">
      <protection locked="0"/>
    </xf>
    <xf numFmtId="0" fontId="7" fillId="0" borderId="0" xfId="4" applyFont="1" applyFill="1" applyBorder="1" applyAlignment="1" applyProtection="1">
      <alignment horizontal="center"/>
      <protection locked="0"/>
    </xf>
    <xf numFmtId="0" fontId="6" fillId="0" borderId="0" xfId="4" applyFont="1" applyFill="1"/>
    <xf numFmtId="0" fontId="1" fillId="0" borderId="0" xfId="4" applyFill="1" applyAlignment="1">
      <alignment horizontal="center"/>
    </xf>
    <xf numFmtId="0" fontId="28" fillId="4" borderId="31" xfId="9" applyFont="1" applyFill="1" applyBorder="1" applyAlignment="1" applyProtection="1">
      <alignment horizontal="center"/>
    </xf>
    <xf numFmtId="0" fontId="28" fillId="4" borderId="32" xfId="9" applyFont="1" applyFill="1" applyBorder="1" applyAlignment="1" applyProtection="1">
      <alignment horizontal="center"/>
    </xf>
    <xf numFmtId="0" fontId="28" fillId="4" borderId="33" xfId="9" applyFont="1" applyFill="1" applyBorder="1" applyAlignment="1" applyProtection="1">
      <alignment horizontal="center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7" fillId="0" borderId="0" xfId="16" applyFont="1" applyFill="1" applyBorder="1" applyAlignment="1" applyProtection="1">
      <alignment horizontal="center" vertical="center"/>
    </xf>
    <xf numFmtId="0" fontId="7" fillId="5" borderId="0" xfId="16" applyFont="1" applyFill="1" applyAlignment="1" applyProtection="1">
      <alignment horizontal="center" vertical="center"/>
    </xf>
    <xf numFmtId="0" fontId="7" fillId="0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4" fontId="7" fillId="5" borderId="0" xfId="16" applyNumberFormat="1" applyFont="1" applyFill="1" applyAlignment="1" applyProtection="1">
      <alignment horizontal="center" vertical="center"/>
    </xf>
    <xf numFmtId="0" fontId="33" fillId="5" borderId="1" xfId="7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/>
      <protection locked="0"/>
    </xf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5 2 3" xfId="12"/>
    <cellStyle name="Normal 5 3" xfId="13"/>
    <cellStyle name="Normal 5 4" xfId="14"/>
    <cellStyle name="Normal 6" xfId="15"/>
    <cellStyle name="Normal_FORMEBI" xfId="16"/>
    <cellStyle name="Normal_salaro gaertianebuli 23.01.10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41"/>
  <sheetViews>
    <sheetView showGridLines="0" topLeftCell="A112" zoomScaleNormal="100" zoomScaleSheetLayoutView="100" workbookViewId="0">
      <selection activeCell="J105" sqref="J105:J117"/>
    </sheetView>
  </sheetViews>
  <sheetFormatPr defaultRowHeight="15"/>
  <cols>
    <col min="1" max="1" width="6.28515625" style="48" bestFit="1" customWidth="1"/>
    <col min="2" max="2" width="13.140625" style="48" customWidth="1"/>
    <col min="3" max="3" width="38.85546875" style="48" customWidth="1"/>
    <col min="4" max="4" width="17.28515625" style="48" customWidth="1"/>
    <col min="5" max="5" width="19.5703125" style="48" customWidth="1"/>
    <col min="6" max="6" width="16.85546875" style="48" customWidth="1"/>
    <col min="7" max="7" width="19.140625" style="62" customWidth="1"/>
    <col min="8" max="8" width="35.85546875" style="62" customWidth="1"/>
    <col min="9" max="9" width="26.140625" style="62" customWidth="1"/>
    <col min="10" max="10" width="30.5703125" style="48" customWidth="1"/>
    <col min="11" max="11" width="24.140625" style="48" customWidth="1"/>
    <col min="12" max="12" width="22.28515625" style="48" customWidth="1"/>
    <col min="13" max="13" width="28.140625" style="48" customWidth="1"/>
    <col min="14" max="16384" width="9.140625" style="48"/>
  </cols>
  <sheetData>
    <row r="1" spans="1:14" s="76" customFormat="1">
      <c r="A1" s="79" t="s">
        <v>309</v>
      </c>
      <c r="B1" s="106"/>
      <c r="C1" s="106"/>
      <c r="D1" s="106"/>
      <c r="E1" s="107"/>
      <c r="F1" s="108"/>
      <c r="G1" s="110"/>
      <c r="H1" s="120"/>
      <c r="I1" s="79"/>
      <c r="J1" s="106"/>
      <c r="K1" s="107"/>
      <c r="L1" s="107"/>
      <c r="M1" s="292" t="s">
        <v>110</v>
      </c>
    </row>
    <row r="2" spans="1:14" s="76" customFormat="1">
      <c r="A2" s="81" t="s">
        <v>140</v>
      </c>
      <c r="B2" s="106"/>
      <c r="C2" s="106"/>
      <c r="D2" s="106"/>
      <c r="E2" s="107"/>
      <c r="F2" s="108"/>
      <c r="G2" s="110"/>
      <c r="H2" s="120"/>
      <c r="I2" s="81"/>
      <c r="J2" s="106"/>
      <c r="K2" s="107"/>
      <c r="L2" s="107"/>
      <c r="M2" s="580" t="s">
        <v>2558</v>
      </c>
      <c r="N2" s="581"/>
    </row>
    <row r="3" spans="1:14" s="76" customFormat="1">
      <c r="A3" s="106"/>
      <c r="B3" s="106"/>
      <c r="C3" s="109"/>
      <c r="D3" s="111"/>
      <c r="E3" s="107"/>
      <c r="F3" s="107"/>
      <c r="G3" s="112"/>
      <c r="H3" s="107"/>
      <c r="I3" s="107"/>
      <c r="J3" s="108"/>
      <c r="K3" s="106"/>
      <c r="L3" s="106"/>
      <c r="M3" s="107"/>
    </row>
    <row r="4" spans="1:14" s="76" customFormat="1">
      <c r="A4" s="108" t="s">
        <v>273</v>
      </c>
      <c r="B4" s="121"/>
      <c r="C4" s="121"/>
      <c r="D4" s="121" t="s">
        <v>276</v>
      </c>
      <c r="E4" s="129"/>
      <c r="F4" s="107"/>
      <c r="G4" s="114"/>
      <c r="H4" s="107"/>
      <c r="I4" s="128"/>
      <c r="J4" s="129"/>
      <c r="K4" s="106"/>
      <c r="L4" s="107"/>
      <c r="M4" s="107"/>
    </row>
    <row r="5" spans="1:14" s="76" customFormat="1">
      <c r="A5" s="244" t="s">
        <v>503</v>
      </c>
      <c r="B5" s="244"/>
      <c r="C5" s="244"/>
      <c r="D5" s="121"/>
      <c r="E5" s="107"/>
      <c r="F5" s="107"/>
      <c r="G5" s="114"/>
      <c r="H5" s="114"/>
      <c r="I5" s="114"/>
      <c r="J5" s="113"/>
      <c r="K5" s="120"/>
      <c r="L5" s="106"/>
      <c r="M5" s="107"/>
    </row>
    <row r="6" spans="1:14" s="76" customFormat="1" ht="15.75" thickBot="1">
      <c r="A6" s="115"/>
      <c r="B6" s="107"/>
      <c r="C6" s="113"/>
      <c r="D6" s="116"/>
      <c r="E6" s="107"/>
      <c r="F6" s="107"/>
      <c r="G6" s="114"/>
      <c r="H6" s="114"/>
      <c r="I6" s="114"/>
      <c r="J6" s="107"/>
      <c r="K6" s="106"/>
      <c r="L6" s="106"/>
      <c r="M6" s="107"/>
    </row>
    <row r="7" spans="1:14" ht="15.75" thickBot="1">
      <c r="A7" s="117"/>
      <c r="B7" s="118"/>
      <c r="C7" s="117"/>
      <c r="D7" s="117"/>
      <c r="E7" s="119"/>
      <c r="F7" s="119"/>
      <c r="G7" s="108"/>
      <c r="H7" s="108"/>
      <c r="I7" s="108"/>
      <c r="J7" s="577" t="s">
        <v>435</v>
      </c>
      <c r="K7" s="578"/>
      <c r="L7" s="579"/>
      <c r="M7" s="117"/>
    </row>
    <row r="8" spans="1:14" s="56" customFormat="1" ht="39" thickBot="1">
      <c r="A8" s="177" t="s">
        <v>64</v>
      </c>
      <c r="B8" s="178" t="s">
        <v>141</v>
      </c>
      <c r="C8" s="178" t="s">
        <v>275</v>
      </c>
      <c r="D8" s="179" t="s">
        <v>282</v>
      </c>
      <c r="E8" s="49" t="s">
        <v>225</v>
      </c>
      <c r="F8" s="50" t="s">
        <v>224</v>
      </c>
      <c r="G8" s="51" t="s">
        <v>228</v>
      </c>
      <c r="H8" s="52" t="s">
        <v>229</v>
      </c>
      <c r="I8" s="53" t="s">
        <v>226</v>
      </c>
      <c r="J8" s="54" t="s">
        <v>278</v>
      </c>
      <c r="K8" s="55" t="s">
        <v>279</v>
      </c>
      <c r="L8" s="55" t="s">
        <v>230</v>
      </c>
      <c r="M8" s="180" t="s">
        <v>231</v>
      </c>
    </row>
    <row r="9" spans="1:14" s="67" customFormat="1" ht="15.75" thickBot="1">
      <c r="A9" s="170">
        <v>1</v>
      </c>
      <c r="B9" s="171">
        <v>2</v>
      </c>
      <c r="C9" s="470">
        <v>3</v>
      </c>
      <c r="D9" s="172">
        <v>4</v>
      </c>
      <c r="E9" s="173">
        <v>7</v>
      </c>
      <c r="F9" s="171">
        <v>8</v>
      </c>
      <c r="G9" s="175">
        <v>9</v>
      </c>
      <c r="H9" s="176">
        <v>12</v>
      </c>
      <c r="I9" s="174">
        <v>13</v>
      </c>
      <c r="J9" s="173">
        <v>14</v>
      </c>
      <c r="K9" s="171">
        <v>15</v>
      </c>
      <c r="L9" s="171">
        <v>16</v>
      </c>
      <c r="M9" s="174">
        <v>17</v>
      </c>
    </row>
    <row r="10" spans="1:14">
      <c r="A10" s="435">
        <v>1</v>
      </c>
      <c r="B10" s="465" t="s">
        <v>2580</v>
      </c>
      <c r="C10" s="58" t="s">
        <v>465</v>
      </c>
      <c r="D10" s="462" t="s">
        <v>2672</v>
      </c>
      <c r="E10" s="462" t="s">
        <v>2668</v>
      </c>
      <c r="F10" s="463" t="s">
        <v>2669</v>
      </c>
      <c r="G10" s="462" t="s">
        <v>2670</v>
      </c>
      <c r="H10" s="462" t="s">
        <v>2671</v>
      </c>
      <c r="I10" s="462" t="s">
        <v>480</v>
      </c>
      <c r="J10" s="60"/>
      <c r="K10" s="60"/>
      <c r="L10" s="61"/>
      <c r="M10" s="58"/>
    </row>
    <row r="11" spans="1:14">
      <c r="A11" s="436">
        <v>2</v>
      </c>
      <c r="B11" s="465" t="s">
        <v>2593</v>
      </c>
      <c r="C11" s="58" t="s">
        <v>465</v>
      </c>
      <c r="D11" s="462" t="s">
        <v>2713</v>
      </c>
      <c r="E11" s="462" t="s">
        <v>2751</v>
      </c>
      <c r="F11" s="463" t="s">
        <v>2819</v>
      </c>
      <c r="G11" s="462" t="s">
        <v>2234</v>
      </c>
      <c r="H11" s="462" t="s">
        <v>2925</v>
      </c>
      <c r="I11" s="462" t="s">
        <v>480</v>
      </c>
      <c r="J11" s="60"/>
      <c r="K11" s="60"/>
      <c r="L11" s="61"/>
      <c r="M11" s="58"/>
    </row>
    <row r="12" spans="1:14">
      <c r="A12" s="435">
        <v>3</v>
      </c>
      <c r="B12" s="466" t="s">
        <v>2673</v>
      </c>
      <c r="C12" s="58" t="s">
        <v>465</v>
      </c>
      <c r="D12" s="468" t="s">
        <v>2714</v>
      </c>
      <c r="E12" s="464" t="s">
        <v>2752</v>
      </c>
      <c r="F12" s="464" t="s">
        <v>2351</v>
      </c>
      <c r="G12" s="464" t="s">
        <v>2855</v>
      </c>
      <c r="H12" s="464" t="s">
        <v>2926</v>
      </c>
      <c r="I12" s="464" t="s">
        <v>480</v>
      </c>
      <c r="J12" s="60"/>
      <c r="K12" s="60"/>
      <c r="L12" s="61"/>
      <c r="M12" s="58"/>
    </row>
    <row r="13" spans="1:14">
      <c r="A13" s="436">
        <v>4</v>
      </c>
      <c r="B13" s="466" t="s">
        <v>2674</v>
      </c>
      <c r="C13" s="58" t="s">
        <v>465</v>
      </c>
      <c r="D13" s="468" t="s">
        <v>2715</v>
      </c>
      <c r="E13" s="464" t="s">
        <v>2753</v>
      </c>
      <c r="F13" s="464" t="s">
        <v>2351</v>
      </c>
      <c r="G13" s="464" t="s">
        <v>2856</v>
      </c>
      <c r="H13" s="464" t="s">
        <v>2927</v>
      </c>
      <c r="I13" s="464" t="s">
        <v>480</v>
      </c>
      <c r="J13" s="60"/>
      <c r="K13" s="60"/>
      <c r="L13" s="61"/>
      <c r="M13" s="58"/>
    </row>
    <row r="14" spans="1:14">
      <c r="A14" s="435">
        <v>5</v>
      </c>
      <c r="B14" s="466" t="s">
        <v>2674</v>
      </c>
      <c r="C14" s="58" t="s">
        <v>465</v>
      </c>
      <c r="D14" s="468" t="s">
        <v>2716</v>
      </c>
      <c r="E14" s="464" t="s">
        <v>2754</v>
      </c>
      <c r="F14" s="464" t="s">
        <v>2820</v>
      </c>
      <c r="G14" s="464" t="s">
        <v>2857</v>
      </c>
      <c r="H14" s="464" t="s">
        <v>2928</v>
      </c>
      <c r="I14" s="464" t="s">
        <v>480</v>
      </c>
      <c r="J14" s="60"/>
      <c r="K14" s="60"/>
      <c r="L14" s="61"/>
      <c r="M14" s="58"/>
    </row>
    <row r="15" spans="1:14">
      <c r="A15" s="436">
        <v>6</v>
      </c>
      <c r="B15" s="466" t="s">
        <v>2675</v>
      </c>
      <c r="C15" s="58" t="s">
        <v>465</v>
      </c>
      <c r="D15" s="468" t="s">
        <v>2717</v>
      </c>
      <c r="E15" s="464" t="s">
        <v>470</v>
      </c>
      <c r="F15" s="464" t="s">
        <v>473</v>
      </c>
      <c r="G15" s="464" t="s">
        <v>476</v>
      </c>
      <c r="H15" s="464" t="s">
        <v>479</v>
      </c>
      <c r="I15" s="464" t="s">
        <v>481</v>
      </c>
      <c r="J15" s="60"/>
      <c r="K15" s="60"/>
      <c r="L15" s="61"/>
      <c r="M15" s="58"/>
    </row>
    <row r="16" spans="1:14">
      <c r="A16" s="435">
        <v>7</v>
      </c>
      <c r="B16" s="466" t="s">
        <v>2675</v>
      </c>
      <c r="C16" s="58" t="s">
        <v>465</v>
      </c>
      <c r="D16" s="468" t="s">
        <v>2718</v>
      </c>
      <c r="E16" s="464" t="s">
        <v>2755</v>
      </c>
      <c r="F16" s="464" t="s">
        <v>2821</v>
      </c>
      <c r="G16" s="464" t="s">
        <v>2858</v>
      </c>
      <c r="H16" s="464" t="s">
        <v>2929</v>
      </c>
      <c r="I16" s="464" t="s">
        <v>480</v>
      </c>
      <c r="J16" s="60"/>
      <c r="K16" s="60"/>
      <c r="L16" s="61"/>
      <c r="M16" s="58"/>
    </row>
    <row r="17" spans="1:13">
      <c r="A17" s="436">
        <v>8</v>
      </c>
      <c r="B17" s="466" t="s">
        <v>2675</v>
      </c>
      <c r="C17" s="58" t="s">
        <v>465</v>
      </c>
      <c r="D17" s="468" t="s">
        <v>2717</v>
      </c>
      <c r="E17" s="464" t="s">
        <v>2756</v>
      </c>
      <c r="F17" s="464" t="s">
        <v>2822</v>
      </c>
      <c r="G17" s="464" t="s">
        <v>2859</v>
      </c>
      <c r="H17" s="464" t="s">
        <v>2930</v>
      </c>
      <c r="I17" s="464" t="s">
        <v>3002</v>
      </c>
      <c r="J17" s="60"/>
      <c r="K17" s="60"/>
      <c r="L17" s="61"/>
      <c r="M17" s="58"/>
    </row>
    <row r="18" spans="1:13">
      <c r="A18" s="435">
        <v>9</v>
      </c>
      <c r="B18" s="466" t="s">
        <v>2675</v>
      </c>
      <c r="C18" s="58" t="s">
        <v>465</v>
      </c>
      <c r="D18" s="468" t="s">
        <v>2717</v>
      </c>
      <c r="E18" s="464" t="s">
        <v>2756</v>
      </c>
      <c r="F18" s="464" t="s">
        <v>2823</v>
      </c>
      <c r="G18" s="464" t="s">
        <v>2860</v>
      </c>
      <c r="H18" s="464" t="s">
        <v>2931</v>
      </c>
      <c r="I18" s="464" t="s">
        <v>3003</v>
      </c>
      <c r="J18" s="60"/>
      <c r="K18" s="60"/>
      <c r="L18" s="61"/>
      <c r="M18" s="58"/>
    </row>
    <row r="19" spans="1:13">
      <c r="A19" s="436">
        <v>10</v>
      </c>
      <c r="B19" s="466" t="s">
        <v>2676</v>
      </c>
      <c r="C19" s="58" t="s">
        <v>465</v>
      </c>
      <c r="D19" s="468" t="s">
        <v>2719</v>
      </c>
      <c r="E19" s="464" t="s">
        <v>2757</v>
      </c>
      <c r="F19" s="464" t="s">
        <v>2819</v>
      </c>
      <c r="G19" s="464" t="s">
        <v>2861</v>
      </c>
      <c r="H19" s="464" t="s">
        <v>2932</v>
      </c>
      <c r="I19" s="464" t="s">
        <v>3003</v>
      </c>
      <c r="J19" s="60"/>
      <c r="K19" s="60"/>
      <c r="L19" s="61"/>
      <c r="M19" s="58"/>
    </row>
    <row r="20" spans="1:13">
      <c r="A20" s="435">
        <v>11</v>
      </c>
      <c r="B20" s="466" t="s">
        <v>2677</v>
      </c>
      <c r="C20" s="58" t="s">
        <v>465</v>
      </c>
      <c r="D20" s="468" t="s">
        <v>2717</v>
      </c>
      <c r="E20" s="464" t="s">
        <v>2758</v>
      </c>
      <c r="F20" s="464" t="s">
        <v>2824</v>
      </c>
      <c r="G20" s="464" t="s">
        <v>2862</v>
      </c>
      <c r="H20" s="464" t="s">
        <v>2933</v>
      </c>
      <c r="I20" s="464" t="s">
        <v>481</v>
      </c>
      <c r="J20" s="60"/>
      <c r="K20" s="60"/>
      <c r="L20" s="61"/>
      <c r="M20" s="58"/>
    </row>
    <row r="21" spans="1:13">
      <c r="A21" s="436">
        <v>12</v>
      </c>
      <c r="B21" s="466" t="s">
        <v>2678</v>
      </c>
      <c r="C21" s="58" t="s">
        <v>465</v>
      </c>
      <c r="D21" s="468" t="s">
        <v>2720</v>
      </c>
      <c r="E21" s="464" t="s">
        <v>2759</v>
      </c>
      <c r="F21" s="464" t="s">
        <v>2825</v>
      </c>
      <c r="G21" s="464" t="s">
        <v>2863</v>
      </c>
      <c r="H21" s="464" t="s">
        <v>2934</v>
      </c>
      <c r="I21" s="464" t="s">
        <v>480</v>
      </c>
      <c r="J21" s="60"/>
      <c r="K21" s="60"/>
      <c r="L21" s="61"/>
      <c r="M21" s="58"/>
    </row>
    <row r="22" spans="1:13">
      <c r="A22" s="435">
        <v>13</v>
      </c>
      <c r="B22" s="466" t="s">
        <v>2600</v>
      </c>
      <c r="C22" s="58" t="s">
        <v>465</v>
      </c>
      <c r="D22" s="468" t="s">
        <v>2721</v>
      </c>
      <c r="E22" s="464" t="s">
        <v>2760</v>
      </c>
      <c r="F22" s="464" t="s">
        <v>2318</v>
      </c>
      <c r="G22" s="464" t="s">
        <v>2864</v>
      </c>
      <c r="H22" s="464" t="s">
        <v>2935</v>
      </c>
      <c r="I22" s="464" t="s">
        <v>3004</v>
      </c>
      <c r="J22" s="60"/>
      <c r="K22" s="60"/>
      <c r="L22" s="61"/>
      <c r="M22" s="58"/>
    </row>
    <row r="23" spans="1:13">
      <c r="A23" s="436">
        <v>14</v>
      </c>
      <c r="B23" s="466" t="s">
        <v>2679</v>
      </c>
      <c r="C23" s="58" t="s">
        <v>465</v>
      </c>
      <c r="D23" s="468" t="s">
        <v>2722</v>
      </c>
      <c r="E23" s="464" t="s">
        <v>468</v>
      </c>
      <c r="F23" s="464" t="s">
        <v>473</v>
      </c>
      <c r="G23" s="464" t="s">
        <v>2865</v>
      </c>
      <c r="H23" s="464" t="s">
        <v>2936</v>
      </c>
      <c r="I23" s="464" t="s">
        <v>3005</v>
      </c>
      <c r="J23" s="60"/>
      <c r="K23" s="60"/>
      <c r="L23" s="61"/>
      <c r="M23" s="58"/>
    </row>
    <row r="24" spans="1:13">
      <c r="A24" s="435">
        <v>15</v>
      </c>
      <c r="B24" s="466" t="s">
        <v>2680</v>
      </c>
      <c r="C24" s="58" t="s">
        <v>465</v>
      </c>
      <c r="D24" s="468" t="s">
        <v>2717</v>
      </c>
      <c r="E24" s="464" t="s">
        <v>2756</v>
      </c>
      <c r="F24" s="464" t="s">
        <v>2823</v>
      </c>
      <c r="G24" s="464" t="s">
        <v>2860</v>
      </c>
      <c r="H24" s="464" t="s">
        <v>2931</v>
      </c>
      <c r="I24" s="464" t="s">
        <v>3003</v>
      </c>
      <c r="J24" s="60"/>
      <c r="K24" s="60"/>
      <c r="L24" s="61"/>
      <c r="M24" s="58"/>
    </row>
    <row r="25" spans="1:13">
      <c r="A25" s="436">
        <v>16</v>
      </c>
      <c r="B25" s="466" t="s">
        <v>2680</v>
      </c>
      <c r="C25" s="58" t="s">
        <v>465</v>
      </c>
      <c r="D25" s="468" t="s">
        <v>2723</v>
      </c>
      <c r="E25" s="464" t="s">
        <v>470</v>
      </c>
      <c r="F25" s="464" t="s">
        <v>473</v>
      </c>
      <c r="G25" s="464" t="s">
        <v>476</v>
      </c>
      <c r="H25" s="464" t="s">
        <v>479</v>
      </c>
      <c r="I25" s="464" t="s">
        <v>481</v>
      </c>
      <c r="J25" s="60"/>
      <c r="K25" s="60"/>
      <c r="L25" s="61"/>
      <c r="M25" s="58"/>
    </row>
    <row r="26" spans="1:13">
      <c r="A26" s="435">
        <v>17</v>
      </c>
      <c r="B26" s="466" t="s">
        <v>2605</v>
      </c>
      <c r="C26" s="58" t="s">
        <v>465</v>
      </c>
      <c r="D26" s="468" t="s">
        <v>2724</v>
      </c>
      <c r="E26" s="464" t="s">
        <v>2761</v>
      </c>
      <c r="F26" s="464" t="s">
        <v>2514</v>
      </c>
      <c r="G26" s="464" t="s">
        <v>2866</v>
      </c>
      <c r="H26" s="464" t="s">
        <v>2937</v>
      </c>
      <c r="I26" s="464" t="s">
        <v>480</v>
      </c>
      <c r="J26" s="60"/>
      <c r="K26" s="60"/>
      <c r="L26" s="61"/>
      <c r="M26" s="58"/>
    </row>
    <row r="27" spans="1:13">
      <c r="A27" s="436">
        <v>18</v>
      </c>
      <c r="B27" s="466" t="s">
        <v>2681</v>
      </c>
      <c r="C27" s="58" t="s">
        <v>465</v>
      </c>
      <c r="D27" s="468" t="s">
        <v>2725</v>
      </c>
      <c r="E27" s="464" t="s">
        <v>2762</v>
      </c>
      <c r="F27" s="464" t="s">
        <v>2826</v>
      </c>
      <c r="G27" s="464" t="s">
        <v>2867</v>
      </c>
      <c r="H27" s="464" t="s">
        <v>2938</v>
      </c>
      <c r="I27" s="464" t="s">
        <v>3005</v>
      </c>
      <c r="J27" s="60"/>
      <c r="K27" s="60"/>
      <c r="L27" s="61"/>
      <c r="M27" s="58"/>
    </row>
    <row r="28" spans="1:13">
      <c r="A28" s="435">
        <v>19</v>
      </c>
      <c r="B28" s="466" t="s">
        <v>2607</v>
      </c>
      <c r="C28" s="58" t="s">
        <v>465</v>
      </c>
      <c r="D28" s="468" t="s">
        <v>2720</v>
      </c>
      <c r="E28" s="464" t="s">
        <v>469</v>
      </c>
      <c r="F28" s="464" t="s">
        <v>472</v>
      </c>
      <c r="G28" s="464" t="s">
        <v>475</v>
      </c>
      <c r="H28" s="464" t="s">
        <v>478</v>
      </c>
      <c r="I28" s="464" t="s">
        <v>480</v>
      </c>
      <c r="J28" s="60"/>
      <c r="K28" s="60"/>
      <c r="L28" s="61"/>
      <c r="M28" s="58"/>
    </row>
    <row r="29" spans="1:13">
      <c r="A29" s="436">
        <v>20</v>
      </c>
      <c r="B29" s="466" t="s">
        <v>2682</v>
      </c>
      <c r="C29" s="58" t="s">
        <v>465</v>
      </c>
      <c r="D29" s="468" t="s">
        <v>2726</v>
      </c>
      <c r="E29" s="464" t="s">
        <v>2763</v>
      </c>
      <c r="F29" s="464" t="s">
        <v>2347</v>
      </c>
      <c r="G29" s="464" t="s">
        <v>2868</v>
      </c>
      <c r="H29" s="464" t="s">
        <v>2939</v>
      </c>
      <c r="I29" s="464" t="s">
        <v>3006</v>
      </c>
      <c r="J29" s="60"/>
      <c r="K29" s="60"/>
      <c r="L29" s="61"/>
      <c r="M29" s="58"/>
    </row>
    <row r="30" spans="1:13">
      <c r="A30" s="435">
        <v>21</v>
      </c>
      <c r="B30" s="466" t="s">
        <v>2683</v>
      </c>
      <c r="C30" s="58" t="s">
        <v>465</v>
      </c>
      <c r="D30" s="468" t="s">
        <v>2727</v>
      </c>
      <c r="E30" s="464" t="s">
        <v>2764</v>
      </c>
      <c r="F30" s="464" t="s">
        <v>473</v>
      </c>
      <c r="G30" s="464" t="s">
        <v>2869</v>
      </c>
      <c r="H30" s="464" t="s">
        <v>2940</v>
      </c>
      <c r="I30" s="464" t="s">
        <v>480</v>
      </c>
      <c r="J30" s="60"/>
      <c r="K30" s="60"/>
      <c r="L30" s="61"/>
      <c r="M30" s="58"/>
    </row>
    <row r="31" spans="1:13">
      <c r="A31" s="436">
        <v>22</v>
      </c>
      <c r="B31" s="466" t="s">
        <v>2608</v>
      </c>
      <c r="C31" s="58" t="s">
        <v>465</v>
      </c>
      <c r="D31" s="468" t="s">
        <v>2728</v>
      </c>
      <c r="E31" s="464" t="s">
        <v>2765</v>
      </c>
      <c r="F31" s="464" t="s">
        <v>2347</v>
      </c>
      <c r="G31" s="464" t="s">
        <v>2870</v>
      </c>
      <c r="H31" s="464" t="s">
        <v>2941</v>
      </c>
      <c r="I31" s="464" t="s">
        <v>3006</v>
      </c>
      <c r="J31" s="60"/>
      <c r="K31" s="60"/>
      <c r="L31" s="61"/>
      <c r="M31" s="58"/>
    </row>
    <row r="32" spans="1:13">
      <c r="A32" s="435">
        <v>23</v>
      </c>
      <c r="B32" s="466" t="s">
        <v>2608</v>
      </c>
      <c r="C32" s="58" t="s">
        <v>465</v>
      </c>
      <c r="D32" s="468" t="s">
        <v>2725</v>
      </c>
      <c r="E32" s="464" t="s">
        <v>2755</v>
      </c>
      <c r="F32" s="464" t="s">
        <v>2821</v>
      </c>
      <c r="G32" s="464" t="s">
        <v>2858</v>
      </c>
      <c r="H32" s="464" t="s">
        <v>2942</v>
      </c>
      <c r="I32" s="464" t="s">
        <v>480</v>
      </c>
      <c r="J32" s="60"/>
      <c r="K32" s="60"/>
      <c r="L32" s="61"/>
      <c r="M32" s="58"/>
    </row>
    <row r="33" spans="1:13">
      <c r="A33" s="436">
        <v>24</v>
      </c>
      <c r="B33" s="466" t="s">
        <v>2684</v>
      </c>
      <c r="C33" s="58" t="s">
        <v>465</v>
      </c>
      <c r="D33" s="468" t="s">
        <v>2729</v>
      </c>
      <c r="E33" s="464" t="s">
        <v>2756</v>
      </c>
      <c r="F33" s="464" t="s">
        <v>2822</v>
      </c>
      <c r="G33" s="464" t="s">
        <v>2859</v>
      </c>
      <c r="H33" s="464" t="s">
        <v>2943</v>
      </c>
      <c r="I33" s="464" t="s">
        <v>3002</v>
      </c>
      <c r="J33" s="60"/>
      <c r="K33" s="60"/>
      <c r="L33" s="61"/>
      <c r="M33" s="58"/>
    </row>
    <row r="34" spans="1:13">
      <c r="A34" s="435">
        <v>25</v>
      </c>
      <c r="B34" s="466" t="s">
        <v>2685</v>
      </c>
      <c r="C34" s="58" t="s">
        <v>465</v>
      </c>
      <c r="D34" s="468" t="s">
        <v>2720</v>
      </c>
      <c r="E34" s="464" t="s">
        <v>2766</v>
      </c>
      <c r="F34" s="464" t="s">
        <v>473</v>
      </c>
      <c r="G34" s="464" t="s">
        <v>2871</v>
      </c>
      <c r="H34" s="464" t="s">
        <v>2944</v>
      </c>
      <c r="I34" s="464" t="s">
        <v>480</v>
      </c>
      <c r="J34" s="60"/>
      <c r="K34" s="60"/>
      <c r="L34" s="61"/>
      <c r="M34" s="58"/>
    </row>
    <row r="35" spans="1:13">
      <c r="A35" s="436">
        <v>26</v>
      </c>
      <c r="B35" s="466" t="s">
        <v>2685</v>
      </c>
      <c r="C35" s="58" t="s">
        <v>465</v>
      </c>
      <c r="D35" s="468" t="s">
        <v>2730</v>
      </c>
      <c r="E35" s="464" t="s">
        <v>2751</v>
      </c>
      <c r="F35" s="464" t="s">
        <v>2819</v>
      </c>
      <c r="G35" s="464" t="s">
        <v>2234</v>
      </c>
      <c r="H35" s="464" t="s">
        <v>2925</v>
      </c>
      <c r="I35" s="464" t="s">
        <v>480</v>
      </c>
      <c r="J35" s="60"/>
      <c r="K35" s="60"/>
      <c r="L35" s="61"/>
      <c r="M35" s="58"/>
    </row>
    <row r="36" spans="1:13">
      <c r="A36" s="435">
        <v>27</v>
      </c>
      <c r="B36" s="466" t="s">
        <v>2686</v>
      </c>
      <c r="C36" s="58" t="s">
        <v>465</v>
      </c>
      <c r="D36" s="468" t="s">
        <v>2672</v>
      </c>
      <c r="E36" s="464" t="s">
        <v>469</v>
      </c>
      <c r="F36" s="464" t="s">
        <v>472</v>
      </c>
      <c r="G36" s="464" t="s">
        <v>475</v>
      </c>
      <c r="H36" s="464" t="s">
        <v>478</v>
      </c>
      <c r="I36" s="464" t="s">
        <v>480</v>
      </c>
      <c r="J36" s="60"/>
      <c r="K36" s="60"/>
      <c r="L36" s="61"/>
      <c r="M36" s="58"/>
    </row>
    <row r="37" spans="1:13">
      <c r="A37" s="436">
        <v>28</v>
      </c>
      <c r="B37" s="466" t="s">
        <v>2576</v>
      </c>
      <c r="C37" s="58" t="s">
        <v>465</v>
      </c>
      <c r="D37" s="468" t="s">
        <v>2725</v>
      </c>
      <c r="E37" s="464" t="s">
        <v>470</v>
      </c>
      <c r="F37" s="464" t="s">
        <v>473</v>
      </c>
      <c r="G37" s="464" t="s">
        <v>476</v>
      </c>
      <c r="H37" s="464" t="s">
        <v>479</v>
      </c>
      <c r="I37" s="464" t="s">
        <v>481</v>
      </c>
      <c r="J37" s="60"/>
      <c r="K37" s="60"/>
      <c r="L37" s="61"/>
      <c r="M37" s="58"/>
    </row>
    <row r="38" spans="1:13">
      <c r="A38" s="435">
        <v>29</v>
      </c>
      <c r="B38" s="466" t="s">
        <v>2576</v>
      </c>
      <c r="C38" s="58" t="s">
        <v>465</v>
      </c>
      <c r="D38" s="468" t="s">
        <v>2730</v>
      </c>
      <c r="E38" s="464" t="s">
        <v>469</v>
      </c>
      <c r="F38" s="464" t="s">
        <v>472</v>
      </c>
      <c r="G38" s="464" t="s">
        <v>475</v>
      </c>
      <c r="H38" s="464" t="s">
        <v>478</v>
      </c>
      <c r="I38" s="464" t="s">
        <v>480</v>
      </c>
      <c r="J38" s="60"/>
      <c r="K38" s="60"/>
      <c r="L38" s="61"/>
      <c r="M38" s="58"/>
    </row>
    <row r="39" spans="1:13">
      <c r="A39" s="436">
        <v>30</v>
      </c>
      <c r="B39" s="466" t="s">
        <v>2687</v>
      </c>
      <c r="C39" s="58" t="s">
        <v>465</v>
      </c>
      <c r="D39" s="468" t="s">
        <v>2672</v>
      </c>
      <c r="E39" s="464" t="s">
        <v>2303</v>
      </c>
      <c r="F39" s="464" t="s">
        <v>2318</v>
      </c>
      <c r="G39" s="464" t="s">
        <v>2872</v>
      </c>
      <c r="H39" s="464" t="s">
        <v>2945</v>
      </c>
      <c r="I39" s="464" t="s">
        <v>480</v>
      </c>
      <c r="J39" s="60"/>
      <c r="K39" s="60"/>
      <c r="L39" s="61"/>
      <c r="M39" s="58"/>
    </row>
    <row r="40" spans="1:13">
      <c r="A40" s="435">
        <v>31</v>
      </c>
      <c r="B40" s="466" t="s">
        <v>2688</v>
      </c>
      <c r="C40" s="58" t="s">
        <v>465</v>
      </c>
      <c r="D40" s="468" t="s">
        <v>2725</v>
      </c>
      <c r="E40" s="464" t="s">
        <v>2767</v>
      </c>
      <c r="F40" s="464" t="s">
        <v>2827</v>
      </c>
      <c r="G40" s="464" t="s">
        <v>2218</v>
      </c>
      <c r="H40" s="464" t="s">
        <v>2946</v>
      </c>
      <c r="I40" s="464" t="s">
        <v>480</v>
      </c>
      <c r="J40" s="60"/>
      <c r="K40" s="60"/>
      <c r="L40" s="61"/>
      <c r="M40" s="58"/>
    </row>
    <row r="41" spans="1:13">
      <c r="A41" s="436">
        <v>32</v>
      </c>
      <c r="B41" s="466" t="s">
        <v>2688</v>
      </c>
      <c r="C41" s="58" t="s">
        <v>465</v>
      </c>
      <c r="D41" s="468" t="s">
        <v>2725</v>
      </c>
      <c r="E41" s="464" t="s">
        <v>2303</v>
      </c>
      <c r="F41" s="464" t="s">
        <v>2819</v>
      </c>
      <c r="G41" s="464" t="s">
        <v>2226</v>
      </c>
      <c r="H41" s="464" t="s">
        <v>2947</v>
      </c>
      <c r="I41" s="464" t="s">
        <v>480</v>
      </c>
      <c r="J41" s="60"/>
      <c r="K41" s="60"/>
      <c r="L41" s="61"/>
      <c r="M41" s="58"/>
    </row>
    <row r="42" spans="1:13">
      <c r="A42" s="435">
        <v>33</v>
      </c>
      <c r="B42" s="466" t="s">
        <v>2689</v>
      </c>
      <c r="C42" s="58" t="s">
        <v>465</v>
      </c>
      <c r="D42" s="468" t="s">
        <v>2672</v>
      </c>
      <c r="E42" s="464" t="s">
        <v>2768</v>
      </c>
      <c r="F42" s="464" t="s">
        <v>2306</v>
      </c>
      <c r="G42" s="464" t="s">
        <v>2873</v>
      </c>
      <c r="H42" s="464" t="s">
        <v>2948</v>
      </c>
      <c r="I42" s="464" t="s">
        <v>480</v>
      </c>
      <c r="J42" s="60"/>
      <c r="K42" s="60"/>
      <c r="L42" s="61"/>
      <c r="M42" s="58"/>
    </row>
    <row r="43" spans="1:13">
      <c r="A43" s="436">
        <v>34</v>
      </c>
      <c r="B43" s="466" t="s">
        <v>2690</v>
      </c>
      <c r="C43" s="58" t="s">
        <v>465</v>
      </c>
      <c r="D43" s="468" t="s">
        <v>2731</v>
      </c>
      <c r="E43" s="464" t="s">
        <v>2769</v>
      </c>
      <c r="F43" s="464" t="s">
        <v>2828</v>
      </c>
      <c r="G43" s="464" t="s">
        <v>2874</v>
      </c>
      <c r="H43" s="464" t="s">
        <v>2949</v>
      </c>
      <c r="I43" s="464" t="s">
        <v>480</v>
      </c>
      <c r="J43" s="60"/>
      <c r="K43" s="60"/>
      <c r="L43" s="61"/>
      <c r="M43" s="58"/>
    </row>
    <row r="44" spans="1:13">
      <c r="A44" s="435">
        <v>35</v>
      </c>
      <c r="B44" s="466" t="s">
        <v>2690</v>
      </c>
      <c r="C44" s="58" t="s">
        <v>465</v>
      </c>
      <c r="D44" s="468" t="s">
        <v>2732</v>
      </c>
      <c r="E44" s="464" t="s">
        <v>2770</v>
      </c>
      <c r="F44" s="464" t="s">
        <v>2455</v>
      </c>
      <c r="G44" s="464" t="s">
        <v>2875</v>
      </c>
      <c r="H44" s="464" t="s">
        <v>2950</v>
      </c>
      <c r="I44" s="464" t="s">
        <v>480</v>
      </c>
      <c r="J44" s="60"/>
      <c r="K44" s="60"/>
      <c r="L44" s="61"/>
      <c r="M44" s="58"/>
    </row>
    <row r="45" spans="1:13">
      <c r="A45" s="436">
        <v>36</v>
      </c>
      <c r="B45" s="466" t="s">
        <v>2690</v>
      </c>
      <c r="C45" s="58" t="s">
        <v>465</v>
      </c>
      <c r="D45" s="468" t="s">
        <v>2732</v>
      </c>
      <c r="E45" s="464" t="s">
        <v>2771</v>
      </c>
      <c r="F45" s="464" t="s">
        <v>2829</v>
      </c>
      <c r="G45" s="464" t="s">
        <v>2876</v>
      </c>
      <c r="H45" s="464" t="s">
        <v>2951</v>
      </c>
      <c r="I45" s="464" t="s">
        <v>480</v>
      </c>
      <c r="J45" s="60"/>
      <c r="K45" s="60"/>
      <c r="L45" s="61"/>
      <c r="M45" s="58"/>
    </row>
    <row r="46" spans="1:13">
      <c r="A46" s="435">
        <v>37</v>
      </c>
      <c r="B46" s="466" t="s">
        <v>2691</v>
      </c>
      <c r="C46" s="58" t="s">
        <v>465</v>
      </c>
      <c r="D46" s="468" t="s">
        <v>2733</v>
      </c>
      <c r="E46" s="464" t="s">
        <v>2772</v>
      </c>
      <c r="F46" s="464" t="s">
        <v>2830</v>
      </c>
      <c r="G46" s="464" t="s">
        <v>2877</v>
      </c>
      <c r="H46" s="464" t="s">
        <v>2952</v>
      </c>
      <c r="I46" s="464" t="s">
        <v>3007</v>
      </c>
      <c r="J46" s="60"/>
      <c r="K46" s="60"/>
      <c r="L46" s="61"/>
      <c r="M46" s="58"/>
    </row>
    <row r="47" spans="1:13">
      <c r="A47" s="436">
        <v>38</v>
      </c>
      <c r="B47" s="466" t="s">
        <v>2692</v>
      </c>
      <c r="C47" s="58" t="s">
        <v>465</v>
      </c>
      <c r="D47" s="468" t="s">
        <v>2734</v>
      </c>
      <c r="E47" s="464" t="s">
        <v>2303</v>
      </c>
      <c r="F47" s="464" t="s">
        <v>2819</v>
      </c>
      <c r="G47" s="464" t="s">
        <v>2226</v>
      </c>
      <c r="H47" s="464" t="s">
        <v>2947</v>
      </c>
      <c r="I47" s="464" t="s">
        <v>480</v>
      </c>
      <c r="J47" s="60"/>
      <c r="K47" s="60"/>
      <c r="L47" s="61"/>
      <c r="M47" s="58"/>
    </row>
    <row r="48" spans="1:13">
      <c r="A48" s="435">
        <v>39</v>
      </c>
      <c r="B48" s="466" t="s">
        <v>2692</v>
      </c>
      <c r="C48" s="58" t="s">
        <v>465</v>
      </c>
      <c r="D48" s="468" t="s">
        <v>2735</v>
      </c>
      <c r="E48" s="464" t="s">
        <v>2773</v>
      </c>
      <c r="F48" s="464" t="s">
        <v>2302</v>
      </c>
      <c r="G48" s="464" t="s">
        <v>2878</v>
      </c>
      <c r="H48" s="464" t="s">
        <v>2953</v>
      </c>
      <c r="I48" s="464" t="s">
        <v>480</v>
      </c>
      <c r="J48" s="60"/>
      <c r="K48" s="60"/>
      <c r="L48" s="61"/>
      <c r="M48" s="58"/>
    </row>
    <row r="49" spans="1:13">
      <c r="A49" s="436">
        <v>40</v>
      </c>
      <c r="B49" s="466" t="s">
        <v>2690</v>
      </c>
      <c r="C49" s="58" t="s">
        <v>465</v>
      </c>
      <c r="D49" s="468" t="s">
        <v>2732</v>
      </c>
      <c r="E49" s="464" t="s">
        <v>2774</v>
      </c>
      <c r="F49" s="464" t="s">
        <v>2831</v>
      </c>
      <c r="G49" s="464" t="s">
        <v>2879</v>
      </c>
      <c r="H49" s="464" t="s">
        <v>2954</v>
      </c>
      <c r="I49" s="464" t="s">
        <v>480</v>
      </c>
      <c r="J49" s="60"/>
      <c r="K49" s="60"/>
      <c r="L49" s="61"/>
      <c r="M49" s="58"/>
    </row>
    <row r="50" spans="1:13">
      <c r="A50" s="435">
        <v>41</v>
      </c>
      <c r="B50" s="466" t="s">
        <v>2690</v>
      </c>
      <c r="C50" s="58" t="s">
        <v>465</v>
      </c>
      <c r="D50" s="468" t="s">
        <v>2732</v>
      </c>
      <c r="E50" s="464" t="s">
        <v>2775</v>
      </c>
      <c r="F50" s="464" t="s">
        <v>473</v>
      </c>
      <c r="G50" s="464" t="s">
        <v>2880</v>
      </c>
      <c r="H50" s="464" t="s">
        <v>2955</v>
      </c>
      <c r="I50" s="464" t="s">
        <v>480</v>
      </c>
      <c r="J50" s="60"/>
      <c r="K50" s="60"/>
      <c r="L50" s="61"/>
      <c r="M50" s="58"/>
    </row>
    <row r="51" spans="1:13">
      <c r="A51" s="436">
        <v>42</v>
      </c>
      <c r="B51" s="466" t="s">
        <v>2692</v>
      </c>
      <c r="C51" s="58" t="s">
        <v>465</v>
      </c>
      <c r="D51" s="468" t="s">
        <v>2718</v>
      </c>
      <c r="E51" s="464" t="s">
        <v>2776</v>
      </c>
      <c r="F51" s="464" t="s">
        <v>2347</v>
      </c>
      <c r="G51" s="464" t="s">
        <v>2881</v>
      </c>
      <c r="H51" s="464" t="s">
        <v>2956</v>
      </c>
      <c r="I51" s="464" t="s">
        <v>480</v>
      </c>
      <c r="J51" s="60"/>
      <c r="K51" s="60"/>
      <c r="L51" s="61"/>
      <c r="M51" s="58"/>
    </row>
    <row r="52" spans="1:13">
      <c r="A52" s="435">
        <v>43</v>
      </c>
      <c r="B52" s="466" t="s">
        <v>2692</v>
      </c>
      <c r="C52" s="58" t="s">
        <v>465</v>
      </c>
      <c r="D52" s="468" t="s">
        <v>2736</v>
      </c>
      <c r="E52" s="464" t="s">
        <v>2767</v>
      </c>
      <c r="F52" s="464" t="s">
        <v>2827</v>
      </c>
      <c r="G52" s="464" t="s">
        <v>2218</v>
      </c>
      <c r="H52" s="464" t="s">
        <v>2946</v>
      </c>
      <c r="I52" s="464" t="s">
        <v>480</v>
      </c>
      <c r="J52" s="60"/>
      <c r="K52" s="60"/>
      <c r="L52" s="61"/>
      <c r="M52" s="58"/>
    </row>
    <row r="53" spans="1:13">
      <c r="A53" s="436">
        <v>44</v>
      </c>
      <c r="B53" s="466" t="s">
        <v>2693</v>
      </c>
      <c r="C53" s="58" t="s">
        <v>465</v>
      </c>
      <c r="D53" s="468" t="s">
        <v>2672</v>
      </c>
      <c r="E53" s="464" t="s">
        <v>2777</v>
      </c>
      <c r="F53" s="464" t="s">
        <v>2832</v>
      </c>
      <c r="G53" s="464" t="s">
        <v>2882</v>
      </c>
      <c r="H53" s="464" t="s">
        <v>2957</v>
      </c>
      <c r="I53" s="464" t="s">
        <v>480</v>
      </c>
      <c r="J53" s="60"/>
      <c r="K53" s="60"/>
      <c r="L53" s="61"/>
      <c r="M53" s="58"/>
    </row>
    <row r="54" spans="1:13">
      <c r="A54" s="435">
        <v>45</v>
      </c>
      <c r="B54" s="466" t="s">
        <v>2690</v>
      </c>
      <c r="C54" s="58" t="s">
        <v>465</v>
      </c>
      <c r="D54" s="468" t="s">
        <v>2732</v>
      </c>
      <c r="E54" s="464" t="s">
        <v>2778</v>
      </c>
      <c r="F54" s="464" t="s">
        <v>2833</v>
      </c>
      <c r="G54" s="464" t="s">
        <v>2883</v>
      </c>
      <c r="H54" s="464" t="s">
        <v>2958</v>
      </c>
      <c r="I54" s="464" t="s">
        <v>480</v>
      </c>
      <c r="J54" s="60"/>
      <c r="K54" s="60"/>
      <c r="L54" s="61"/>
      <c r="M54" s="58"/>
    </row>
    <row r="55" spans="1:13">
      <c r="A55" s="436">
        <v>46</v>
      </c>
      <c r="B55" s="466" t="s">
        <v>2690</v>
      </c>
      <c r="C55" s="58" t="s">
        <v>465</v>
      </c>
      <c r="D55" s="468" t="s">
        <v>2732</v>
      </c>
      <c r="E55" s="464" t="s">
        <v>2779</v>
      </c>
      <c r="F55" s="464" t="s">
        <v>2496</v>
      </c>
      <c r="G55" s="464" t="s">
        <v>2884</v>
      </c>
      <c r="H55" s="464" t="s">
        <v>2959</v>
      </c>
      <c r="I55" s="464" t="s">
        <v>480</v>
      </c>
      <c r="J55" s="60"/>
      <c r="K55" s="60"/>
      <c r="L55" s="61"/>
      <c r="M55" s="58"/>
    </row>
    <row r="56" spans="1:13">
      <c r="A56" s="435">
        <v>47</v>
      </c>
      <c r="B56" s="466" t="s">
        <v>2690</v>
      </c>
      <c r="C56" s="58" t="s">
        <v>465</v>
      </c>
      <c r="D56" s="468" t="s">
        <v>2732</v>
      </c>
      <c r="E56" s="464" t="s">
        <v>2780</v>
      </c>
      <c r="F56" s="464" t="s">
        <v>2834</v>
      </c>
      <c r="G56" s="464" t="s">
        <v>2885</v>
      </c>
      <c r="H56" s="464" t="s">
        <v>2960</v>
      </c>
      <c r="I56" s="464" t="s">
        <v>3003</v>
      </c>
      <c r="J56" s="60"/>
      <c r="K56" s="60"/>
      <c r="L56" s="61"/>
      <c r="M56" s="58"/>
    </row>
    <row r="57" spans="1:13">
      <c r="A57" s="436">
        <v>48</v>
      </c>
      <c r="B57" s="466" t="s">
        <v>2692</v>
      </c>
      <c r="C57" s="58" t="s">
        <v>465</v>
      </c>
      <c r="D57" s="468" t="s">
        <v>2720</v>
      </c>
      <c r="E57" s="464" t="s">
        <v>2781</v>
      </c>
      <c r="F57" s="464" t="s">
        <v>2835</v>
      </c>
      <c r="G57" s="464" t="s">
        <v>2886</v>
      </c>
      <c r="H57" s="464" t="s">
        <v>2961</v>
      </c>
      <c r="I57" s="464" t="s">
        <v>480</v>
      </c>
      <c r="J57" s="60"/>
      <c r="K57" s="60"/>
      <c r="L57" s="61"/>
      <c r="M57" s="58"/>
    </row>
    <row r="58" spans="1:13">
      <c r="A58" s="435">
        <v>49</v>
      </c>
      <c r="B58" s="466" t="s">
        <v>2692</v>
      </c>
      <c r="C58" s="58" t="s">
        <v>465</v>
      </c>
      <c r="D58" s="468" t="s">
        <v>2730</v>
      </c>
      <c r="E58" s="464" t="s">
        <v>2782</v>
      </c>
      <c r="F58" s="464" t="s">
        <v>2836</v>
      </c>
      <c r="G58" s="464" t="s">
        <v>2887</v>
      </c>
      <c r="H58" s="464" t="s">
        <v>2962</v>
      </c>
      <c r="I58" s="464" t="s">
        <v>480</v>
      </c>
      <c r="J58" s="60"/>
      <c r="K58" s="60"/>
      <c r="L58" s="61"/>
      <c r="M58" s="58"/>
    </row>
    <row r="59" spans="1:13">
      <c r="A59" s="436">
        <v>50</v>
      </c>
      <c r="B59" s="466" t="s">
        <v>2692</v>
      </c>
      <c r="C59" s="58" t="s">
        <v>465</v>
      </c>
      <c r="D59" s="468" t="s">
        <v>2728</v>
      </c>
      <c r="E59" s="464" t="s">
        <v>2783</v>
      </c>
      <c r="F59" s="464" t="s">
        <v>2306</v>
      </c>
      <c r="G59" s="464" t="s">
        <v>2888</v>
      </c>
      <c r="H59" s="464" t="s">
        <v>2963</v>
      </c>
      <c r="I59" s="464" t="s">
        <v>480</v>
      </c>
      <c r="J59" s="60"/>
      <c r="K59" s="60"/>
      <c r="L59" s="61"/>
      <c r="M59" s="58"/>
    </row>
    <row r="60" spans="1:13" ht="18" customHeight="1">
      <c r="A60" s="435">
        <v>51</v>
      </c>
      <c r="B60" s="466" t="s">
        <v>2690</v>
      </c>
      <c r="C60" s="58" t="s">
        <v>465</v>
      </c>
      <c r="D60" s="468" t="s">
        <v>2737</v>
      </c>
      <c r="E60" s="464" t="s">
        <v>2784</v>
      </c>
      <c r="F60" s="464" t="s">
        <v>2837</v>
      </c>
      <c r="G60" s="464" t="s">
        <v>2889</v>
      </c>
      <c r="H60" s="464" t="s">
        <v>2964</v>
      </c>
      <c r="I60" s="464" t="s">
        <v>480</v>
      </c>
      <c r="J60" s="60"/>
      <c r="K60" s="60"/>
      <c r="L60" s="61"/>
      <c r="M60" s="58"/>
    </row>
    <row r="61" spans="1:13">
      <c r="A61" s="436">
        <v>52</v>
      </c>
      <c r="B61" s="466" t="s">
        <v>2694</v>
      </c>
      <c r="C61" s="58" t="s">
        <v>465</v>
      </c>
      <c r="D61" s="468" t="s">
        <v>2722</v>
      </c>
      <c r="E61" s="464" t="s">
        <v>2785</v>
      </c>
      <c r="F61" s="464" t="s">
        <v>473</v>
      </c>
      <c r="G61" s="464" t="s">
        <v>2890</v>
      </c>
      <c r="H61" s="464" t="s">
        <v>2965</v>
      </c>
      <c r="I61" s="464" t="s">
        <v>480</v>
      </c>
      <c r="J61" s="60"/>
      <c r="K61" s="60"/>
      <c r="L61" s="61"/>
      <c r="M61" s="58"/>
    </row>
    <row r="62" spans="1:13">
      <c r="A62" s="435">
        <v>53</v>
      </c>
      <c r="B62" s="466" t="s">
        <v>2694</v>
      </c>
      <c r="C62" s="58" t="s">
        <v>465</v>
      </c>
      <c r="D62" s="468" t="s">
        <v>2722</v>
      </c>
      <c r="E62" s="464" t="s">
        <v>2785</v>
      </c>
      <c r="F62" s="464" t="s">
        <v>473</v>
      </c>
      <c r="G62" s="464" t="s">
        <v>2890</v>
      </c>
      <c r="H62" s="464" t="s">
        <v>2965</v>
      </c>
      <c r="I62" s="464" t="s">
        <v>480</v>
      </c>
      <c r="J62" s="60"/>
      <c r="K62" s="60"/>
      <c r="L62" s="61"/>
      <c r="M62" s="58"/>
    </row>
    <row r="63" spans="1:13">
      <c r="A63" s="436">
        <v>54</v>
      </c>
      <c r="B63" s="466" t="s">
        <v>2695</v>
      </c>
      <c r="C63" s="58" t="s">
        <v>465</v>
      </c>
      <c r="D63" s="468" t="s">
        <v>2732</v>
      </c>
      <c r="E63" s="464" t="s">
        <v>2786</v>
      </c>
      <c r="F63" s="464" t="s">
        <v>2838</v>
      </c>
      <c r="G63" s="464" t="s">
        <v>2891</v>
      </c>
      <c r="H63" s="464" t="s">
        <v>2966</v>
      </c>
      <c r="I63" s="464" t="s">
        <v>480</v>
      </c>
      <c r="J63" s="60"/>
      <c r="K63" s="60"/>
      <c r="L63" s="61"/>
      <c r="M63" s="58"/>
    </row>
    <row r="64" spans="1:13">
      <c r="A64" s="435">
        <v>55</v>
      </c>
      <c r="B64" s="466" t="s">
        <v>2696</v>
      </c>
      <c r="C64" s="58" t="s">
        <v>465</v>
      </c>
      <c r="D64" s="468" t="s">
        <v>2738</v>
      </c>
      <c r="E64" s="464" t="s">
        <v>2787</v>
      </c>
      <c r="F64" s="464" t="s">
        <v>2839</v>
      </c>
      <c r="G64" s="464" t="s">
        <v>2892</v>
      </c>
      <c r="H64" s="464" t="s">
        <v>2967</v>
      </c>
      <c r="I64" s="464" t="s">
        <v>3004</v>
      </c>
      <c r="J64" s="60"/>
      <c r="K64" s="60"/>
      <c r="L64" s="61"/>
      <c r="M64" s="58"/>
    </row>
    <row r="65" spans="1:13">
      <c r="A65" s="436">
        <v>56</v>
      </c>
      <c r="B65" s="466" t="s">
        <v>464</v>
      </c>
      <c r="C65" s="58" t="s">
        <v>465</v>
      </c>
      <c r="D65" s="468" t="s">
        <v>466</v>
      </c>
      <c r="E65" s="464" t="s">
        <v>468</v>
      </c>
      <c r="F65" s="464" t="s">
        <v>471</v>
      </c>
      <c r="G65" s="464" t="s">
        <v>474</v>
      </c>
      <c r="H65" s="464" t="s">
        <v>477</v>
      </c>
      <c r="I65" s="464" t="s">
        <v>480</v>
      </c>
      <c r="J65" s="60"/>
      <c r="K65" s="60"/>
      <c r="L65" s="61"/>
      <c r="M65" s="58"/>
    </row>
    <row r="66" spans="1:13">
      <c r="A66" s="435">
        <v>57</v>
      </c>
      <c r="B66" s="466" t="s">
        <v>2697</v>
      </c>
      <c r="C66" s="58" t="s">
        <v>465</v>
      </c>
      <c r="D66" s="468" t="s">
        <v>2739</v>
      </c>
      <c r="E66" s="464" t="s">
        <v>2788</v>
      </c>
      <c r="F66" s="464" t="s">
        <v>2839</v>
      </c>
      <c r="G66" s="464" t="s">
        <v>2893</v>
      </c>
      <c r="H66" s="464" t="s">
        <v>2968</v>
      </c>
      <c r="I66" s="464" t="s">
        <v>480</v>
      </c>
      <c r="J66" s="60"/>
      <c r="K66" s="60"/>
      <c r="L66" s="61"/>
      <c r="M66" s="58"/>
    </row>
    <row r="67" spans="1:13">
      <c r="A67" s="436">
        <v>58</v>
      </c>
      <c r="B67" s="466" t="s">
        <v>2698</v>
      </c>
      <c r="C67" s="58" t="s">
        <v>465</v>
      </c>
      <c r="D67" s="468" t="s">
        <v>2740</v>
      </c>
      <c r="E67" s="464" t="s">
        <v>2789</v>
      </c>
      <c r="F67" s="464" t="s">
        <v>2840</v>
      </c>
      <c r="G67" s="464" t="s">
        <v>2894</v>
      </c>
      <c r="H67" s="464" t="s">
        <v>2969</v>
      </c>
      <c r="I67" s="464" t="s">
        <v>3005</v>
      </c>
      <c r="J67" s="60"/>
      <c r="K67" s="60"/>
      <c r="L67" s="61"/>
      <c r="M67" s="58"/>
    </row>
    <row r="68" spans="1:13">
      <c r="A68" s="435">
        <v>59</v>
      </c>
      <c r="B68" s="466" t="s">
        <v>2698</v>
      </c>
      <c r="C68" s="58" t="s">
        <v>465</v>
      </c>
      <c r="D68" s="468" t="s">
        <v>2717</v>
      </c>
      <c r="E68" s="464" t="s">
        <v>2790</v>
      </c>
      <c r="F68" s="464" t="s">
        <v>2351</v>
      </c>
      <c r="G68" s="464" t="s">
        <v>2895</v>
      </c>
      <c r="H68" s="464" t="s">
        <v>2970</v>
      </c>
      <c r="I68" s="464" t="s">
        <v>3005</v>
      </c>
      <c r="J68" s="60"/>
      <c r="K68" s="60"/>
      <c r="L68" s="61"/>
      <c r="M68" s="58"/>
    </row>
    <row r="69" spans="1:13">
      <c r="A69" s="436">
        <v>60</v>
      </c>
      <c r="B69" s="466" t="s">
        <v>2699</v>
      </c>
      <c r="C69" s="58" t="s">
        <v>465</v>
      </c>
      <c r="D69" s="468" t="s">
        <v>2723</v>
      </c>
      <c r="E69" s="464" t="s">
        <v>2791</v>
      </c>
      <c r="F69" s="464" t="s">
        <v>2841</v>
      </c>
      <c r="G69" s="464" t="s">
        <v>2896</v>
      </c>
      <c r="H69" s="464" t="s">
        <v>2971</v>
      </c>
      <c r="I69" s="464" t="s">
        <v>480</v>
      </c>
      <c r="J69" s="60"/>
      <c r="K69" s="60"/>
      <c r="L69" s="61"/>
      <c r="M69" s="58"/>
    </row>
    <row r="70" spans="1:13">
      <c r="A70" s="435">
        <v>61</v>
      </c>
      <c r="B70" s="466" t="s">
        <v>2700</v>
      </c>
      <c r="C70" s="58" t="s">
        <v>465</v>
      </c>
      <c r="D70" s="468" t="s">
        <v>2727</v>
      </c>
      <c r="E70" s="464" t="s">
        <v>2792</v>
      </c>
      <c r="F70" s="464" t="s">
        <v>2822</v>
      </c>
      <c r="G70" s="464" t="s">
        <v>2897</v>
      </c>
      <c r="H70" s="464" t="s">
        <v>2972</v>
      </c>
      <c r="I70" s="464" t="s">
        <v>3005</v>
      </c>
      <c r="J70" s="60"/>
      <c r="K70" s="60"/>
      <c r="L70" s="61"/>
      <c r="M70" s="58"/>
    </row>
    <row r="71" spans="1:13">
      <c r="A71" s="436">
        <v>62</v>
      </c>
      <c r="B71" s="466" t="s">
        <v>2700</v>
      </c>
      <c r="C71" s="58" t="s">
        <v>465</v>
      </c>
      <c r="D71" s="468" t="s">
        <v>2718</v>
      </c>
      <c r="E71" s="464" t="s">
        <v>2793</v>
      </c>
      <c r="F71" s="464" t="s">
        <v>2451</v>
      </c>
      <c r="G71" s="464" t="s">
        <v>2898</v>
      </c>
      <c r="H71" s="464" t="s">
        <v>2973</v>
      </c>
      <c r="I71" s="464" t="s">
        <v>480</v>
      </c>
      <c r="J71" s="60"/>
      <c r="K71" s="60"/>
      <c r="L71" s="61"/>
      <c r="M71" s="58"/>
    </row>
    <row r="72" spans="1:13">
      <c r="A72" s="435">
        <v>63</v>
      </c>
      <c r="B72" s="466" t="s">
        <v>2700</v>
      </c>
      <c r="C72" s="58" t="s">
        <v>465</v>
      </c>
      <c r="D72" s="468" t="s">
        <v>2672</v>
      </c>
      <c r="E72" s="464" t="s">
        <v>2794</v>
      </c>
      <c r="F72" s="464" t="s">
        <v>2842</v>
      </c>
      <c r="G72" s="464" t="s">
        <v>2899</v>
      </c>
      <c r="H72" s="464" t="s">
        <v>2974</v>
      </c>
      <c r="I72" s="464" t="s">
        <v>480</v>
      </c>
      <c r="J72" s="60"/>
      <c r="K72" s="60"/>
      <c r="L72" s="61"/>
      <c r="M72" s="58"/>
    </row>
    <row r="73" spans="1:13">
      <c r="A73" s="436">
        <v>64</v>
      </c>
      <c r="B73" s="466" t="s">
        <v>2701</v>
      </c>
      <c r="C73" s="58" t="s">
        <v>465</v>
      </c>
      <c r="D73" s="468" t="s">
        <v>2718</v>
      </c>
      <c r="E73" s="464" t="s">
        <v>2795</v>
      </c>
      <c r="F73" s="464" t="s">
        <v>2843</v>
      </c>
      <c r="G73" s="464" t="s">
        <v>2900</v>
      </c>
      <c r="H73" s="464" t="s">
        <v>2975</v>
      </c>
      <c r="I73" s="464" t="s">
        <v>480</v>
      </c>
      <c r="J73" s="60"/>
      <c r="K73" s="60"/>
      <c r="L73" s="61"/>
      <c r="M73" s="58"/>
    </row>
    <row r="74" spans="1:13">
      <c r="A74" s="435">
        <v>65</v>
      </c>
      <c r="B74" s="466" t="s">
        <v>2701</v>
      </c>
      <c r="C74" s="58" t="s">
        <v>465</v>
      </c>
      <c r="D74" s="468" t="s">
        <v>2741</v>
      </c>
      <c r="E74" s="464" t="s">
        <v>2796</v>
      </c>
      <c r="F74" s="464" t="s">
        <v>2514</v>
      </c>
      <c r="G74" s="464" t="s">
        <v>2901</v>
      </c>
      <c r="H74" s="464" t="s">
        <v>2976</v>
      </c>
      <c r="I74" s="464" t="s">
        <v>480</v>
      </c>
      <c r="J74" s="60"/>
      <c r="K74" s="60"/>
      <c r="L74" s="61"/>
      <c r="M74" s="58"/>
    </row>
    <row r="75" spans="1:13">
      <c r="A75" s="436">
        <v>66</v>
      </c>
      <c r="B75" s="466" t="s">
        <v>2701</v>
      </c>
      <c r="C75" s="58" t="s">
        <v>465</v>
      </c>
      <c r="D75" s="468" t="s">
        <v>2723</v>
      </c>
      <c r="E75" s="464" t="s">
        <v>2797</v>
      </c>
      <c r="F75" s="464" t="s">
        <v>2844</v>
      </c>
      <c r="G75" s="464" t="s">
        <v>2902</v>
      </c>
      <c r="H75" s="464" t="s">
        <v>2977</v>
      </c>
      <c r="I75" s="464" t="s">
        <v>480</v>
      </c>
      <c r="J75" s="60"/>
      <c r="K75" s="60"/>
      <c r="L75" s="61"/>
      <c r="M75" s="58"/>
    </row>
    <row r="76" spans="1:13">
      <c r="A76" s="435">
        <v>67</v>
      </c>
      <c r="B76" s="466" t="s">
        <v>2702</v>
      </c>
      <c r="C76" s="58" t="s">
        <v>465</v>
      </c>
      <c r="D76" s="468" t="s">
        <v>2742</v>
      </c>
      <c r="E76" s="464" t="s">
        <v>2798</v>
      </c>
      <c r="F76" s="464" t="s">
        <v>2829</v>
      </c>
      <c r="G76" s="464" t="s">
        <v>2903</v>
      </c>
      <c r="H76" s="464" t="s">
        <v>2978</v>
      </c>
      <c r="I76" s="464" t="s">
        <v>3004</v>
      </c>
      <c r="J76" s="60"/>
      <c r="K76" s="60"/>
      <c r="L76" s="61"/>
      <c r="M76" s="58"/>
    </row>
    <row r="77" spans="1:13">
      <c r="A77" s="436">
        <v>68</v>
      </c>
      <c r="B77" s="466" t="s">
        <v>2702</v>
      </c>
      <c r="C77" s="58" t="s">
        <v>465</v>
      </c>
      <c r="D77" s="468" t="s">
        <v>2725</v>
      </c>
      <c r="E77" s="464" t="s">
        <v>2799</v>
      </c>
      <c r="F77" s="464" t="s">
        <v>2822</v>
      </c>
      <c r="G77" s="464" t="s">
        <v>2904</v>
      </c>
      <c r="H77" s="464" t="s">
        <v>2979</v>
      </c>
      <c r="I77" s="464" t="s">
        <v>3007</v>
      </c>
      <c r="J77" s="60"/>
      <c r="K77" s="60"/>
      <c r="L77" s="61"/>
      <c r="M77" s="58"/>
    </row>
    <row r="78" spans="1:13">
      <c r="A78" s="435">
        <v>69</v>
      </c>
      <c r="B78" s="466" t="s">
        <v>2703</v>
      </c>
      <c r="C78" s="58" t="s">
        <v>465</v>
      </c>
      <c r="D78" s="468" t="s">
        <v>2735</v>
      </c>
      <c r="E78" s="464" t="s">
        <v>2800</v>
      </c>
      <c r="F78" s="464" t="s">
        <v>2845</v>
      </c>
      <c r="G78" s="464" t="s">
        <v>2905</v>
      </c>
      <c r="H78" s="464" t="s">
        <v>2980</v>
      </c>
      <c r="I78" s="464" t="s">
        <v>3002</v>
      </c>
      <c r="J78" s="60"/>
      <c r="K78" s="60"/>
      <c r="L78" s="61"/>
      <c r="M78" s="58"/>
    </row>
    <row r="79" spans="1:13">
      <c r="A79" s="436">
        <v>70</v>
      </c>
      <c r="B79" s="466" t="s">
        <v>2704</v>
      </c>
      <c r="C79" s="58" t="s">
        <v>465</v>
      </c>
      <c r="D79" s="468" t="s">
        <v>2743</v>
      </c>
      <c r="E79" s="464" t="s">
        <v>2801</v>
      </c>
      <c r="F79" s="464" t="s">
        <v>2846</v>
      </c>
      <c r="G79" s="464" t="s">
        <v>2906</v>
      </c>
      <c r="H79" s="464" t="s">
        <v>2981</v>
      </c>
      <c r="I79" s="464" t="s">
        <v>3003</v>
      </c>
      <c r="J79" s="60"/>
      <c r="K79" s="60"/>
      <c r="L79" s="61"/>
      <c r="M79" s="58"/>
    </row>
    <row r="80" spans="1:13">
      <c r="A80" s="435">
        <v>71</v>
      </c>
      <c r="B80" s="466" t="s">
        <v>2705</v>
      </c>
      <c r="C80" s="58" t="s">
        <v>465</v>
      </c>
      <c r="D80" s="468" t="s">
        <v>2716</v>
      </c>
      <c r="E80" s="464" t="s">
        <v>2303</v>
      </c>
      <c r="F80" s="464" t="s">
        <v>2318</v>
      </c>
      <c r="G80" s="464" t="s">
        <v>2872</v>
      </c>
      <c r="H80" s="464" t="s">
        <v>2945</v>
      </c>
      <c r="I80" s="464" t="s">
        <v>480</v>
      </c>
      <c r="J80" s="60"/>
      <c r="K80" s="60"/>
      <c r="L80" s="61"/>
      <c r="M80" s="58"/>
    </row>
    <row r="81" spans="1:13">
      <c r="A81" s="436">
        <v>72</v>
      </c>
      <c r="B81" s="466" t="s">
        <v>2705</v>
      </c>
      <c r="C81" s="58" t="s">
        <v>465</v>
      </c>
      <c r="D81" s="468" t="s">
        <v>2718</v>
      </c>
      <c r="E81" s="464" t="s">
        <v>2802</v>
      </c>
      <c r="F81" s="464" t="s">
        <v>2470</v>
      </c>
      <c r="G81" s="464" t="s">
        <v>2907</v>
      </c>
      <c r="H81" s="464" t="s">
        <v>2982</v>
      </c>
      <c r="I81" s="464" t="s">
        <v>480</v>
      </c>
      <c r="J81" s="60"/>
      <c r="K81" s="60"/>
      <c r="L81" s="61"/>
      <c r="M81" s="58"/>
    </row>
    <row r="82" spans="1:13">
      <c r="A82" s="435">
        <v>73</v>
      </c>
      <c r="B82" s="466" t="s">
        <v>2706</v>
      </c>
      <c r="C82" s="58" t="s">
        <v>465</v>
      </c>
      <c r="D82" s="468" t="s">
        <v>2672</v>
      </c>
      <c r="E82" s="464" t="s">
        <v>2803</v>
      </c>
      <c r="F82" s="464" t="s">
        <v>2847</v>
      </c>
      <c r="G82" s="464" t="s">
        <v>2908</v>
      </c>
      <c r="H82" s="464" t="s">
        <v>2983</v>
      </c>
      <c r="I82" s="464" t="s">
        <v>480</v>
      </c>
      <c r="J82" s="60"/>
      <c r="K82" s="60"/>
      <c r="L82" s="61"/>
      <c r="M82" s="58"/>
    </row>
    <row r="83" spans="1:13">
      <c r="A83" s="436">
        <v>74</v>
      </c>
      <c r="B83" s="466" t="s">
        <v>2706</v>
      </c>
      <c r="C83" s="58" t="s">
        <v>465</v>
      </c>
      <c r="D83" s="468" t="s">
        <v>2730</v>
      </c>
      <c r="E83" s="464" t="s">
        <v>2804</v>
      </c>
      <c r="F83" s="464" t="s">
        <v>2819</v>
      </c>
      <c r="G83" s="464" t="s">
        <v>2909</v>
      </c>
      <c r="H83" s="464" t="s">
        <v>2984</v>
      </c>
      <c r="I83" s="464" t="s">
        <v>3005</v>
      </c>
      <c r="J83" s="60"/>
      <c r="K83" s="60"/>
      <c r="L83" s="61"/>
      <c r="M83" s="58"/>
    </row>
    <row r="84" spans="1:13">
      <c r="A84" s="435">
        <v>75</v>
      </c>
      <c r="B84" s="466" t="s">
        <v>2706</v>
      </c>
      <c r="C84" s="58" t="s">
        <v>465</v>
      </c>
      <c r="D84" s="468" t="s">
        <v>2744</v>
      </c>
      <c r="E84" s="464" t="s">
        <v>2805</v>
      </c>
      <c r="F84" s="464" t="s">
        <v>2306</v>
      </c>
      <c r="G84" s="464" t="s">
        <v>2910</v>
      </c>
      <c r="H84" s="464" t="s">
        <v>2985</v>
      </c>
      <c r="I84" s="464" t="s">
        <v>3006</v>
      </c>
      <c r="J84" s="60"/>
      <c r="K84" s="60"/>
      <c r="L84" s="61"/>
      <c r="M84" s="58"/>
    </row>
    <row r="85" spans="1:13">
      <c r="A85" s="436">
        <v>76</v>
      </c>
      <c r="B85" s="466" t="s">
        <v>2706</v>
      </c>
      <c r="C85" s="58" t="s">
        <v>465</v>
      </c>
      <c r="D85" s="468" t="s">
        <v>2734</v>
      </c>
      <c r="E85" s="464" t="s">
        <v>2806</v>
      </c>
      <c r="F85" s="464" t="s">
        <v>2825</v>
      </c>
      <c r="G85" s="464" t="s">
        <v>2911</v>
      </c>
      <c r="H85" s="464" t="s">
        <v>2986</v>
      </c>
      <c r="I85" s="464" t="s">
        <v>480</v>
      </c>
      <c r="J85" s="60"/>
      <c r="K85" s="60"/>
      <c r="L85" s="61"/>
      <c r="M85" s="58"/>
    </row>
    <row r="86" spans="1:13">
      <c r="A86" s="435">
        <v>77</v>
      </c>
      <c r="B86" s="466" t="s">
        <v>2706</v>
      </c>
      <c r="C86" s="58" t="s">
        <v>465</v>
      </c>
      <c r="D86" s="468" t="s">
        <v>2718</v>
      </c>
      <c r="E86" s="464" t="s">
        <v>2807</v>
      </c>
      <c r="F86" s="464" t="s">
        <v>2848</v>
      </c>
      <c r="G86" s="464" t="s">
        <v>2912</v>
      </c>
      <c r="H86" s="464" t="s">
        <v>2987</v>
      </c>
      <c r="I86" s="464" t="s">
        <v>480</v>
      </c>
      <c r="J86" s="60"/>
      <c r="K86" s="60"/>
      <c r="L86" s="61"/>
      <c r="M86" s="58"/>
    </row>
    <row r="87" spans="1:13">
      <c r="A87" s="436">
        <v>78</v>
      </c>
      <c r="B87" s="466" t="s">
        <v>2707</v>
      </c>
      <c r="C87" s="58" t="s">
        <v>465</v>
      </c>
      <c r="D87" s="468" t="s">
        <v>2745</v>
      </c>
      <c r="E87" s="464" t="s">
        <v>2773</v>
      </c>
      <c r="F87" s="464" t="s">
        <v>2302</v>
      </c>
      <c r="G87" s="464" t="s">
        <v>2878</v>
      </c>
      <c r="H87" s="464" t="s">
        <v>2953</v>
      </c>
      <c r="I87" s="464" t="s">
        <v>480</v>
      </c>
      <c r="J87" s="60"/>
      <c r="K87" s="60"/>
      <c r="L87" s="61"/>
      <c r="M87" s="58"/>
    </row>
    <row r="88" spans="1:13">
      <c r="A88" s="435">
        <v>79</v>
      </c>
      <c r="B88" s="466" t="s">
        <v>2707</v>
      </c>
      <c r="C88" s="58" t="s">
        <v>465</v>
      </c>
      <c r="D88" s="468" t="s">
        <v>2720</v>
      </c>
      <c r="E88" s="464" t="s">
        <v>469</v>
      </c>
      <c r="F88" s="464" t="s">
        <v>2846</v>
      </c>
      <c r="G88" s="464" t="s">
        <v>2913</v>
      </c>
      <c r="H88" s="464" t="s">
        <v>2988</v>
      </c>
      <c r="I88" s="464" t="s">
        <v>3006</v>
      </c>
      <c r="J88" s="60"/>
      <c r="K88" s="60"/>
      <c r="L88" s="61"/>
      <c r="M88" s="58"/>
    </row>
    <row r="89" spans="1:13">
      <c r="A89" s="436">
        <v>80</v>
      </c>
      <c r="B89" s="466" t="s">
        <v>2708</v>
      </c>
      <c r="C89" s="58" t="s">
        <v>465</v>
      </c>
      <c r="D89" s="468" t="s">
        <v>2746</v>
      </c>
      <c r="E89" s="464" t="s">
        <v>2756</v>
      </c>
      <c r="F89" s="464" t="s">
        <v>2822</v>
      </c>
      <c r="G89" s="464" t="s">
        <v>2859</v>
      </c>
      <c r="H89" s="464" t="s">
        <v>2930</v>
      </c>
      <c r="I89" s="464" t="s">
        <v>3002</v>
      </c>
      <c r="J89" s="60"/>
      <c r="K89" s="60"/>
      <c r="L89" s="61"/>
      <c r="M89" s="58"/>
    </row>
    <row r="90" spans="1:13">
      <c r="A90" s="435">
        <v>81</v>
      </c>
      <c r="B90" s="466" t="s">
        <v>2708</v>
      </c>
      <c r="C90" s="58" t="s">
        <v>465</v>
      </c>
      <c r="D90" s="468" t="s">
        <v>2725</v>
      </c>
      <c r="E90" s="464" t="s">
        <v>2808</v>
      </c>
      <c r="F90" s="464" t="s">
        <v>2849</v>
      </c>
      <c r="G90" s="464" t="s">
        <v>2914</v>
      </c>
      <c r="H90" s="464" t="s">
        <v>2989</v>
      </c>
      <c r="I90" s="464" t="s">
        <v>3005</v>
      </c>
      <c r="J90" s="60"/>
      <c r="K90" s="60"/>
      <c r="L90" s="61"/>
      <c r="M90" s="58"/>
    </row>
    <row r="91" spans="1:13">
      <c r="A91" s="436">
        <v>82</v>
      </c>
      <c r="B91" s="466" t="s">
        <v>2708</v>
      </c>
      <c r="C91" s="58" t="s">
        <v>465</v>
      </c>
      <c r="D91" s="468" t="s">
        <v>2747</v>
      </c>
      <c r="E91" s="464" t="s">
        <v>470</v>
      </c>
      <c r="F91" s="464" t="s">
        <v>473</v>
      </c>
      <c r="G91" s="464" t="s">
        <v>476</v>
      </c>
      <c r="H91" s="464" t="s">
        <v>2990</v>
      </c>
      <c r="I91" s="464" t="s">
        <v>480</v>
      </c>
      <c r="J91" s="60"/>
      <c r="K91" s="60"/>
      <c r="L91" s="61"/>
      <c r="M91" s="58"/>
    </row>
    <row r="92" spans="1:13">
      <c r="A92" s="435">
        <v>83</v>
      </c>
      <c r="B92" s="466" t="s">
        <v>2708</v>
      </c>
      <c r="C92" s="58" t="s">
        <v>465</v>
      </c>
      <c r="D92" s="468" t="s">
        <v>2720</v>
      </c>
      <c r="E92" s="464" t="s">
        <v>2809</v>
      </c>
      <c r="F92" s="464" t="s">
        <v>2822</v>
      </c>
      <c r="G92" s="464" t="s">
        <v>2915</v>
      </c>
      <c r="H92" s="464" t="s">
        <v>2991</v>
      </c>
      <c r="I92" s="464" t="s">
        <v>480</v>
      </c>
      <c r="J92" s="60"/>
      <c r="K92" s="60"/>
      <c r="L92" s="61"/>
      <c r="M92" s="58"/>
    </row>
    <row r="93" spans="1:13">
      <c r="A93" s="436">
        <v>84</v>
      </c>
      <c r="B93" s="466" t="s">
        <v>2708</v>
      </c>
      <c r="C93" s="58" t="s">
        <v>465</v>
      </c>
      <c r="D93" s="468" t="s">
        <v>2739</v>
      </c>
      <c r="E93" s="464" t="s">
        <v>2788</v>
      </c>
      <c r="F93" s="464" t="s">
        <v>2839</v>
      </c>
      <c r="G93" s="464" t="s">
        <v>2893</v>
      </c>
      <c r="H93" s="464" t="s">
        <v>2968</v>
      </c>
      <c r="I93" s="464" t="s">
        <v>480</v>
      </c>
      <c r="J93" s="60"/>
      <c r="K93" s="60"/>
      <c r="L93" s="61"/>
      <c r="M93" s="58"/>
    </row>
    <row r="94" spans="1:13">
      <c r="A94" s="435">
        <v>85</v>
      </c>
      <c r="B94" s="466" t="s">
        <v>2709</v>
      </c>
      <c r="C94" s="58" t="s">
        <v>465</v>
      </c>
      <c r="D94" s="468" t="s">
        <v>2739</v>
      </c>
      <c r="E94" s="464" t="s">
        <v>2810</v>
      </c>
      <c r="F94" s="464" t="s">
        <v>2850</v>
      </c>
      <c r="G94" s="464" t="s">
        <v>2916</v>
      </c>
      <c r="H94" s="464" t="s">
        <v>2992</v>
      </c>
      <c r="I94" s="464" t="s">
        <v>3005</v>
      </c>
      <c r="J94" s="60"/>
      <c r="K94" s="60"/>
      <c r="L94" s="61"/>
      <c r="M94" s="58"/>
    </row>
    <row r="95" spans="1:13">
      <c r="A95" s="436">
        <v>86</v>
      </c>
      <c r="B95" s="466" t="s">
        <v>2709</v>
      </c>
      <c r="C95" s="58" t="s">
        <v>465</v>
      </c>
      <c r="D95" s="468" t="s">
        <v>2748</v>
      </c>
      <c r="E95" s="464" t="s">
        <v>2811</v>
      </c>
      <c r="F95" s="464" t="s">
        <v>473</v>
      </c>
      <c r="G95" s="464" t="s">
        <v>2917</v>
      </c>
      <c r="H95" s="464" t="s">
        <v>2993</v>
      </c>
      <c r="I95" s="464" t="s">
        <v>3005</v>
      </c>
      <c r="J95" s="60"/>
      <c r="K95" s="60"/>
      <c r="L95" s="61"/>
      <c r="M95" s="58"/>
    </row>
    <row r="96" spans="1:13">
      <c r="A96" s="435">
        <v>87</v>
      </c>
      <c r="B96" s="466" t="s">
        <v>2709</v>
      </c>
      <c r="C96" s="58" t="s">
        <v>465</v>
      </c>
      <c r="D96" s="468" t="s">
        <v>2749</v>
      </c>
      <c r="E96" s="464" t="s">
        <v>2812</v>
      </c>
      <c r="F96" s="464" t="s">
        <v>2847</v>
      </c>
      <c r="G96" s="464" t="s">
        <v>2918</v>
      </c>
      <c r="H96" s="464" t="s">
        <v>2994</v>
      </c>
      <c r="I96" s="464" t="s">
        <v>3006</v>
      </c>
      <c r="J96" s="60"/>
      <c r="K96" s="60"/>
      <c r="L96" s="61"/>
      <c r="M96" s="58"/>
    </row>
    <row r="97" spans="1:13">
      <c r="A97" s="436">
        <v>88</v>
      </c>
      <c r="B97" s="466" t="s">
        <v>2707</v>
      </c>
      <c r="C97" s="58" t="s">
        <v>465</v>
      </c>
      <c r="D97" s="468" t="s">
        <v>2720</v>
      </c>
      <c r="E97" s="464" t="s">
        <v>2809</v>
      </c>
      <c r="F97" s="464" t="s">
        <v>2822</v>
      </c>
      <c r="G97" s="464" t="s">
        <v>2915</v>
      </c>
      <c r="H97" s="464" t="s">
        <v>2991</v>
      </c>
      <c r="I97" s="464" t="s">
        <v>480</v>
      </c>
      <c r="J97" s="60"/>
      <c r="K97" s="60"/>
      <c r="L97" s="61"/>
      <c r="M97" s="58"/>
    </row>
    <row r="98" spans="1:13">
      <c r="A98" s="435">
        <v>89</v>
      </c>
      <c r="B98" s="466" t="s">
        <v>2710</v>
      </c>
      <c r="C98" s="58" t="s">
        <v>465</v>
      </c>
      <c r="D98" s="468" t="s">
        <v>467</v>
      </c>
      <c r="E98" s="464" t="s">
        <v>2813</v>
      </c>
      <c r="F98" s="464" t="s">
        <v>2851</v>
      </c>
      <c r="G98" s="464" t="s">
        <v>2919</v>
      </c>
      <c r="H98" s="464" t="s">
        <v>2995</v>
      </c>
      <c r="I98" s="464" t="s">
        <v>3003</v>
      </c>
      <c r="J98" s="60"/>
      <c r="K98" s="60"/>
      <c r="L98" s="61"/>
      <c r="M98" s="58"/>
    </row>
    <row r="99" spans="1:13">
      <c r="A99" s="436">
        <v>90</v>
      </c>
      <c r="B99" s="466" t="s">
        <v>2711</v>
      </c>
      <c r="C99" s="58" t="s">
        <v>465</v>
      </c>
      <c r="D99" s="468" t="s">
        <v>2727</v>
      </c>
      <c r="E99" s="464" t="s">
        <v>2814</v>
      </c>
      <c r="F99" s="464" t="s">
        <v>2852</v>
      </c>
      <c r="G99" s="464" t="s">
        <v>2920</v>
      </c>
      <c r="H99" s="464" t="s">
        <v>2996</v>
      </c>
      <c r="I99" s="464" t="s">
        <v>3008</v>
      </c>
      <c r="J99" s="60"/>
      <c r="K99" s="60"/>
      <c r="L99" s="61"/>
      <c r="M99" s="58"/>
    </row>
    <row r="100" spans="1:13">
      <c r="A100" s="435">
        <v>91</v>
      </c>
      <c r="B100" s="466" t="s">
        <v>2711</v>
      </c>
      <c r="C100" s="58" t="s">
        <v>465</v>
      </c>
      <c r="D100" s="468" t="s">
        <v>2750</v>
      </c>
      <c r="E100" s="464" t="s">
        <v>2815</v>
      </c>
      <c r="F100" s="464" t="s">
        <v>2819</v>
      </c>
      <c r="G100" s="464" t="s">
        <v>2921</v>
      </c>
      <c r="H100" s="464" t="s">
        <v>2997</v>
      </c>
      <c r="I100" s="464" t="s">
        <v>3003</v>
      </c>
      <c r="J100" s="60"/>
      <c r="K100" s="60"/>
      <c r="L100" s="61"/>
      <c r="M100" s="58"/>
    </row>
    <row r="101" spans="1:13">
      <c r="A101" s="436">
        <v>92</v>
      </c>
      <c r="B101" s="466" t="s">
        <v>2711</v>
      </c>
      <c r="C101" s="58" t="s">
        <v>465</v>
      </c>
      <c r="D101" s="468" t="s">
        <v>2750</v>
      </c>
      <c r="E101" s="464" t="s">
        <v>2816</v>
      </c>
      <c r="F101" s="464" t="s">
        <v>2853</v>
      </c>
      <c r="G101" s="464" t="s">
        <v>2922</v>
      </c>
      <c r="H101" s="464" t="s">
        <v>2998</v>
      </c>
      <c r="I101" s="464" t="s">
        <v>3003</v>
      </c>
      <c r="J101" s="60"/>
      <c r="K101" s="60"/>
      <c r="L101" s="61"/>
      <c r="M101" s="58"/>
    </row>
    <row r="102" spans="1:13">
      <c r="A102" s="435">
        <v>93</v>
      </c>
      <c r="B102" s="466" t="s">
        <v>2577</v>
      </c>
      <c r="C102" s="58" t="s">
        <v>465</v>
      </c>
      <c r="D102" s="468" t="s">
        <v>2739</v>
      </c>
      <c r="E102" s="464" t="s">
        <v>2817</v>
      </c>
      <c r="F102" s="464" t="s">
        <v>2854</v>
      </c>
      <c r="G102" s="464" t="s">
        <v>2923</v>
      </c>
      <c r="H102" s="464" t="s">
        <v>2999</v>
      </c>
      <c r="I102" s="464" t="s">
        <v>3005</v>
      </c>
      <c r="J102" s="60"/>
      <c r="K102" s="60"/>
      <c r="L102" s="61"/>
      <c r="M102" s="58"/>
    </row>
    <row r="103" spans="1:13">
      <c r="A103" s="436">
        <v>94</v>
      </c>
      <c r="B103" s="466" t="s">
        <v>2577</v>
      </c>
      <c r="C103" s="58" t="s">
        <v>465</v>
      </c>
      <c r="D103" s="468" t="s">
        <v>2739</v>
      </c>
      <c r="E103" s="464" t="s">
        <v>2818</v>
      </c>
      <c r="F103" s="464" t="s">
        <v>2819</v>
      </c>
      <c r="G103" s="464" t="s">
        <v>2924</v>
      </c>
      <c r="H103" s="464" t="s">
        <v>3000</v>
      </c>
      <c r="I103" s="464" t="s">
        <v>3005</v>
      </c>
      <c r="J103" s="60"/>
      <c r="K103" s="60"/>
      <c r="L103" s="61"/>
      <c r="M103" s="58"/>
    </row>
    <row r="104" spans="1:13">
      <c r="A104" s="435">
        <v>95</v>
      </c>
      <c r="B104" s="466" t="s">
        <v>2712</v>
      </c>
      <c r="C104" s="58" t="s">
        <v>465</v>
      </c>
      <c r="D104" s="468" t="s">
        <v>2725</v>
      </c>
      <c r="E104" s="464" t="s">
        <v>2787</v>
      </c>
      <c r="F104" s="464" t="s">
        <v>2839</v>
      </c>
      <c r="G104" s="464" t="s">
        <v>2892</v>
      </c>
      <c r="H104" s="464" t="s">
        <v>3001</v>
      </c>
      <c r="I104" s="464" t="s">
        <v>480</v>
      </c>
      <c r="J104" s="60"/>
      <c r="K104" s="60"/>
      <c r="L104" s="61"/>
      <c r="M104" s="58"/>
    </row>
    <row r="105" spans="1:13" ht="54">
      <c r="A105" s="436">
        <v>96</v>
      </c>
      <c r="B105" s="462" t="s">
        <v>2593</v>
      </c>
      <c r="C105" s="58" t="s">
        <v>3014</v>
      </c>
      <c r="D105" s="462" t="s">
        <v>3015</v>
      </c>
      <c r="E105" s="462" t="s">
        <v>3023</v>
      </c>
      <c r="F105" s="463" t="s">
        <v>2514</v>
      </c>
      <c r="G105" s="462" t="s">
        <v>3032</v>
      </c>
      <c r="H105" s="437"/>
      <c r="I105" s="437"/>
      <c r="J105" s="471" t="s">
        <v>3039</v>
      </c>
      <c r="K105" s="471" t="s">
        <v>3046</v>
      </c>
      <c r="L105" s="61"/>
      <c r="M105" s="58"/>
    </row>
    <row r="106" spans="1:13" ht="54">
      <c r="A106" s="435">
        <v>97</v>
      </c>
      <c r="B106" s="462" t="s">
        <v>2593</v>
      </c>
      <c r="C106" s="58" t="s">
        <v>3014</v>
      </c>
      <c r="D106" s="462" t="s">
        <v>3016</v>
      </c>
      <c r="E106" s="462" t="s">
        <v>3023</v>
      </c>
      <c r="F106" s="463" t="s">
        <v>2514</v>
      </c>
      <c r="G106" s="462" t="s">
        <v>3032</v>
      </c>
      <c r="H106" s="437"/>
      <c r="I106" s="437"/>
      <c r="J106" s="471" t="s">
        <v>3039</v>
      </c>
      <c r="K106" s="471" t="s">
        <v>3046</v>
      </c>
      <c r="L106" s="61"/>
      <c r="M106" s="58"/>
    </row>
    <row r="107" spans="1:13" ht="27">
      <c r="A107" s="436">
        <v>98</v>
      </c>
      <c r="B107" s="464" t="s">
        <v>2677</v>
      </c>
      <c r="C107" s="58" t="s">
        <v>3014</v>
      </c>
      <c r="D107" s="464" t="s">
        <v>3017</v>
      </c>
      <c r="E107" s="464" t="s">
        <v>2755</v>
      </c>
      <c r="F107" s="464" t="s">
        <v>2821</v>
      </c>
      <c r="G107" s="464" t="s">
        <v>2858</v>
      </c>
      <c r="H107" s="437"/>
      <c r="I107" s="437"/>
      <c r="J107" s="472" t="s">
        <v>3040</v>
      </c>
      <c r="K107" s="60"/>
      <c r="L107" s="61"/>
      <c r="M107" s="58"/>
    </row>
    <row r="108" spans="1:13">
      <c r="A108" s="435">
        <v>99</v>
      </c>
      <c r="B108" s="464" t="s">
        <v>3009</v>
      </c>
      <c r="C108" s="58" t="s">
        <v>3014</v>
      </c>
      <c r="D108" s="464" t="s">
        <v>3018</v>
      </c>
      <c r="E108" s="464" t="s">
        <v>3024</v>
      </c>
      <c r="F108" s="464" t="s">
        <v>3028</v>
      </c>
      <c r="G108" s="464" t="s">
        <v>3033</v>
      </c>
      <c r="H108" s="437"/>
      <c r="I108" s="437"/>
      <c r="J108" s="472" t="s">
        <v>3041</v>
      </c>
      <c r="K108" s="60"/>
      <c r="L108" s="61"/>
      <c r="M108" s="58"/>
    </row>
    <row r="109" spans="1:13">
      <c r="A109" s="436">
        <v>100</v>
      </c>
      <c r="B109" s="464" t="s">
        <v>3009</v>
      </c>
      <c r="C109" s="58" t="s">
        <v>3014</v>
      </c>
      <c r="D109" s="464" t="s">
        <v>3018</v>
      </c>
      <c r="E109" s="464" t="s">
        <v>2328</v>
      </c>
      <c r="F109" s="464" t="s">
        <v>2852</v>
      </c>
      <c r="G109" s="464" t="s">
        <v>3034</v>
      </c>
      <c r="H109" s="437"/>
      <c r="I109" s="437"/>
      <c r="J109" s="472" t="s">
        <v>3041</v>
      </c>
      <c r="K109" s="60"/>
      <c r="L109" s="61"/>
      <c r="M109" s="58"/>
    </row>
    <row r="110" spans="1:13">
      <c r="A110" s="435">
        <v>101</v>
      </c>
      <c r="B110" s="464" t="s">
        <v>3009</v>
      </c>
      <c r="C110" s="58" t="s">
        <v>3014</v>
      </c>
      <c r="D110" s="464" t="s">
        <v>3018</v>
      </c>
      <c r="E110" s="464" t="s">
        <v>3024</v>
      </c>
      <c r="F110" s="464" t="s">
        <v>3029</v>
      </c>
      <c r="G110" s="464" t="s">
        <v>3035</v>
      </c>
      <c r="H110" s="437"/>
      <c r="I110" s="437"/>
      <c r="J110" s="472" t="s">
        <v>3041</v>
      </c>
      <c r="K110" s="60"/>
      <c r="L110" s="61"/>
      <c r="M110" s="58"/>
    </row>
    <row r="111" spans="1:13" ht="40.5">
      <c r="A111" s="436">
        <v>102</v>
      </c>
      <c r="B111" s="464" t="s">
        <v>3010</v>
      </c>
      <c r="C111" s="58" t="s">
        <v>3014</v>
      </c>
      <c r="D111" s="464" t="s">
        <v>3019</v>
      </c>
      <c r="E111" s="464" t="s">
        <v>2490</v>
      </c>
      <c r="F111" s="464" t="s">
        <v>2489</v>
      </c>
      <c r="G111" s="464" t="s">
        <v>2488</v>
      </c>
      <c r="H111" s="437"/>
      <c r="I111" s="437"/>
      <c r="J111" s="472" t="s">
        <v>3042</v>
      </c>
      <c r="K111" s="471" t="s">
        <v>3046</v>
      </c>
      <c r="L111" s="61"/>
      <c r="M111" s="58"/>
    </row>
    <row r="112" spans="1:13" ht="67.5">
      <c r="A112" s="435">
        <v>103</v>
      </c>
      <c r="B112" s="464" t="s">
        <v>3011</v>
      </c>
      <c r="C112" s="58" t="s">
        <v>3014</v>
      </c>
      <c r="D112" s="464" t="s">
        <v>3020</v>
      </c>
      <c r="E112" s="464" t="s">
        <v>3025</v>
      </c>
      <c r="F112" s="464" t="s">
        <v>3030</v>
      </c>
      <c r="G112" s="464" t="s">
        <v>3036</v>
      </c>
      <c r="H112" s="438"/>
      <c r="I112" s="438"/>
      <c r="J112" s="472" t="s">
        <v>3043</v>
      </c>
      <c r="K112" s="471" t="s">
        <v>3046</v>
      </c>
      <c r="L112" s="61"/>
      <c r="M112" s="58"/>
    </row>
    <row r="113" spans="1:13" ht="40.5">
      <c r="A113" s="436">
        <v>104</v>
      </c>
      <c r="B113" s="464" t="s">
        <v>3012</v>
      </c>
      <c r="C113" s="58" t="s">
        <v>3014</v>
      </c>
      <c r="D113" s="464" t="s">
        <v>3021</v>
      </c>
      <c r="E113" s="464" t="s">
        <v>3026</v>
      </c>
      <c r="F113" s="464" t="s">
        <v>3031</v>
      </c>
      <c r="G113" s="464" t="s">
        <v>3037</v>
      </c>
      <c r="H113" s="438"/>
      <c r="I113" s="438"/>
      <c r="J113" s="472" t="s">
        <v>3044</v>
      </c>
      <c r="K113" s="471" t="s">
        <v>3046</v>
      </c>
      <c r="L113" s="61"/>
      <c r="M113" s="58"/>
    </row>
    <row r="114" spans="1:13" ht="27">
      <c r="A114" s="435">
        <v>105</v>
      </c>
      <c r="B114" s="464" t="s">
        <v>3013</v>
      </c>
      <c r="C114" s="58" t="s">
        <v>3014</v>
      </c>
      <c r="D114" s="464" t="s">
        <v>3022</v>
      </c>
      <c r="E114" s="464" t="s">
        <v>3027</v>
      </c>
      <c r="F114" s="464" t="s">
        <v>2351</v>
      </c>
      <c r="G114" s="464" t="s">
        <v>3038</v>
      </c>
      <c r="H114" s="59"/>
      <c r="I114" s="59"/>
      <c r="J114" s="472" t="s">
        <v>3045</v>
      </c>
      <c r="K114" s="60"/>
      <c r="L114" s="61"/>
      <c r="M114" s="58"/>
    </row>
    <row r="115" spans="1:13">
      <c r="A115" s="436">
        <v>106</v>
      </c>
      <c r="B115" s="431" t="s">
        <v>3050</v>
      </c>
      <c r="C115" s="58" t="s">
        <v>3014</v>
      </c>
      <c r="D115" s="464" t="s">
        <v>2745</v>
      </c>
      <c r="E115" s="464" t="s">
        <v>3047</v>
      </c>
      <c r="F115" s="464" t="s">
        <v>2821</v>
      </c>
      <c r="G115" s="474" t="s">
        <v>2858</v>
      </c>
      <c r="H115" s="59"/>
      <c r="I115" s="59"/>
      <c r="J115" s="473" t="s">
        <v>3051</v>
      </c>
      <c r="K115" s="60"/>
      <c r="L115" s="61"/>
      <c r="M115" s="58"/>
    </row>
    <row r="116" spans="1:13">
      <c r="A116" s="435">
        <v>107</v>
      </c>
      <c r="B116" s="431" t="s">
        <v>3050</v>
      </c>
      <c r="C116" s="58" t="s">
        <v>3014</v>
      </c>
      <c r="D116" s="464" t="s">
        <v>3048</v>
      </c>
      <c r="E116" s="464" t="s">
        <v>3047</v>
      </c>
      <c r="F116" s="464" t="s">
        <v>2821</v>
      </c>
      <c r="G116" s="474" t="s">
        <v>2858</v>
      </c>
      <c r="H116" s="59"/>
      <c r="I116" s="59"/>
      <c r="J116" s="473" t="s">
        <v>3052</v>
      </c>
      <c r="K116" s="60"/>
      <c r="L116" s="61"/>
      <c r="M116" s="58"/>
    </row>
    <row r="117" spans="1:13">
      <c r="A117" s="436">
        <v>108</v>
      </c>
      <c r="B117" s="431" t="s">
        <v>3050</v>
      </c>
      <c r="C117" s="58" t="s">
        <v>3014</v>
      </c>
      <c r="D117" s="464" t="s">
        <v>3049</v>
      </c>
      <c r="E117" s="464" t="s">
        <v>3047</v>
      </c>
      <c r="F117" s="464" t="s">
        <v>2821</v>
      </c>
      <c r="G117" s="474" t="s">
        <v>2858</v>
      </c>
      <c r="H117" s="59"/>
      <c r="I117" s="59"/>
      <c r="J117" s="473" t="s">
        <v>3053</v>
      </c>
      <c r="K117" s="60"/>
      <c r="L117" s="61"/>
      <c r="M117" s="58"/>
    </row>
    <row r="118" spans="1:13">
      <c r="A118" s="435">
        <v>109</v>
      </c>
      <c r="B118" s="503" t="s">
        <v>2688</v>
      </c>
      <c r="C118" s="58" t="s">
        <v>232</v>
      </c>
      <c r="D118" s="464" t="s">
        <v>3059</v>
      </c>
      <c r="E118" s="464" t="s">
        <v>3061</v>
      </c>
      <c r="F118" s="464" t="s">
        <v>2318</v>
      </c>
      <c r="G118" s="474" t="s">
        <v>3060</v>
      </c>
      <c r="H118" s="464" t="s">
        <v>3062</v>
      </c>
      <c r="I118" s="464" t="s">
        <v>3004</v>
      </c>
      <c r="J118" s="60"/>
      <c r="K118" s="60"/>
      <c r="L118" s="61"/>
      <c r="M118" s="58"/>
    </row>
    <row r="119" spans="1:13">
      <c r="A119" s="436">
        <v>110</v>
      </c>
      <c r="B119" s="467"/>
      <c r="C119" s="58"/>
      <c r="D119" s="469"/>
      <c r="E119" s="58"/>
      <c r="F119" s="58"/>
      <c r="G119" s="59"/>
      <c r="H119" s="59"/>
      <c r="I119" s="59"/>
      <c r="J119" s="60"/>
      <c r="K119" s="60"/>
      <c r="L119" s="61"/>
      <c r="M119" s="58"/>
    </row>
    <row r="123" spans="1:13" s="76" customFormat="1">
      <c r="A123" s="77" t="s">
        <v>431</v>
      </c>
      <c r="G123" s="78"/>
      <c r="H123" s="78"/>
      <c r="I123" s="78"/>
    </row>
    <row r="124" spans="1:13" s="76" customFormat="1">
      <c r="A124" s="77" t="s">
        <v>440</v>
      </c>
      <c r="G124" s="78"/>
      <c r="H124" s="78"/>
      <c r="I124" s="78"/>
    </row>
    <row r="125" spans="1:13" s="76" customFormat="1">
      <c r="A125" s="77" t="s">
        <v>439</v>
      </c>
      <c r="G125" s="78"/>
      <c r="H125" s="78"/>
      <c r="I125" s="78"/>
    </row>
    <row r="126" spans="1:13" s="76" customFormat="1">
      <c r="B126" s="77"/>
      <c r="G126" s="78"/>
      <c r="H126" s="78"/>
      <c r="I126" s="78"/>
    </row>
    <row r="127" spans="1:13" s="76" customFormat="1">
      <c r="B127" s="77"/>
      <c r="G127" s="78"/>
      <c r="H127" s="78"/>
      <c r="I127" s="78"/>
    </row>
    <row r="128" spans="1:13" s="76" customFormat="1">
      <c r="B128" s="77"/>
      <c r="G128" s="78"/>
      <c r="H128" s="78"/>
      <c r="I128" s="78"/>
    </row>
    <row r="129" spans="1:11" s="76" customFormat="1">
      <c r="B129" s="77"/>
      <c r="G129" s="78"/>
      <c r="H129" s="78"/>
      <c r="I129" s="78"/>
    </row>
    <row r="130" spans="1:11" s="76" customFormat="1">
      <c r="B130" s="77"/>
      <c r="G130" s="78"/>
      <c r="H130" s="78"/>
      <c r="I130" s="78"/>
    </row>
    <row r="131" spans="1:11">
      <c r="B131" s="47"/>
      <c r="G131" s="48"/>
      <c r="H131" s="48"/>
    </row>
    <row r="132" spans="1:11" s="2" customFormat="1">
      <c r="B132" s="73" t="s">
        <v>107</v>
      </c>
    </row>
    <row r="133" spans="1:11" s="2" customFormat="1">
      <c r="C133" s="72"/>
      <c r="G133" s="72"/>
      <c r="H133" s="75"/>
      <c r="I133"/>
    </row>
    <row r="134" spans="1:11" s="2" customFormat="1">
      <c r="A134"/>
      <c r="C134" s="71" t="s">
        <v>267</v>
      </c>
      <c r="G134" s="12" t="s">
        <v>272</v>
      </c>
      <c r="H134" s="74"/>
      <c r="I134"/>
      <c r="K134" s="12"/>
    </row>
    <row r="135" spans="1:11" s="2" customFormat="1">
      <c r="A135"/>
      <c r="G135" s="2" t="s">
        <v>268</v>
      </c>
      <c r="H135"/>
      <c r="I135"/>
    </row>
    <row r="136" spans="1:11" customFormat="1" ht="15.75">
      <c r="B136" s="2"/>
      <c r="C136" s="66" t="s">
        <v>139</v>
      </c>
      <c r="E136" s="48"/>
      <c r="F136" s="48"/>
      <c r="K136" s="48"/>
    </row>
    <row r="137" spans="1:11" customFormat="1">
      <c r="E137" s="48"/>
      <c r="F137" s="48"/>
    </row>
    <row r="138" spans="1:11" customFormat="1">
      <c r="E138" s="48"/>
      <c r="F138" s="48"/>
    </row>
    <row r="139" spans="1:11" customFormat="1">
      <c r="E139" s="48"/>
      <c r="F139" s="48"/>
    </row>
    <row r="140" spans="1:11" customFormat="1">
      <c r="E140" s="48"/>
      <c r="F140" s="48"/>
    </row>
    <row r="141" spans="1:11" customFormat="1" ht="12.75"/>
  </sheetData>
  <mergeCells count="2">
    <mergeCell ref="J7:L7"/>
    <mergeCell ref="M2:N2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18:C119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5:H119 I105:I117 I119">
      <formula1>11</formula1>
    </dataValidation>
    <dataValidation allowBlank="1" showInputMessage="1" showErrorMessage="1" error="თვე/დღე/წელი" prompt="თვე/დღე/წელი" sqref="B105:B11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7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70" workbookViewId="0">
      <selection activeCell="E14" sqref="E14"/>
    </sheetView>
  </sheetViews>
  <sheetFormatPr defaultRowHeight="12.75"/>
  <cols>
    <col min="1" max="1" width="19.5703125" style="207" customWidth="1"/>
    <col min="2" max="2" width="13.140625" style="207" customWidth="1"/>
    <col min="3" max="3" width="15.140625" style="207" customWidth="1"/>
    <col min="4" max="4" width="18" style="207" customWidth="1"/>
    <col min="5" max="5" width="20.5703125" style="207" customWidth="1"/>
    <col min="6" max="6" width="21.28515625" style="207" customWidth="1"/>
    <col min="7" max="7" width="15.140625" style="207" customWidth="1"/>
    <col min="8" max="8" width="15.5703125" style="207" customWidth="1"/>
    <col min="9" max="9" width="13.42578125" style="207" customWidth="1"/>
    <col min="10" max="10" width="0" style="207" hidden="1" customWidth="1"/>
    <col min="11" max="16384" width="9.140625" style="207"/>
  </cols>
  <sheetData>
    <row r="1" spans="1:10" ht="15">
      <c r="A1" s="79" t="s">
        <v>2556</v>
      </c>
      <c r="B1" s="79"/>
      <c r="C1" s="82"/>
      <c r="D1" s="82"/>
      <c r="E1" s="82"/>
      <c r="F1" s="82"/>
      <c r="G1" s="582" t="s">
        <v>110</v>
      </c>
      <c r="H1" s="582"/>
    </row>
    <row r="2" spans="1:10" ht="15">
      <c r="A2" s="81" t="s">
        <v>140</v>
      </c>
      <c r="B2" s="79"/>
      <c r="C2" s="82"/>
      <c r="D2" s="82"/>
      <c r="E2" s="82"/>
      <c r="F2" s="82"/>
      <c r="G2" s="580" t="s">
        <v>2558</v>
      </c>
      <c r="H2" s="581"/>
    </row>
    <row r="3" spans="1:10" ht="15">
      <c r="A3" s="81"/>
      <c r="B3" s="81"/>
      <c r="C3" s="81"/>
      <c r="D3" s="81"/>
      <c r="E3" s="81"/>
      <c r="F3" s="81"/>
      <c r="G3" s="241"/>
      <c r="H3" s="241"/>
    </row>
    <row r="4" spans="1:10" ht="15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1"/>
      <c r="H4" s="81"/>
    </row>
    <row r="5" spans="1:10" ht="15">
      <c r="A5" s="244" t="s">
        <v>503</v>
      </c>
      <c r="B5" s="244"/>
      <c r="C5" s="244"/>
      <c r="D5" s="85"/>
      <c r="E5" s="85"/>
      <c r="F5" s="85"/>
      <c r="G5" s="86"/>
      <c r="H5" s="86"/>
    </row>
    <row r="6" spans="1:10" ht="15">
      <c r="A6" s="82"/>
      <c r="B6" s="82"/>
      <c r="C6" s="82"/>
      <c r="D6" s="82"/>
      <c r="E6" s="82"/>
      <c r="F6" s="82"/>
      <c r="G6" s="81"/>
      <c r="H6" s="81"/>
    </row>
    <row r="7" spans="1:10" ht="15">
      <c r="A7" s="240"/>
      <c r="B7" s="240"/>
      <c r="C7" s="240"/>
      <c r="D7" s="243"/>
      <c r="E7" s="240"/>
      <c r="F7" s="240"/>
      <c r="G7" s="83"/>
      <c r="H7" s="83"/>
    </row>
    <row r="8" spans="1:10" ht="30">
      <c r="A8" s="95" t="s">
        <v>64</v>
      </c>
      <c r="B8" s="95" t="s">
        <v>342</v>
      </c>
      <c r="C8" s="95" t="s">
        <v>343</v>
      </c>
      <c r="D8" s="95" t="s">
        <v>228</v>
      </c>
      <c r="E8" s="95" t="s">
        <v>351</v>
      </c>
      <c r="F8" s="95" t="s">
        <v>344</v>
      </c>
      <c r="G8" s="84" t="s">
        <v>10</v>
      </c>
      <c r="H8" s="84" t="s">
        <v>9</v>
      </c>
      <c r="J8" s="252" t="s">
        <v>350</v>
      </c>
    </row>
    <row r="9" spans="1:10" ht="15">
      <c r="A9" s="103"/>
      <c r="B9" s="103"/>
      <c r="C9" s="103"/>
      <c r="D9" s="103"/>
      <c r="E9" s="103"/>
      <c r="F9" s="103"/>
      <c r="G9" s="4"/>
      <c r="H9" s="4"/>
      <c r="J9" s="252" t="s">
        <v>0</v>
      </c>
    </row>
    <row r="10" spans="1:10" ht="15">
      <c r="A10" s="103"/>
      <c r="B10" s="103"/>
      <c r="C10" s="103"/>
      <c r="D10" s="103"/>
      <c r="E10" s="103"/>
      <c r="F10" s="103"/>
      <c r="G10" s="4"/>
      <c r="H10" s="4"/>
    </row>
    <row r="11" spans="1:10" ht="15">
      <c r="A11" s="92"/>
      <c r="B11" s="92"/>
      <c r="C11" s="92"/>
      <c r="D11" s="92"/>
      <c r="E11" s="92"/>
      <c r="F11" s="92"/>
      <c r="G11" s="4"/>
      <c r="H11" s="4"/>
    </row>
    <row r="12" spans="1:10" ht="15">
      <c r="A12" s="92"/>
      <c r="B12" s="92"/>
      <c r="C12" s="92"/>
      <c r="D12" s="92"/>
      <c r="E12" s="92"/>
      <c r="F12" s="92"/>
      <c r="G12" s="4"/>
      <c r="H12" s="4"/>
    </row>
    <row r="13" spans="1:10" ht="15">
      <c r="A13" s="92"/>
      <c r="B13" s="92"/>
      <c r="C13" s="92"/>
      <c r="D13" s="92"/>
      <c r="E13" s="92"/>
      <c r="F13" s="92"/>
      <c r="G13" s="4"/>
      <c r="H13" s="4"/>
    </row>
    <row r="14" spans="1:10" ht="15">
      <c r="A14" s="92"/>
      <c r="B14" s="92"/>
      <c r="C14" s="92"/>
      <c r="D14" s="92"/>
      <c r="E14" s="92"/>
      <c r="F14" s="92"/>
      <c r="G14" s="4"/>
      <c r="H14" s="4"/>
    </row>
    <row r="15" spans="1:10" ht="15">
      <c r="A15" s="92"/>
      <c r="B15" s="92"/>
      <c r="C15" s="92"/>
      <c r="D15" s="92"/>
      <c r="E15" s="92"/>
      <c r="F15" s="92"/>
      <c r="G15" s="4"/>
      <c r="H15" s="4"/>
    </row>
    <row r="16" spans="1:10" ht="15">
      <c r="A16" s="92"/>
      <c r="B16" s="92"/>
      <c r="C16" s="92"/>
      <c r="D16" s="92"/>
      <c r="E16" s="92"/>
      <c r="F16" s="92"/>
      <c r="G16" s="4"/>
      <c r="H16" s="4"/>
    </row>
    <row r="17" spans="1:8" ht="15">
      <c r="A17" s="92"/>
      <c r="B17" s="92"/>
      <c r="C17" s="92"/>
      <c r="D17" s="92"/>
      <c r="E17" s="92"/>
      <c r="F17" s="92"/>
      <c r="G17" s="4"/>
      <c r="H17" s="4"/>
    </row>
    <row r="18" spans="1:8" ht="15">
      <c r="A18" s="92"/>
      <c r="B18" s="92"/>
      <c r="C18" s="92"/>
      <c r="D18" s="92"/>
      <c r="E18" s="92"/>
      <c r="F18" s="92"/>
      <c r="G18" s="4"/>
      <c r="H18" s="4"/>
    </row>
    <row r="19" spans="1:8" ht="15">
      <c r="A19" s="92"/>
      <c r="B19" s="92"/>
      <c r="C19" s="92"/>
      <c r="D19" s="92"/>
      <c r="E19" s="92"/>
      <c r="F19" s="92"/>
      <c r="G19" s="4"/>
      <c r="H19" s="4"/>
    </row>
    <row r="20" spans="1:8" ht="15">
      <c r="A20" s="92"/>
      <c r="B20" s="92"/>
      <c r="C20" s="92"/>
      <c r="D20" s="92"/>
      <c r="E20" s="92"/>
      <c r="F20" s="92"/>
      <c r="G20" s="4"/>
      <c r="H20" s="4"/>
    </row>
    <row r="21" spans="1:8" ht="15">
      <c r="A21" s="92"/>
      <c r="B21" s="92"/>
      <c r="C21" s="92"/>
      <c r="D21" s="92"/>
      <c r="E21" s="92"/>
      <c r="F21" s="92"/>
      <c r="G21" s="4"/>
      <c r="H21" s="4"/>
    </row>
    <row r="22" spans="1:8" ht="15">
      <c r="A22" s="92"/>
      <c r="B22" s="92"/>
      <c r="C22" s="92"/>
      <c r="D22" s="92"/>
      <c r="E22" s="92"/>
      <c r="F22" s="92"/>
      <c r="G22" s="4"/>
      <c r="H22" s="4"/>
    </row>
    <row r="23" spans="1:8" ht="15">
      <c r="A23" s="92"/>
      <c r="B23" s="92"/>
      <c r="C23" s="92"/>
      <c r="D23" s="92"/>
      <c r="E23" s="92"/>
      <c r="F23" s="92"/>
      <c r="G23" s="4"/>
      <c r="H23" s="4"/>
    </row>
    <row r="24" spans="1:8" ht="15">
      <c r="A24" s="92"/>
      <c r="B24" s="92"/>
      <c r="C24" s="92"/>
      <c r="D24" s="92"/>
      <c r="E24" s="92"/>
      <c r="F24" s="92"/>
      <c r="G24" s="4"/>
      <c r="H24" s="4"/>
    </row>
    <row r="25" spans="1:8" ht="15">
      <c r="A25" s="92"/>
      <c r="B25" s="92"/>
      <c r="C25" s="92"/>
      <c r="D25" s="92"/>
      <c r="E25" s="92"/>
      <c r="F25" s="92"/>
      <c r="G25" s="4"/>
      <c r="H25" s="4"/>
    </row>
    <row r="26" spans="1:8" ht="15">
      <c r="A26" s="92"/>
      <c r="B26" s="92"/>
      <c r="C26" s="92"/>
      <c r="D26" s="92"/>
      <c r="E26" s="92"/>
      <c r="F26" s="92"/>
      <c r="G26" s="4"/>
      <c r="H26" s="4"/>
    </row>
    <row r="27" spans="1:8" ht="15">
      <c r="A27" s="92"/>
      <c r="B27" s="92"/>
      <c r="C27" s="92"/>
      <c r="D27" s="92"/>
      <c r="E27" s="92"/>
      <c r="F27" s="92"/>
      <c r="G27" s="4"/>
      <c r="H27" s="4"/>
    </row>
    <row r="28" spans="1:8" ht="15">
      <c r="A28" s="92"/>
      <c r="B28" s="92"/>
      <c r="C28" s="92"/>
      <c r="D28" s="92"/>
      <c r="E28" s="92"/>
      <c r="F28" s="92"/>
      <c r="G28" s="4"/>
      <c r="H28" s="4"/>
    </row>
    <row r="29" spans="1:8" ht="15">
      <c r="A29" s="92"/>
      <c r="B29" s="92"/>
      <c r="C29" s="92"/>
      <c r="D29" s="92"/>
      <c r="E29" s="92"/>
      <c r="F29" s="92"/>
      <c r="G29" s="4"/>
      <c r="H29" s="4"/>
    </row>
    <row r="30" spans="1:8" ht="15">
      <c r="A30" s="92"/>
      <c r="B30" s="92"/>
      <c r="C30" s="92"/>
      <c r="D30" s="92"/>
      <c r="E30" s="92"/>
      <c r="F30" s="92"/>
      <c r="G30" s="4"/>
      <c r="H30" s="4"/>
    </row>
    <row r="31" spans="1:8" ht="15">
      <c r="A31" s="92"/>
      <c r="B31" s="92"/>
      <c r="C31" s="92"/>
      <c r="D31" s="92"/>
      <c r="E31" s="92"/>
      <c r="F31" s="92"/>
      <c r="G31" s="4"/>
      <c r="H31" s="4"/>
    </row>
    <row r="32" spans="1:8" ht="15">
      <c r="A32" s="92"/>
      <c r="B32" s="92"/>
      <c r="C32" s="92"/>
      <c r="D32" s="92"/>
      <c r="E32" s="92"/>
      <c r="F32" s="92"/>
      <c r="G32" s="4"/>
      <c r="H32" s="4"/>
    </row>
    <row r="33" spans="1:9" ht="15">
      <c r="A33" s="92"/>
      <c r="B33" s="92"/>
      <c r="C33" s="92"/>
      <c r="D33" s="92"/>
      <c r="E33" s="92"/>
      <c r="F33" s="92"/>
      <c r="G33" s="4"/>
      <c r="H33" s="4"/>
    </row>
    <row r="34" spans="1:9" ht="15">
      <c r="A34" s="92"/>
      <c r="B34" s="104"/>
      <c r="C34" s="104"/>
      <c r="D34" s="104"/>
      <c r="E34" s="104"/>
      <c r="F34" s="104" t="s">
        <v>349</v>
      </c>
      <c r="G34" s="91">
        <f>SUM(G9:G33)</f>
        <v>0</v>
      </c>
      <c r="H34" s="91">
        <f>SUM(H9:H33)</f>
        <v>0</v>
      </c>
    </row>
    <row r="35" spans="1:9" ht="15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>
      <c r="A36" s="251" t="s">
        <v>402</v>
      </c>
      <c r="B36" s="251"/>
      <c r="C36" s="250"/>
      <c r="D36" s="250"/>
      <c r="E36" s="250"/>
      <c r="F36" s="250"/>
      <c r="G36" s="250"/>
      <c r="H36" s="206"/>
      <c r="I36" s="206"/>
    </row>
    <row r="37" spans="1:9" ht="15">
      <c r="A37" s="251" t="s">
        <v>348</v>
      </c>
      <c r="B37" s="251"/>
      <c r="C37" s="250"/>
      <c r="D37" s="250"/>
      <c r="E37" s="250"/>
      <c r="F37" s="250"/>
      <c r="G37" s="250"/>
      <c r="H37" s="206"/>
      <c r="I37" s="206"/>
    </row>
    <row r="38" spans="1:9" ht="15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>
      <c r="A41" s="212" t="s">
        <v>107</v>
      </c>
      <c r="B41" s="212"/>
      <c r="C41" s="206"/>
      <c r="D41" s="206"/>
      <c r="E41" s="206"/>
      <c r="F41" s="206"/>
      <c r="G41" s="206"/>
      <c r="H41" s="206"/>
      <c r="I41" s="206"/>
    </row>
    <row r="42" spans="1:9" ht="15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>
      <c r="A43" s="206"/>
      <c r="B43" s="206"/>
      <c r="C43" s="206"/>
      <c r="D43" s="206"/>
      <c r="E43" s="206"/>
      <c r="F43" s="206"/>
      <c r="G43" s="206"/>
      <c r="H43" s="206"/>
      <c r="I43" s="213"/>
    </row>
    <row r="44" spans="1:9" ht="15">
      <c r="A44" s="212"/>
      <c r="B44" s="212"/>
      <c r="C44" s="212" t="s">
        <v>432</v>
      </c>
      <c r="D44" s="212"/>
      <c r="E44" s="250"/>
      <c r="F44" s="212"/>
      <c r="G44" s="212"/>
      <c r="H44" s="206"/>
      <c r="I44" s="213"/>
    </row>
    <row r="45" spans="1:9" ht="15">
      <c r="A45" s="206"/>
      <c r="B45" s="206"/>
      <c r="C45" s="206" t="s">
        <v>269</v>
      </c>
      <c r="D45" s="206"/>
      <c r="E45" s="206"/>
      <c r="F45" s="206"/>
      <c r="G45" s="206"/>
      <c r="H45" s="206"/>
      <c r="I45" s="213"/>
    </row>
    <row r="46" spans="1:9">
      <c r="A46" s="214"/>
      <c r="B46" s="214"/>
      <c r="C46" s="214" t="s">
        <v>139</v>
      </c>
      <c r="D46" s="214"/>
      <c r="E46" s="214"/>
      <c r="F46" s="214"/>
      <c r="G46" s="214"/>
    </row>
  </sheetData>
  <mergeCells count="2">
    <mergeCell ref="G1:H1"/>
    <mergeCell ref="G2:H2"/>
  </mergeCells>
  <printOptions gridLines="1"/>
  <pageMargins left="0.25" right="0.25" top="0.75" bottom="0.75" header="0.3" footer="0.3"/>
  <pageSetup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70" workbookViewId="0">
      <selection activeCell="C19" sqref="C19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9" t="s">
        <v>455</v>
      </c>
      <c r="B1" s="81"/>
      <c r="C1" s="584" t="s">
        <v>110</v>
      </c>
      <c r="D1" s="584"/>
    </row>
    <row r="2" spans="1:5">
      <c r="A2" s="79" t="s">
        <v>456</v>
      </c>
      <c r="B2" s="81"/>
      <c r="C2" s="580" t="s">
        <v>2558</v>
      </c>
      <c r="D2" s="581"/>
    </row>
    <row r="3" spans="1:5">
      <c r="A3" s="81" t="s">
        <v>140</v>
      </c>
      <c r="B3" s="81"/>
      <c r="C3" s="80"/>
      <c r="D3" s="80"/>
    </row>
    <row r="4" spans="1:5">
      <c r="A4" s="79"/>
      <c r="B4" s="81"/>
      <c r="C4" s="80"/>
      <c r="D4" s="80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2"/>
      <c r="D5" s="81"/>
      <c r="E5" s="5"/>
    </row>
    <row r="6" spans="1:5">
      <c r="A6" s="244" t="s">
        <v>503</v>
      </c>
      <c r="B6" s="244"/>
      <c r="C6" s="244"/>
      <c r="D6" s="45"/>
      <c r="E6" s="5"/>
    </row>
    <row r="7" spans="1:5">
      <c r="A7" s="82"/>
      <c r="B7" s="82"/>
      <c r="C7" s="82"/>
      <c r="D7" s="81"/>
      <c r="E7" s="5"/>
    </row>
    <row r="8" spans="1:5" s="6" customFormat="1">
      <c r="A8" s="105"/>
      <c r="B8" s="105"/>
      <c r="C8" s="83"/>
      <c r="D8" s="83"/>
    </row>
    <row r="9" spans="1:5" s="6" customFormat="1" ht="30">
      <c r="A9" s="126" t="s">
        <v>64</v>
      </c>
      <c r="B9" s="84" t="s">
        <v>11</v>
      </c>
      <c r="C9" s="84" t="s">
        <v>10</v>
      </c>
      <c r="D9" s="84" t="s">
        <v>9</v>
      </c>
    </row>
    <row r="10" spans="1:5" s="7" customFormat="1">
      <c r="A10" s="13">
        <v>1</v>
      </c>
      <c r="B10" s="13" t="s">
        <v>108</v>
      </c>
      <c r="C10" s="87">
        <f>SUM(C11,C14,C17,C20:C22)</f>
        <v>28238.010000000002</v>
      </c>
      <c r="D10" s="87">
        <f>SUM(D11,D14,D17,D20:D22)</f>
        <v>27658.010000000002</v>
      </c>
    </row>
    <row r="11" spans="1:5" s="9" customFormat="1" ht="18">
      <c r="A11" s="14">
        <v>1.1000000000000001</v>
      </c>
      <c r="B11" s="14" t="s">
        <v>68</v>
      </c>
      <c r="C11" s="87">
        <f>SUM(C12:C13)</f>
        <v>0</v>
      </c>
      <c r="D11" s="87">
        <f>SUM(D12:D13)</f>
        <v>0</v>
      </c>
    </row>
    <row r="12" spans="1:5" s="9" customFormat="1" ht="18">
      <c r="A12" s="16" t="s">
        <v>30</v>
      </c>
      <c r="B12" s="16" t="s">
        <v>70</v>
      </c>
      <c r="C12" s="27"/>
      <c r="D12" s="28"/>
    </row>
    <row r="13" spans="1:5" s="9" customFormat="1" ht="18">
      <c r="A13" s="16" t="s">
        <v>31</v>
      </c>
      <c r="B13" s="16" t="s">
        <v>71</v>
      </c>
      <c r="C13" s="27"/>
      <c r="D13" s="28"/>
    </row>
    <row r="14" spans="1:5" s="3" customFormat="1">
      <c r="A14" s="14">
        <v>1.2</v>
      </c>
      <c r="B14" s="14" t="s">
        <v>69</v>
      </c>
      <c r="C14" s="87">
        <f>SUM(C15:C16)</f>
        <v>11437.5</v>
      </c>
      <c r="D14" s="87">
        <f>SUM(D15:D16)</f>
        <v>11437.5</v>
      </c>
    </row>
    <row r="15" spans="1:5" ht="15.75">
      <c r="A15" s="16" t="s">
        <v>32</v>
      </c>
      <c r="B15" s="16" t="s">
        <v>72</v>
      </c>
      <c r="C15" s="460">
        <v>11437.5</v>
      </c>
      <c r="D15" s="460">
        <v>11437.5</v>
      </c>
    </row>
    <row r="16" spans="1:5">
      <c r="A16" s="16" t="s">
        <v>33</v>
      </c>
      <c r="B16" s="16" t="s">
        <v>73</v>
      </c>
      <c r="C16" s="27"/>
      <c r="D16" s="28"/>
    </row>
    <row r="17" spans="1:9">
      <c r="A17" s="14">
        <v>1.3</v>
      </c>
      <c r="B17" s="14" t="s">
        <v>74</v>
      </c>
      <c r="C17" s="87">
        <f>SUM(C18:C19)</f>
        <v>12972</v>
      </c>
      <c r="D17" s="87">
        <f>SUM(D18:D19)</f>
        <v>12392</v>
      </c>
    </row>
    <row r="18" spans="1:9" ht="15.75">
      <c r="A18" s="16" t="s">
        <v>50</v>
      </c>
      <c r="B18" s="16" t="s">
        <v>75</v>
      </c>
      <c r="C18" s="460">
        <v>12392</v>
      </c>
      <c r="D18" s="460">
        <v>12392</v>
      </c>
    </row>
    <row r="19" spans="1:9">
      <c r="A19" s="16" t="s">
        <v>51</v>
      </c>
      <c r="B19" s="16" t="s">
        <v>76</v>
      </c>
      <c r="C19" s="29">
        <v>580</v>
      </c>
      <c r="D19" s="30">
        <v>0</v>
      </c>
    </row>
    <row r="20" spans="1:9">
      <c r="A20" s="14">
        <v>1.4</v>
      </c>
      <c r="B20" s="14" t="s">
        <v>77</v>
      </c>
      <c r="C20" s="27"/>
      <c r="D20" s="28"/>
    </row>
    <row r="21" spans="1:9" ht="15.75">
      <c r="A21" s="14">
        <v>1.5</v>
      </c>
      <c r="B21" s="14" t="s">
        <v>78</v>
      </c>
      <c r="C21" s="461">
        <v>3828.51</v>
      </c>
      <c r="D21" s="461">
        <v>3828.51</v>
      </c>
    </row>
    <row r="22" spans="1:9">
      <c r="A22" s="14">
        <v>1.6</v>
      </c>
      <c r="B22" s="14" t="s">
        <v>8</v>
      </c>
      <c r="C22" s="27"/>
      <c r="D22" s="28"/>
    </row>
    <row r="25" spans="1:9" s="22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70" workbookViewId="0">
      <selection activeCell="G12" sqref="G1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9" t="s">
        <v>457</v>
      </c>
      <c r="B1" s="82"/>
      <c r="C1" s="582" t="s">
        <v>110</v>
      </c>
      <c r="D1" s="582"/>
      <c r="E1" s="96"/>
    </row>
    <row r="2" spans="1:5" s="6" customFormat="1">
      <c r="A2" s="79" t="s">
        <v>454</v>
      </c>
      <c r="B2" s="82"/>
      <c r="C2" s="580" t="s">
        <v>2558</v>
      </c>
      <c r="D2" s="581"/>
      <c r="E2" s="96"/>
    </row>
    <row r="3" spans="1:5" s="6" customFormat="1">
      <c r="A3" s="81" t="s">
        <v>140</v>
      </c>
      <c r="B3" s="79"/>
      <c r="C3" s="187"/>
      <c r="D3" s="187"/>
      <c r="E3" s="96"/>
    </row>
    <row r="4" spans="1:5" s="6" customFormat="1">
      <c r="A4" s="81"/>
      <c r="B4" s="81"/>
      <c r="C4" s="187"/>
      <c r="D4" s="187"/>
      <c r="E4" s="96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1"/>
      <c r="D5" s="81"/>
      <c r="E5" s="97"/>
    </row>
    <row r="6" spans="1:5">
      <c r="A6" s="244" t="s">
        <v>503</v>
      </c>
      <c r="B6" s="244"/>
      <c r="C6" s="244"/>
      <c r="D6" s="86"/>
      <c r="E6" s="97"/>
    </row>
    <row r="7" spans="1:5">
      <c r="A7" s="82"/>
      <c r="B7" s="82"/>
      <c r="C7" s="81"/>
      <c r="D7" s="81"/>
      <c r="E7" s="97"/>
    </row>
    <row r="8" spans="1:5" s="6" customFormat="1">
      <c r="A8" s="186"/>
      <c r="B8" s="186"/>
      <c r="C8" s="83"/>
      <c r="D8" s="83"/>
      <c r="E8" s="96"/>
    </row>
    <row r="9" spans="1:5" s="6" customFormat="1" ht="30">
      <c r="A9" s="94" t="s">
        <v>64</v>
      </c>
      <c r="B9" s="94" t="s">
        <v>335</v>
      </c>
      <c r="C9" s="84" t="s">
        <v>10</v>
      </c>
      <c r="D9" s="84" t="s">
        <v>9</v>
      </c>
      <c r="E9" s="96"/>
    </row>
    <row r="10" spans="1:5" s="9" customFormat="1" ht="18">
      <c r="A10" s="103" t="s">
        <v>299</v>
      </c>
      <c r="B10" s="103"/>
      <c r="C10" s="4"/>
      <c r="D10" s="4"/>
      <c r="E10" s="98"/>
    </row>
    <row r="11" spans="1:5" s="10" customFormat="1">
      <c r="A11" s="103" t="s">
        <v>300</v>
      </c>
      <c r="B11" s="103"/>
      <c r="C11" s="4"/>
      <c r="D11" s="4"/>
      <c r="E11" s="99"/>
    </row>
    <row r="12" spans="1:5" s="10" customFormat="1">
      <c r="A12" s="103" t="s">
        <v>301</v>
      </c>
      <c r="B12" s="92"/>
      <c r="C12" s="4"/>
      <c r="D12" s="4"/>
      <c r="E12" s="99"/>
    </row>
    <row r="13" spans="1:5" s="10" customFormat="1">
      <c r="A13" s="92" t="s">
        <v>280</v>
      </c>
      <c r="B13" s="92"/>
      <c r="C13" s="4"/>
      <c r="D13" s="4"/>
      <c r="E13" s="99"/>
    </row>
    <row r="14" spans="1:5" s="10" customFormat="1">
      <c r="A14" s="92" t="s">
        <v>280</v>
      </c>
      <c r="B14" s="92"/>
      <c r="C14" s="4"/>
      <c r="D14" s="4"/>
      <c r="E14" s="99"/>
    </row>
    <row r="15" spans="1:5" s="10" customFormat="1">
      <c r="A15" s="92" t="s">
        <v>280</v>
      </c>
      <c r="B15" s="92"/>
      <c r="C15" s="4"/>
      <c r="D15" s="4"/>
      <c r="E15" s="99"/>
    </row>
    <row r="16" spans="1:5" s="10" customFormat="1">
      <c r="A16" s="92" t="s">
        <v>280</v>
      </c>
      <c r="B16" s="92"/>
      <c r="C16" s="4"/>
      <c r="D16" s="4"/>
      <c r="E16" s="99"/>
    </row>
    <row r="17" spans="1:9">
      <c r="A17" s="104"/>
      <c r="B17" s="104" t="s">
        <v>337</v>
      </c>
      <c r="C17" s="91">
        <f>SUM(C10:C16)</f>
        <v>0</v>
      </c>
      <c r="D17" s="91">
        <f>SUM(D10:D16)</f>
        <v>0</v>
      </c>
      <c r="E17" s="101"/>
    </row>
    <row r="18" spans="1:9">
      <c r="A18" s="38"/>
      <c r="B18" s="38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37"/>
    </row>
    <row r="22" spans="1:9">
      <c r="A22" s="237" t="s">
        <v>404</v>
      </c>
    </row>
    <row r="23" spans="1:9" s="22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444</v>
      </c>
      <c r="D27" s="12"/>
      <c r="E27"/>
      <c r="F27"/>
      <c r="G27"/>
      <c r="H27"/>
      <c r="I27"/>
    </row>
    <row r="28" spans="1:9">
      <c r="B28" s="2" t="s">
        <v>445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6"/>
  <sheetViews>
    <sheetView showGridLines="0" tabSelected="1" topLeftCell="A58" zoomScaleNormal="100" workbookViewId="0">
      <selection activeCell="A64" sqref="A64:D67"/>
    </sheetView>
  </sheetViews>
  <sheetFormatPr defaultRowHeight="15"/>
  <cols>
    <col min="1" max="1" width="11.140625" style="388" customWidth="1"/>
    <col min="2" max="2" width="55.7109375" style="377" customWidth="1"/>
    <col min="3" max="3" width="17.42578125" style="370" customWidth="1"/>
    <col min="4" max="4" width="16.28515625" style="370" customWidth="1"/>
    <col min="5" max="5" width="13" style="347" customWidth="1"/>
    <col min="6" max="6" width="13.42578125" style="347" customWidth="1"/>
    <col min="7" max="7" width="9.140625" style="347"/>
    <col min="8" max="8" width="9.85546875" style="347" bestFit="1" customWidth="1"/>
    <col min="9" max="16384" width="9.140625" style="347"/>
  </cols>
  <sheetData>
    <row r="1" spans="1:6">
      <c r="A1" s="344" t="s">
        <v>223</v>
      </c>
      <c r="B1" s="345"/>
      <c r="C1" s="585" t="s">
        <v>197</v>
      </c>
      <c r="D1" s="585"/>
      <c r="E1" s="346"/>
    </row>
    <row r="2" spans="1:6">
      <c r="A2" s="348" t="s">
        <v>140</v>
      </c>
      <c r="B2" s="345"/>
      <c r="C2" s="349"/>
      <c r="D2" s="580" t="s">
        <v>2558</v>
      </c>
      <c r="E2" s="581"/>
    </row>
    <row r="3" spans="1:6">
      <c r="A3" s="350"/>
      <c r="B3" s="345"/>
      <c r="C3" s="349"/>
      <c r="D3" s="349"/>
      <c r="E3" s="346"/>
    </row>
    <row r="4" spans="1:6">
      <c r="A4" s="348" t="str">
        <f>'[2]ფორმა N2'!A4</f>
        <v>ანგარიშვალდებული პირის დასახელება:</v>
      </c>
      <c r="B4" s="348"/>
      <c r="C4" s="351"/>
      <c r="D4" s="351"/>
      <c r="E4" s="352"/>
    </row>
    <row r="5" spans="1:6">
      <c r="A5" s="353" t="s">
        <v>503</v>
      </c>
      <c r="B5" s="353"/>
      <c r="C5" s="353"/>
      <c r="D5" s="354"/>
      <c r="E5" s="352"/>
    </row>
    <row r="6" spans="1:6">
      <c r="A6" s="355"/>
      <c r="B6" s="348"/>
      <c r="C6" s="351"/>
      <c r="D6" s="351"/>
      <c r="E6" s="352"/>
    </row>
    <row r="7" spans="1:6">
      <c r="A7" s="356"/>
      <c r="B7" s="357"/>
      <c r="C7" s="358"/>
      <c r="D7" s="358"/>
      <c r="E7" s="346"/>
    </row>
    <row r="8" spans="1:6" ht="45">
      <c r="A8" s="359" t="s">
        <v>114</v>
      </c>
      <c r="B8" s="359" t="s">
        <v>189</v>
      </c>
      <c r="C8" s="360" t="s">
        <v>305</v>
      </c>
      <c r="D8" s="360" t="s">
        <v>258</v>
      </c>
      <c r="E8" s="346"/>
    </row>
    <row r="9" spans="1:6">
      <c r="A9" s="361"/>
      <c r="B9" s="362"/>
      <c r="C9" s="363"/>
      <c r="D9" s="363"/>
      <c r="E9" s="346"/>
    </row>
    <row r="10" spans="1:6">
      <c r="A10" s="364" t="s">
        <v>190</v>
      </c>
      <c r="B10" s="365"/>
      <c r="C10" s="366">
        <f>SUM(C11,C34)</f>
        <v>819655.75</v>
      </c>
      <c r="D10" s="366">
        <f>SUM(D11,D34)</f>
        <v>1236014.3600000001</v>
      </c>
      <c r="E10" s="346"/>
    </row>
    <row r="11" spans="1:6">
      <c r="A11" s="367" t="s">
        <v>191</v>
      </c>
      <c r="B11" s="368"/>
      <c r="C11" s="369">
        <f>SUM(C12:C32)</f>
        <v>343820.35000000003</v>
      </c>
      <c r="D11" s="369">
        <f>SUM(D12:D32)</f>
        <v>134064.76</v>
      </c>
      <c r="E11" s="346"/>
      <c r="F11" s="370"/>
    </row>
    <row r="12" spans="1:6">
      <c r="A12" s="371">
        <v>1110</v>
      </c>
      <c r="B12" s="372" t="s">
        <v>142</v>
      </c>
      <c r="C12" s="373">
        <v>1520.29</v>
      </c>
      <c r="D12" s="373">
        <v>418.19</v>
      </c>
      <c r="E12" s="346"/>
    </row>
    <row r="13" spans="1:6">
      <c r="A13" s="371">
        <v>1120</v>
      </c>
      <c r="B13" s="372" t="s">
        <v>143</v>
      </c>
      <c r="C13" s="373"/>
      <c r="D13" s="373"/>
      <c r="E13" s="346"/>
    </row>
    <row r="14" spans="1:6">
      <c r="A14" s="371">
        <v>1211</v>
      </c>
      <c r="B14" s="372" t="s">
        <v>144</v>
      </c>
      <c r="C14" s="373">
        <v>24777.65</v>
      </c>
      <c r="D14" s="373">
        <v>3134.07</v>
      </c>
      <c r="E14" s="346"/>
    </row>
    <row r="15" spans="1:6">
      <c r="A15" s="371">
        <v>1212</v>
      </c>
      <c r="B15" s="372" t="s">
        <v>145</v>
      </c>
      <c r="C15" s="373">
        <v>929.11</v>
      </c>
      <c r="D15" s="373">
        <v>0</v>
      </c>
      <c r="E15" s="346"/>
    </row>
    <row r="16" spans="1:6">
      <c r="A16" s="371">
        <v>1213</v>
      </c>
      <c r="B16" s="372" t="s">
        <v>146</v>
      </c>
      <c r="C16" s="373"/>
      <c r="D16" s="373"/>
      <c r="E16" s="346"/>
    </row>
    <row r="17" spans="1:7">
      <c r="A17" s="371">
        <v>1214</v>
      </c>
      <c r="B17" s="372" t="s">
        <v>147</v>
      </c>
      <c r="C17" s="373"/>
      <c r="D17" s="373"/>
      <c r="E17" s="346"/>
    </row>
    <row r="18" spans="1:7">
      <c r="A18" s="371">
        <v>1215</v>
      </c>
      <c r="B18" s="372" t="s">
        <v>148</v>
      </c>
      <c r="C18" s="373">
        <v>9624.7000000000007</v>
      </c>
      <c r="D18" s="373"/>
      <c r="E18" s="346"/>
    </row>
    <row r="19" spans="1:7">
      <c r="A19" s="371">
        <v>1300</v>
      </c>
      <c r="B19" s="372" t="s">
        <v>149</v>
      </c>
      <c r="C19" s="373"/>
      <c r="D19" s="373"/>
      <c r="E19" s="346"/>
    </row>
    <row r="20" spans="1:7">
      <c r="A20" s="371">
        <v>1410</v>
      </c>
      <c r="B20" s="372" t="s">
        <v>150</v>
      </c>
      <c r="C20" s="373"/>
      <c r="D20" s="373"/>
      <c r="E20" s="346"/>
    </row>
    <row r="21" spans="1:7">
      <c r="A21" s="371">
        <v>1421</v>
      </c>
      <c r="B21" s="372" t="s">
        <v>151</v>
      </c>
      <c r="C21" s="373"/>
      <c r="D21" s="373"/>
      <c r="E21" s="346"/>
    </row>
    <row r="22" spans="1:7">
      <c r="A22" s="371">
        <v>1422</v>
      </c>
      <c r="B22" s="372" t="s">
        <v>152</v>
      </c>
      <c r="C22" s="373"/>
      <c r="D22" s="373"/>
      <c r="E22" s="346"/>
    </row>
    <row r="23" spans="1:7">
      <c r="A23" s="371">
        <v>1423</v>
      </c>
      <c r="B23" s="372" t="s">
        <v>153</v>
      </c>
      <c r="C23" s="373">
        <v>170000.23</v>
      </c>
      <c r="D23" s="373">
        <v>0</v>
      </c>
      <c r="E23" s="346"/>
      <c r="F23" s="370"/>
    </row>
    <row r="24" spans="1:7">
      <c r="A24" s="371">
        <v>1431</v>
      </c>
      <c r="B24" s="372" t="s">
        <v>154</v>
      </c>
      <c r="C24" s="373"/>
      <c r="D24" s="373"/>
      <c r="E24" s="346"/>
    </row>
    <row r="25" spans="1:7">
      <c r="A25" s="371">
        <v>1432</v>
      </c>
      <c r="B25" s="372" t="s">
        <v>155</v>
      </c>
      <c r="C25" s="373"/>
      <c r="D25" s="373"/>
      <c r="E25" s="346"/>
    </row>
    <row r="26" spans="1:7" ht="30">
      <c r="A26" s="371">
        <v>1433</v>
      </c>
      <c r="B26" s="372" t="s">
        <v>2276</v>
      </c>
      <c r="C26" s="374">
        <v>1491.6</v>
      </c>
      <c r="D26" s="374"/>
      <c r="E26" s="346"/>
    </row>
    <row r="27" spans="1:7">
      <c r="A27" s="371">
        <v>1441</v>
      </c>
      <c r="B27" s="372" t="s">
        <v>156</v>
      </c>
      <c r="C27" s="373">
        <v>68251.77</v>
      </c>
      <c r="D27" s="375">
        <v>2887.5</v>
      </c>
      <c r="E27" s="346"/>
      <c r="G27" s="370"/>
    </row>
    <row r="28" spans="1:7">
      <c r="A28" s="371">
        <v>1442</v>
      </c>
      <c r="B28" s="372" t="s">
        <v>157</v>
      </c>
      <c r="C28" s="373"/>
      <c r="D28" s="375"/>
      <c r="E28" s="346"/>
    </row>
    <row r="29" spans="1:7">
      <c r="A29" s="371">
        <v>1443</v>
      </c>
      <c r="B29" s="372" t="s">
        <v>158</v>
      </c>
      <c r="C29" s="373"/>
      <c r="D29" s="373"/>
      <c r="E29" s="346"/>
    </row>
    <row r="30" spans="1:7">
      <c r="A30" s="371">
        <v>1444</v>
      </c>
      <c r="B30" s="372" t="s">
        <v>159</v>
      </c>
      <c r="C30" s="373"/>
      <c r="D30" s="373"/>
      <c r="E30" s="346"/>
    </row>
    <row r="31" spans="1:7">
      <c r="A31" s="371">
        <v>1445</v>
      </c>
      <c r="B31" s="372" t="s">
        <v>160</v>
      </c>
      <c r="C31" s="373">
        <v>67225</v>
      </c>
      <c r="D31" s="373">
        <f>67225+50400</f>
        <v>117625</v>
      </c>
      <c r="E31" s="346"/>
    </row>
    <row r="32" spans="1:7">
      <c r="A32" s="371">
        <v>1446</v>
      </c>
      <c r="B32" s="372" t="s">
        <v>161</v>
      </c>
      <c r="C32" s="373"/>
      <c r="D32" s="373">
        <v>10000</v>
      </c>
      <c r="E32" s="346"/>
    </row>
    <row r="33" spans="1:8">
      <c r="A33" s="376"/>
      <c r="E33" s="346"/>
    </row>
    <row r="34" spans="1:8">
      <c r="A34" s="378" t="s">
        <v>192</v>
      </c>
      <c r="B34" s="372"/>
      <c r="C34" s="369">
        <f>SUM(C35:C42)</f>
        <v>475835.4</v>
      </c>
      <c r="D34" s="369">
        <f>SUM(D35:D42)</f>
        <v>1101949.6000000001</v>
      </c>
      <c r="E34" s="346"/>
    </row>
    <row r="35" spans="1:8">
      <c r="A35" s="371">
        <v>2110</v>
      </c>
      <c r="B35" s="372" t="s">
        <v>100</v>
      </c>
      <c r="C35" s="373"/>
      <c r="D35" s="373"/>
      <c r="E35" s="346"/>
    </row>
    <row r="36" spans="1:8">
      <c r="A36" s="371">
        <v>2120</v>
      </c>
      <c r="B36" s="372" t="s">
        <v>162</v>
      </c>
      <c r="C36" s="373">
        <v>258625.4</v>
      </c>
      <c r="D36" s="373">
        <v>241667.3</v>
      </c>
      <c r="E36" s="346"/>
      <c r="F36" s="370"/>
    </row>
    <row r="37" spans="1:8">
      <c r="A37" s="371">
        <v>2130</v>
      </c>
      <c r="B37" s="372" t="s">
        <v>101</v>
      </c>
      <c r="C37" s="375">
        <v>101910</v>
      </c>
      <c r="D37" s="375">
        <v>0</v>
      </c>
      <c r="E37" s="346"/>
      <c r="H37" s="370"/>
    </row>
    <row r="38" spans="1:8">
      <c r="A38" s="371">
        <v>2140</v>
      </c>
      <c r="B38" s="372" t="s">
        <v>2277</v>
      </c>
      <c r="C38" s="373"/>
      <c r="D38" s="373"/>
      <c r="E38" s="346"/>
    </row>
    <row r="39" spans="1:8">
      <c r="A39" s="371">
        <v>2150</v>
      </c>
      <c r="B39" s="372" t="s">
        <v>2278</v>
      </c>
      <c r="C39" s="373"/>
      <c r="D39" s="373"/>
      <c r="E39" s="346"/>
    </row>
    <row r="40" spans="1:8">
      <c r="A40" s="371">
        <v>2220</v>
      </c>
      <c r="B40" s="372" t="s">
        <v>2279</v>
      </c>
      <c r="C40" s="373">
        <v>115300</v>
      </c>
      <c r="D40" s="373">
        <v>0</v>
      </c>
      <c r="E40" s="346"/>
    </row>
    <row r="41" spans="1:8">
      <c r="A41" s="371">
        <v>2300</v>
      </c>
      <c r="B41" s="372" t="s">
        <v>163</v>
      </c>
      <c r="C41" s="373"/>
      <c r="D41" s="373"/>
      <c r="E41" s="346"/>
    </row>
    <row r="42" spans="1:8">
      <c r="A42" s="371">
        <v>2400</v>
      </c>
      <c r="B42" s="372" t="s">
        <v>164</v>
      </c>
      <c r="C42" s="373"/>
      <c r="D42" s="373">
        <v>860282.3</v>
      </c>
      <c r="E42" s="346"/>
    </row>
    <row r="43" spans="1:8">
      <c r="A43" s="379"/>
      <c r="E43" s="346"/>
    </row>
    <row r="44" spans="1:8">
      <c r="A44" s="380" t="s">
        <v>196</v>
      </c>
      <c r="B44" s="372"/>
      <c r="C44" s="369">
        <f>SUM(C45,C64)</f>
        <v>819655.76</v>
      </c>
      <c r="D44" s="369">
        <f>SUM(D45,D64)</f>
        <v>1236014.3600000001</v>
      </c>
      <c r="E44" s="514"/>
      <c r="F44" s="370"/>
    </row>
    <row r="45" spans="1:8">
      <c r="A45" s="378" t="s">
        <v>193</v>
      </c>
      <c r="B45" s="372"/>
      <c r="C45" s="369">
        <f>SUM(C46:C61)</f>
        <v>0</v>
      </c>
      <c r="D45" s="369">
        <f>SUM(D46:D61)</f>
        <v>414723.54</v>
      </c>
      <c r="E45" s="346"/>
    </row>
    <row r="46" spans="1:8">
      <c r="A46" s="371">
        <v>3100</v>
      </c>
      <c r="B46" s="372" t="s">
        <v>165</v>
      </c>
      <c r="C46" s="373"/>
      <c r="D46" s="373"/>
      <c r="E46" s="346"/>
    </row>
    <row r="47" spans="1:8">
      <c r="A47" s="371">
        <v>3210</v>
      </c>
      <c r="B47" s="372" t="s">
        <v>166</v>
      </c>
      <c r="C47" s="375">
        <v>0</v>
      </c>
      <c r="D47" s="375">
        <v>414723.54</v>
      </c>
      <c r="E47" s="514"/>
    </row>
    <row r="48" spans="1:8">
      <c r="A48" s="371">
        <v>3221</v>
      </c>
      <c r="B48" s="372" t="s">
        <v>167</v>
      </c>
      <c r="C48" s="373"/>
      <c r="D48" s="373"/>
      <c r="E48" s="346"/>
    </row>
    <row r="49" spans="1:5">
      <c r="A49" s="371">
        <v>3222</v>
      </c>
      <c r="B49" s="372" t="s">
        <v>168</v>
      </c>
      <c r="C49" s="373">
        <v>0</v>
      </c>
      <c r="D49" s="373">
        <v>0</v>
      </c>
      <c r="E49" s="346"/>
    </row>
    <row r="50" spans="1:5">
      <c r="A50" s="371">
        <v>3223</v>
      </c>
      <c r="B50" s="372" t="s">
        <v>169</v>
      </c>
      <c r="C50" s="373"/>
      <c r="D50" s="373"/>
      <c r="E50" s="346"/>
    </row>
    <row r="51" spans="1:5">
      <c r="A51" s="371">
        <v>3224</v>
      </c>
      <c r="B51" s="372" t="s">
        <v>170</v>
      </c>
      <c r="C51" s="373">
        <v>0</v>
      </c>
      <c r="D51" s="373">
        <v>0</v>
      </c>
      <c r="E51" s="346"/>
    </row>
    <row r="52" spans="1:5">
      <c r="A52" s="371">
        <v>3231</v>
      </c>
      <c r="B52" s="372" t="s">
        <v>171</v>
      </c>
      <c r="C52" s="373"/>
      <c r="D52" s="373"/>
      <c r="E52" s="346"/>
    </row>
    <row r="53" spans="1:5">
      <c r="A53" s="371">
        <v>3232</v>
      </c>
      <c r="B53" s="372" t="s">
        <v>172</v>
      </c>
      <c r="C53" s="373"/>
      <c r="D53" s="373"/>
      <c r="E53" s="346"/>
    </row>
    <row r="54" spans="1:5">
      <c r="A54" s="371">
        <v>3234</v>
      </c>
      <c r="B54" s="372" t="s">
        <v>173</v>
      </c>
      <c r="C54" s="373"/>
      <c r="D54" s="373"/>
      <c r="E54" s="346"/>
    </row>
    <row r="55" spans="1:5" ht="30">
      <c r="A55" s="371">
        <v>3236</v>
      </c>
      <c r="B55" s="372" t="s">
        <v>188</v>
      </c>
      <c r="C55" s="373"/>
      <c r="D55" s="373"/>
      <c r="E55" s="346"/>
    </row>
    <row r="56" spans="1:5" ht="45">
      <c r="A56" s="371">
        <v>3237</v>
      </c>
      <c r="B56" s="372" t="s">
        <v>174</v>
      </c>
      <c r="C56" s="373"/>
      <c r="D56" s="373"/>
      <c r="E56" s="346"/>
    </row>
    <row r="57" spans="1:5">
      <c r="A57" s="371">
        <v>3241</v>
      </c>
      <c r="B57" s="372" t="s">
        <v>175</v>
      </c>
      <c r="C57" s="373"/>
      <c r="D57" s="373"/>
      <c r="E57" s="346"/>
    </row>
    <row r="58" spans="1:5">
      <c r="A58" s="371">
        <v>3242</v>
      </c>
      <c r="B58" s="372" t="s">
        <v>176</v>
      </c>
      <c r="C58" s="373"/>
      <c r="D58" s="373"/>
      <c r="E58" s="346"/>
    </row>
    <row r="59" spans="1:5">
      <c r="A59" s="371">
        <v>3243</v>
      </c>
      <c r="B59" s="372" t="s">
        <v>177</v>
      </c>
      <c r="C59" s="373"/>
      <c r="D59" s="373"/>
      <c r="E59" s="346"/>
    </row>
    <row r="60" spans="1:5">
      <c r="A60" s="371">
        <v>3245</v>
      </c>
      <c r="B60" s="372" t="s">
        <v>178</v>
      </c>
      <c r="C60" s="373"/>
      <c r="D60" s="373"/>
      <c r="E60" s="346"/>
    </row>
    <row r="61" spans="1:5">
      <c r="A61" s="371">
        <v>3246</v>
      </c>
      <c r="B61" s="372" t="s">
        <v>179</v>
      </c>
      <c r="C61" s="373"/>
      <c r="D61" s="373"/>
      <c r="E61" s="346"/>
    </row>
    <row r="62" spans="1:5">
      <c r="A62" s="379"/>
      <c r="E62" s="346"/>
    </row>
    <row r="63" spans="1:5">
      <c r="A63" s="381"/>
      <c r="E63" s="346"/>
    </row>
    <row r="64" spans="1:5">
      <c r="A64" s="378" t="s">
        <v>194</v>
      </c>
      <c r="B64" s="372"/>
      <c r="C64" s="369">
        <v>819655.76</v>
      </c>
      <c r="D64" s="369">
        <v>821290.82000000007</v>
      </c>
      <c r="E64" s="346"/>
    </row>
    <row r="65" spans="1:5">
      <c r="A65" s="371">
        <v>5100</v>
      </c>
      <c r="B65" s="372" t="s">
        <v>256</v>
      </c>
      <c r="C65" s="373">
        <v>67225</v>
      </c>
      <c r="D65" s="373">
        <v>176030</v>
      </c>
      <c r="E65" s="346"/>
    </row>
    <row r="66" spans="1:5">
      <c r="A66" s="371">
        <v>5220</v>
      </c>
      <c r="B66" s="372" t="s">
        <v>3102</v>
      </c>
      <c r="C66" s="373">
        <v>752430.76</v>
      </c>
      <c r="D66" s="373">
        <v>645260.82000000007</v>
      </c>
      <c r="E66" s="346"/>
    </row>
    <row r="67" spans="1:5">
      <c r="A67" s="371">
        <v>5230</v>
      </c>
      <c r="B67" s="372" t="s">
        <v>434</v>
      </c>
      <c r="C67" s="373"/>
      <c r="D67" s="8"/>
      <c r="E67" s="346"/>
    </row>
    <row r="68" spans="1:5">
      <c r="A68" s="371"/>
      <c r="B68" s="372"/>
      <c r="C68" s="373"/>
      <c r="D68" s="375"/>
      <c r="E68" s="346"/>
    </row>
    <row r="69" spans="1:5">
      <c r="A69" s="371"/>
      <c r="B69" s="372"/>
      <c r="C69" s="373"/>
      <c r="D69" s="402"/>
      <c r="E69" s="346"/>
    </row>
    <row r="70" spans="1:5">
      <c r="A70" s="44"/>
      <c r="B70" s="43"/>
      <c r="C70" s="373"/>
      <c r="D70" s="373"/>
      <c r="E70" s="346"/>
    </row>
    <row r="71" spans="1:5">
      <c r="A71" s="379"/>
      <c r="E71" s="346"/>
    </row>
    <row r="72" spans="1:5">
      <c r="A72" s="347"/>
      <c r="E72" s="346"/>
    </row>
    <row r="73" spans="1:5">
      <c r="A73" s="380" t="s">
        <v>195</v>
      </c>
      <c r="B73" s="372"/>
      <c r="C73" s="373"/>
      <c r="D73" s="373"/>
      <c r="E73" s="346"/>
    </row>
    <row r="74" spans="1:5" ht="30">
      <c r="A74" s="371">
        <v>1</v>
      </c>
      <c r="B74" s="372" t="s">
        <v>180</v>
      </c>
      <c r="C74" s="373"/>
      <c r="D74" s="373"/>
      <c r="E74" s="346"/>
    </row>
    <row r="75" spans="1:5" ht="30">
      <c r="A75" s="371">
        <v>2</v>
      </c>
      <c r="B75" s="372" t="s">
        <v>181</v>
      </c>
      <c r="C75" s="373"/>
      <c r="D75" s="373"/>
      <c r="E75" s="346"/>
    </row>
    <row r="76" spans="1:5">
      <c r="A76" s="371">
        <v>3</v>
      </c>
      <c r="B76" s="372" t="s">
        <v>182</v>
      </c>
      <c r="C76" s="373"/>
      <c r="D76" s="373"/>
      <c r="E76" s="346"/>
    </row>
    <row r="77" spans="1:5">
      <c r="A77" s="371">
        <v>4</v>
      </c>
      <c r="B77" s="372" t="s">
        <v>368</v>
      </c>
      <c r="C77" s="373"/>
      <c r="D77" s="373"/>
      <c r="E77" s="346"/>
    </row>
    <row r="78" spans="1:5">
      <c r="A78" s="371">
        <v>5</v>
      </c>
      <c r="B78" s="372" t="s">
        <v>183</v>
      </c>
      <c r="C78" s="373"/>
      <c r="D78" s="373"/>
      <c r="E78" s="346"/>
    </row>
    <row r="79" spans="1:5">
      <c r="A79" s="371">
        <v>6</v>
      </c>
      <c r="B79" s="372" t="s">
        <v>184</v>
      </c>
      <c r="C79" s="373"/>
      <c r="D79" s="373"/>
      <c r="E79" s="346"/>
    </row>
    <row r="80" spans="1:5">
      <c r="A80" s="371">
        <v>7</v>
      </c>
      <c r="B80" s="372" t="s">
        <v>185</v>
      </c>
      <c r="C80" s="373"/>
      <c r="D80" s="373"/>
      <c r="E80" s="346"/>
    </row>
    <row r="81" spans="1:9">
      <c r="A81" s="371">
        <v>8</v>
      </c>
      <c r="B81" s="372" t="s">
        <v>186</v>
      </c>
      <c r="C81" s="373"/>
      <c r="D81" s="373"/>
      <c r="E81" s="346"/>
    </row>
    <row r="82" spans="1:9">
      <c r="A82" s="371">
        <v>9</v>
      </c>
      <c r="B82" s="372" t="s">
        <v>187</v>
      </c>
      <c r="C82" s="373"/>
      <c r="D82" s="373"/>
      <c r="E82" s="346"/>
    </row>
    <row r="86" spans="1:9">
      <c r="A86" s="347"/>
      <c r="B86" s="347"/>
    </row>
    <row r="87" spans="1:9">
      <c r="A87" s="382" t="s">
        <v>107</v>
      </c>
      <c r="B87" s="347"/>
      <c r="E87" s="383"/>
    </row>
    <row r="88" spans="1:9">
      <c r="A88" s="347"/>
      <c r="B88" s="347"/>
      <c r="E88" s="384"/>
      <c r="F88" s="384"/>
      <c r="G88" s="384"/>
      <c r="H88" s="384"/>
      <c r="I88" s="384"/>
    </row>
    <row r="89" spans="1:9">
      <c r="A89" s="347"/>
      <c r="B89" s="347"/>
      <c r="D89" s="385"/>
      <c r="E89" s="384"/>
      <c r="F89" s="384"/>
      <c r="G89" s="384"/>
      <c r="H89" s="384"/>
      <c r="I89" s="384"/>
    </row>
    <row r="90" spans="1:9">
      <c r="A90" s="384"/>
      <c r="B90" s="382" t="s">
        <v>270</v>
      </c>
      <c r="D90" s="385"/>
      <c r="E90" s="384"/>
      <c r="F90" s="384"/>
      <c r="G90" s="384"/>
      <c r="H90" s="384"/>
      <c r="I90" s="384"/>
    </row>
    <row r="91" spans="1:9">
      <c r="A91" s="384"/>
      <c r="B91" s="347" t="s">
        <v>269</v>
      </c>
      <c r="D91" s="385"/>
      <c r="E91" s="384"/>
      <c r="F91" s="384"/>
      <c r="G91" s="384"/>
      <c r="H91" s="384"/>
      <c r="I91" s="384"/>
    </row>
    <row r="92" spans="1:9" s="384" customFormat="1" ht="12.75">
      <c r="B92" s="386" t="s">
        <v>139</v>
      </c>
      <c r="C92" s="387"/>
      <c r="D92" s="387"/>
    </row>
    <row r="93" spans="1:9" s="384" customFormat="1" ht="12.75">
      <c r="C93" s="387"/>
      <c r="D93" s="387"/>
    </row>
    <row r="94" spans="1:9" s="384" customFormat="1" ht="12.75">
      <c r="C94" s="387"/>
      <c r="D94" s="387"/>
    </row>
    <row r="95" spans="1:9" s="384" customFormat="1" ht="12.75">
      <c r="C95" s="387"/>
      <c r="D95" s="387"/>
    </row>
    <row r="96" spans="1:9" s="384" customFormat="1" ht="12.75">
      <c r="C96" s="387"/>
      <c r="D96" s="387"/>
    </row>
  </sheetData>
  <mergeCells count="2">
    <mergeCell ref="C1:D1"/>
    <mergeCell ref="D2:E2"/>
  </mergeCells>
  <printOptions gridLines="1"/>
  <pageMargins left="0.31496062992125984" right="0.31496062992125984" top="0.74803149606299213" bottom="0.74803149606299213" header="0.31496062992125984" footer="0.31496062992125984"/>
  <pageSetup paperSize="9" scale="49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zoomScaleNormal="100" zoomScaleSheetLayoutView="70" workbookViewId="0">
      <selection activeCell="H21" sqref="H21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79" t="s">
        <v>451</v>
      </c>
      <c r="B1" s="81"/>
      <c r="C1" s="81"/>
      <c r="D1" s="81"/>
      <c r="E1" s="81"/>
      <c r="F1" s="81"/>
      <c r="G1" s="81"/>
      <c r="H1" s="81"/>
      <c r="I1" s="582" t="s">
        <v>110</v>
      </c>
      <c r="J1" s="582"/>
      <c r="K1" s="125"/>
    </row>
    <row r="2" spans="1:11">
      <c r="A2" s="81" t="s">
        <v>140</v>
      </c>
      <c r="B2" s="81"/>
      <c r="C2" s="81"/>
      <c r="D2" s="81"/>
      <c r="E2" s="81"/>
      <c r="F2" s="81"/>
      <c r="G2" s="81"/>
      <c r="H2" s="81"/>
      <c r="I2" s="580" t="s">
        <v>2558</v>
      </c>
      <c r="J2" s="581"/>
      <c r="K2" s="125"/>
    </row>
    <row r="3" spans="1:11">
      <c r="A3" s="81"/>
      <c r="B3" s="81"/>
      <c r="C3" s="81"/>
      <c r="D3" s="81"/>
      <c r="E3" s="81"/>
      <c r="F3" s="81"/>
      <c r="G3" s="81"/>
      <c r="H3" s="81"/>
      <c r="I3" s="80"/>
      <c r="J3" s="80"/>
      <c r="K3" s="125"/>
    </row>
    <row r="4" spans="1:11" ht="16.5" customHeight="1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142"/>
      <c r="G4" s="81"/>
      <c r="H4" s="81"/>
      <c r="I4" s="81"/>
      <c r="J4" s="81"/>
      <c r="K4" s="125"/>
    </row>
    <row r="5" spans="1:11">
      <c r="A5" s="244" t="s">
        <v>503</v>
      </c>
      <c r="B5" s="244"/>
      <c r="C5" s="244"/>
      <c r="D5" s="259"/>
      <c r="E5" s="259"/>
      <c r="F5" s="260"/>
      <c r="G5" s="259"/>
      <c r="H5" s="259"/>
      <c r="I5" s="259"/>
      <c r="J5" s="259"/>
      <c r="K5" s="125"/>
    </row>
    <row r="6" spans="1:11">
      <c r="A6" s="82"/>
      <c r="B6" s="82"/>
      <c r="C6" s="81"/>
      <c r="D6" s="81"/>
      <c r="E6" s="81"/>
      <c r="F6" s="142"/>
      <c r="G6" s="81"/>
      <c r="H6" s="81"/>
      <c r="I6" s="81"/>
      <c r="J6" s="81"/>
      <c r="K6" s="125"/>
    </row>
    <row r="7" spans="1:11">
      <c r="A7" s="143"/>
      <c r="B7" s="141"/>
      <c r="C7" s="141"/>
      <c r="D7" s="141"/>
      <c r="E7" s="141"/>
      <c r="F7" s="141"/>
      <c r="G7" s="141"/>
      <c r="H7" s="141"/>
      <c r="I7" s="141"/>
      <c r="J7" s="141"/>
      <c r="K7" s="125"/>
    </row>
    <row r="8" spans="1:11" s="25" customFormat="1" ht="45">
      <c r="A8" s="145" t="s">
        <v>64</v>
      </c>
      <c r="B8" s="145" t="s">
        <v>112</v>
      </c>
      <c r="C8" s="146" t="s">
        <v>114</v>
      </c>
      <c r="D8" s="146" t="s">
        <v>274</v>
      </c>
      <c r="E8" s="146" t="s">
        <v>113</v>
      </c>
      <c r="F8" s="144" t="s">
        <v>257</v>
      </c>
      <c r="G8" s="144" t="s">
        <v>296</v>
      </c>
      <c r="H8" s="144" t="s">
        <v>297</v>
      </c>
      <c r="I8" s="144" t="s">
        <v>258</v>
      </c>
      <c r="J8" s="147" t="s">
        <v>115</v>
      </c>
      <c r="K8" s="125"/>
    </row>
    <row r="9" spans="1:11" s="25" customFormat="1">
      <c r="A9" s="184">
        <v>1</v>
      </c>
      <c r="B9" s="184">
        <v>2</v>
      </c>
      <c r="C9" s="185">
        <v>3</v>
      </c>
      <c r="D9" s="185">
        <v>4</v>
      </c>
      <c r="E9" s="185">
        <v>5</v>
      </c>
      <c r="F9" s="185">
        <v>6</v>
      </c>
      <c r="G9" s="185">
        <v>7</v>
      </c>
      <c r="H9" s="185">
        <v>8</v>
      </c>
      <c r="I9" s="185">
        <v>9</v>
      </c>
      <c r="J9" s="185">
        <v>10</v>
      </c>
      <c r="K9" s="125"/>
    </row>
    <row r="10" spans="1:11" s="25" customFormat="1" ht="15.75">
      <c r="A10" s="181">
        <v>1</v>
      </c>
      <c r="B10" s="57" t="s">
        <v>480</v>
      </c>
      <c r="C10" s="182" t="s">
        <v>482</v>
      </c>
      <c r="D10" s="183" t="s">
        <v>220</v>
      </c>
      <c r="E10" s="169" t="s">
        <v>483</v>
      </c>
      <c r="F10" s="26">
        <v>24777.65</v>
      </c>
      <c r="G10" s="26">
        <v>920258.82</v>
      </c>
      <c r="H10" s="26">
        <v>941902.4</v>
      </c>
      <c r="I10" s="439">
        <f>F10+G10-H10</f>
        <v>3134.0699999999488</v>
      </c>
      <c r="J10" s="26"/>
      <c r="K10" s="125"/>
    </row>
    <row r="11" spans="1:11" s="25" customFormat="1" ht="15.75">
      <c r="A11" s="299">
        <v>2</v>
      </c>
      <c r="B11" s="57" t="s">
        <v>480</v>
      </c>
      <c r="C11" s="300" t="s">
        <v>484</v>
      </c>
      <c r="D11" s="301" t="s">
        <v>485</v>
      </c>
      <c r="E11" s="169" t="s">
        <v>486</v>
      </c>
      <c r="F11" s="26">
        <v>0</v>
      </c>
      <c r="G11" s="26">
        <v>0</v>
      </c>
      <c r="H11" s="26">
        <v>0</v>
      </c>
      <c r="I11" s="439">
        <f>F11+G11-H11</f>
        <v>0</v>
      </c>
      <c r="J11" s="26"/>
      <c r="K11" s="125"/>
    </row>
    <row r="12" spans="1:11" s="25" customFormat="1" ht="15.75">
      <c r="A12" s="181">
        <v>3</v>
      </c>
      <c r="B12" s="57" t="s">
        <v>480</v>
      </c>
      <c r="C12" s="300" t="s">
        <v>484</v>
      </c>
      <c r="D12" s="301" t="s">
        <v>487</v>
      </c>
      <c r="E12" s="169" t="s">
        <v>488</v>
      </c>
      <c r="F12" s="26">
        <v>0</v>
      </c>
      <c r="G12" s="26">
        <v>708.33</v>
      </c>
      <c r="H12" s="26">
        <v>708.33</v>
      </c>
      <c r="I12" s="439">
        <f t="shared" ref="I12:I21" si="0">F12+G12-H12</f>
        <v>0</v>
      </c>
      <c r="J12" s="26"/>
      <c r="K12" s="125"/>
    </row>
    <row r="13" spans="1:11" s="25" customFormat="1" ht="15.75">
      <c r="A13" s="299">
        <v>4</v>
      </c>
      <c r="B13" s="57" t="s">
        <v>480</v>
      </c>
      <c r="C13" s="300" t="s">
        <v>484</v>
      </c>
      <c r="D13" s="301" t="s">
        <v>489</v>
      </c>
      <c r="E13" s="169" t="s">
        <v>490</v>
      </c>
      <c r="F13" s="26">
        <v>73.209999999999994</v>
      </c>
      <c r="G13" s="26">
        <f>3886.65+85.52+0.32</f>
        <v>3972.4900000000002</v>
      </c>
      <c r="H13" s="26">
        <v>4045.7</v>
      </c>
      <c r="I13" s="439">
        <f t="shared" si="0"/>
        <v>0</v>
      </c>
      <c r="J13" s="26"/>
      <c r="K13" s="125"/>
    </row>
    <row r="14" spans="1:11" s="25" customFormat="1" ht="15.75">
      <c r="A14" s="181">
        <v>5</v>
      </c>
      <c r="B14" s="57" t="s">
        <v>480</v>
      </c>
      <c r="C14" s="300" t="s">
        <v>491</v>
      </c>
      <c r="D14" s="302" t="s">
        <v>220</v>
      </c>
      <c r="E14" s="169" t="s">
        <v>492</v>
      </c>
      <c r="F14" s="26"/>
      <c r="G14" s="26"/>
      <c r="H14" s="26"/>
      <c r="I14" s="439">
        <f t="shared" si="0"/>
        <v>0</v>
      </c>
      <c r="J14" s="26"/>
      <c r="K14" s="125"/>
    </row>
    <row r="15" spans="1:11" s="25" customFormat="1" ht="15.75">
      <c r="A15" s="299">
        <v>6</v>
      </c>
      <c r="B15" s="57" t="s">
        <v>480</v>
      </c>
      <c r="C15" s="300" t="s">
        <v>491</v>
      </c>
      <c r="D15" s="301" t="s">
        <v>485</v>
      </c>
      <c r="E15" s="169" t="s">
        <v>492</v>
      </c>
      <c r="F15" s="26"/>
      <c r="G15" s="26"/>
      <c r="H15" s="26"/>
      <c r="I15" s="439">
        <f t="shared" si="0"/>
        <v>0</v>
      </c>
      <c r="J15" s="26"/>
      <c r="K15" s="125"/>
    </row>
    <row r="16" spans="1:11" s="25" customFormat="1" ht="15.75">
      <c r="A16" s="181">
        <v>7</v>
      </c>
      <c r="B16" s="303" t="s">
        <v>480</v>
      </c>
      <c r="C16" s="300" t="s">
        <v>493</v>
      </c>
      <c r="D16" s="302" t="s">
        <v>220</v>
      </c>
      <c r="E16" s="304" t="s">
        <v>492</v>
      </c>
      <c r="F16" s="305">
        <v>9624.7000000000007</v>
      </c>
      <c r="G16" s="26">
        <v>6027.6</v>
      </c>
      <c r="H16" s="26">
        <v>15652.3</v>
      </c>
      <c r="I16" s="439">
        <f t="shared" si="0"/>
        <v>0</v>
      </c>
      <c r="J16" s="305"/>
      <c r="K16" s="125"/>
    </row>
    <row r="17" spans="1:11" s="25" customFormat="1" ht="15.75">
      <c r="A17" s="299">
        <v>8</v>
      </c>
      <c r="B17" s="303" t="s">
        <v>480</v>
      </c>
      <c r="C17" s="300" t="s">
        <v>493</v>
      </c>
      <c r="D17" s="301" t="s">
        <v>485</v>
      </c>
      <c r="E17" s="304" t="s">
        <v>492</v>
      </c>
      <c r="F17" s="305">
        <v>20.75</v>
      </c>
      <c r="G17" s="305">
        <f>0+0.04</f>
        <v>0.04</v>
      </c>
      <c r="H17" s="305">
        <f>20.43+0.36</f>
        <v>20.79</v>
      </c>
      <c r="I17" s="439">
        <f t="shared" si="0"/>
        <v>0</v>
      </c>
      <c r="J17" s="305"/>
      <c r="K17" s="125"/>
    </row>
    <row r="18" spans="1:11" s="25" customFormat="1" ht="15.75">
      <c r="A18" s="181">
        <v>9</v>
      </c>
      <c r="B18" s="303" t="s">
        <v>480</v>
      </c>
      <c r="C18" s="300" t="s">
        <v>493</v>
      </c>
      <c r="D18" s="306" t="s">
        <v>489</v>
      </c>
      <c r="E18" s="304" t="s">
        <v>492</v>
      </c>
      <c r="F18" s="305"/>
      <c r="G18" s="305"/>
      <c r="H18" s="305"/>
      <c r="I18" s="439">
        <f t="shared" si="0"/>
        <v>0</v>
      </c>
      <c r="J18" s="305"/>
      <c r="K18" s="125"/>
    </row>
    <row r="19" spans="1:11" s="25" customFormat="1" ht="15.75">
      <c r="A19" s="299">
        <v>10</v>
      </c>
      <c r="B19" s="57" t="s">
        <v>480</v>
      </c>
      <c r="C19" s="300" t="s">
        <v>494</v>
      </c>
      <c r="D19" s="302" t="s">
        <v>220</v>
      </c>
      <c r="E19" s="169" t="s">
        <v>492</v>
      </c>
      <c r="F19" s="305">
        <v>0</v>
      </c>
      <c r="G19" s="305">
        <v>24.66</v>
      </c>
      <c r="H19" s="305">
        <v>24.66</v>
      </c>
      <c r="I19" s="439">
        <f t="shared" si="0"/>
        <v>0</v>
      </c>
      <c r="J19" s="305"/>
      <c r="K19" s="125"/>
    </row>
    <row r="20" spans="1:11" s="25" customFormat="1" ht="15.75">
      <c r="A20" s="181">
        <v>11</v>
      </c>
      <c r="B20" s="57" t="s">
        <v>480</v>
      </c>
      <c r="C20" s="300" t="s">
        <v>494</v>
      </c>
      <c r="D20" s="301" t="s">
        <v>485</v>
      </c>
      <c r="E20" s="169" t="s">
        <v>492</v>
      </c>
      <c r="F20" s="307">
        <v>835.15</v>
      </c>
      <c r="G20" s="307">
        <f>0+1.35</f>
        <v>1.35</v>
      </c>
      <c r="H20" s="307">
        <f>822.15+14.35</f>
        <v>836.5</v>
      </c>
      <c r="I20" s="439">
        <f t="shared" si="0"/>
        <v>0</v>
      </c>
      <c r="J20" s="307"/>
      <c r="K20" s="125"/>
    </row>
    <row r="21" spans="1:11" s="25" customFormat="1" ht="15.75">
      <c r="A21" s="299">
        <v>12</v>
      </c>
      <c r="B21" s="57" t="s">
        <v>480</v>
      </c>
      <c r="C21" s="300" t="s">
        <v>494</v>
      </c>
      <c r="D21" s="306" t="s">
        <v>489</v>
      </c>
      <c r="E21" s="169" t="s">
        <v>492</v>
      </c>
      <c r="F21" s="307"/>
      <c r="G21" s="307"/>
      <c r="H21" s="307"/>
      <c r="I21" s="439">
        <f t="shared" si="0"/>
        <v>0</v>
      </c>
      <c r="J21" s="307"/>
      <c r="K21" s="125"/>
    </row>
    <row r="22" spans="1:11" s="25" customFormat="1" ht="15.75">
      <c r="A22" s="308" t="s">
        <v>280</v>
      </c>
      <c r="B22" s="58"/>
      <c r="C22" s="300"/>
      <c r="D22" s="306"/>
      <c r="E22" s="169"/>
      <c r="F22" s="307"/>
      <c r="G22" s="307"/>
      <c r="H22" s="307"/>
      <c r="I22" s="307"/>
      <c r="J22" s="307"/>
      <c r="K22" s="125"/>
    </row>
    <row r="23" spans="1:11">
      <c r="A23" s="124"/>
      <c r="B23" s="124"/>
      <c r="C23" s="124"/>
      <c r="D23" s="124"/>
      <c r="E23" s="124"/>
      <c r="F23" s="124"/>
      <c r="G23" s="124"/>
      <c r="H23" s="124"/>
      <c r="I23" s="124"/>
      <c r="J23" s="124"/>
    </row>
    <row r="24" spans="1:11">
      <c r="A24" s="124"/>
      <c r="B24" s="255" t="s">
        <v>107</v>
      </c>
      <c r="C24" s="124"/>
      <c r="D24" s="124"/>
      <c r="E24" s="124"/>
      <c r="F24" s="256"/>
      <c r="G24" s="124"/>
      <c r="H24" s="124"/>
      <c r="I24" s="124"/>
      <c r="J24" s="124"/>
    </row>
    <row r="25" spans="1:11">
      <c r="A25" s="124"/>
      <c r="B25" s="124"/>
      <c r="C25" s="124"/>
      <c r="D25" s="124"/>
      <c r="E25" s="124"/>
      <c r="F25" s="121"/>
      <c r="G25" s="121"/>
      <c r="H25" s="121"/>
      <c r="I25" s="121"/>
      <c r="J25" s="121"/>
    </row>
    <row r="26" spans="1:11">
      <c r="A26" s="124"/>
      <c r="B26" s="124"/>
      <c r="C26" s="293"/>
      <c r="D26" s="124"/>
      <c r="E26" s="124"/>
      <c r="F26" s="293"/>
      <c r="G26" s="294"/>
      <c r="H26" s="294"/>
      <c r="I26" s="121"/>
      <c r="J26" s="121"/>
    </row>
    <row r="27" spans="1:11">
      <c r="A27" s="121"/>
      <c r="B27" s="124"/>
      <c r="C27" s="257" t="s">
        <v>267</v>
      </c>
      <c r="D27" s="257"/>
      <c r="E27" s="124"/>
      <c r="F27" s="124" t="s">
        <v>272</v>
      </c>
      <c r="G27" s="121"/>
      <c r="H27" s="121"/>
      <c r="I27" s="121"/>
      <c r="J27" s="121"/>
    </row>
    <row r="28" spans="1:11">
      <c r="A28" s="121"/>
      <c r="B28" s="124"/>
      <c r="C28" s="258" t="s">
        <v>139</v>
      </c>
      <c r="D28" s="124"/>
      <c r="E28" s="124"/>
      <c r="F28" s="124" t="s">
        <v>268</v>
      </c>
      <c r="G28" s="121"/>
      <c r="H28" s="121"/>
      <c r="I28" s="121"/>
      <c r="J28" s="121"/>
    </row>
    <row r="29" spans="1:11" customFormat="1">
      <c r="A29" s="121"/>
      <c r="B29" s="124"/>
      <c r="C29" s="124"/>
      <c r="D29" s="258"/>
      <c r="E29" s="121"/>
      <c r="F29" s="121"/>
      <c r="G29" s="121"/>
      <c r="H29" s="121"/>
      <c r="I29" s="121"/>
      <c r="J29" s="121"/>
    </row>
    <row r="30" spans="1:11" customFormat="1" ht="12.75">
      <c r="A30" s="121"/>
      <c r="B30" s="121"/>
      <c r="C30" s="121"/>
      <c r="D30" s="121"/>
      <c r="E30" s="121"/>
      <c r="F30" s="121"/>
      <c r="G30" s="121"/>
      <c r="H30" s="121"/>
      <c r="I30" s="121"/>
      <c r="J30" s="121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4"/>
  <sheetViews>
    <sheetView zoomScaleNormal="100" zoomScaleSheetLayoutView="70" workbookViewId="0">
      <selection activeCell="G220" sqref="G220"/>
    </sheetView>
  </sheetViews>
  <sheetFormatPr defaultRowHeight="15"/>
  <cols>
    <col min="1" max="1" width="7.7109375" style="206" customWidth="1"/>
    <col min="2" max="2" width="16.28515625" style="206" customWidth="1"/>
    <col min="3" max="3" width="21.42578125" style="206" customWidth="1"/>
    <col min="4" max="4" width="17.85546875" style="206" customWidth="1"/>
    <col min="5" max="5" width="12.7109375" style="206" customWidth="1"/>
    <col min="6" max="6" width="36.85546875" style="251" customWidth="1"/>
    <col min="7" max="7" width="22.28515625" style="206" customWidth="1"/>
    <col min="8" max="8" width="8.42578125" style="206" customWidth="1"/>
    <col min="9" max="16384" width="9.140625" style="206"/>
  </cols>
  <sheetData>
    <row r="1" spans="1:8">
      <c r="A1" s="79" t="s">
        <v>371</v>
      </c>
      <c r="B1" s="81"/>
      <c r="C1" s="81"/>
      <c r="D1" s="81"/>
      <c r="E1" s="81"/>
      <c r="F1" s="449"/>
      <c r="G1" s="190" t="s">
        <v>110</v>
      </c>
      <c r="H1" s="191"/>
    </row>
    <row r="2" spans="1:8">
      <c r="A2" s="81" t="s">
        <v>140</v>
      </c>
      <c r="B2" s="81"/>
      <c r="C2" s="81"/>
      <c r="D2" s="81"/>
      <c r="E2" s="81"/>
      <c r="F2" s="449"/>
      <c r="G2" s="580" t="s">
        <v>2558</v>
      </c>
      <c r="H2" s="581"/>
    </row>
    <row r="3" spans="1:8">
      <c r="A3" s="81"/>
      <c r="B3" s="81"/>
      <c r="C3" s="81"/>
      <c r="D3" s="81"/>
      <c r="E3" s="81"/>
      <c r="F3" s="449"/>
      <c r="G3" s="122"/>
      <c r="H3" s="191"/>
    </row>
    <row r="4" spans="1:8">
      <c r="A4" s="82" t="str">
        <f>'[3]ფორმა N2'!A4</f>
        <v>ანგარიშვალდებული პირის დასახელება:</v>
      </c>
      <c r="B4" s="81"/>
      <c r="C4" s="81"/>
      <c r="D4" s="81"/>
      <c r="E4" s="81"/>
      <c r="F4" s="449"/>
      <c r="G4" s="81"/>
      <c r="H4" s="124"/>
    </row>
    <row r="5" spans="1:8">
      <c r="A5" s="244" t="s">
        <v>503</v>
      </c>
      <c r="B5" s="244"/>
      <c r="C5" s="244"/>
      <c r="D5" s="244"/>
      <c r="E5" s="244"/>
      <c r="F5" s="244"/>
      <c r="G5" s="244"/>
      <c r="H5" s="124"/>
    </row>
    <row r="6" spans="1:8">
      <c r="A6" s="82"/>
      <c r="B6" s="81"/>
      <c r="C6" s="81"/>
      <c r="D6" s="81"/>
      <c r="E6" s="81"/>
      <c r="F6" s="449"/>
      <c r="G6" s="81"/>
      <c r="H6" s="124"/>
    </row>
    <row r="7" spans="1:8">
      <c r="A7" s="81"/>
      <c r="B7" s="81"/>
      <c r="C7" s="81"/>
      <c r="D7" s="81"/>
      <c r="E7" s="81"/>
      <c r="F7" s="449"/>
      <c r="G7" s="81"/>
      <c r="H7" s="125"/>
    </row>
    <row r="8" spans="1:8" ht="45.75" customHeight="1">
      <c r="A8" s="192" t="s">
        <v>315</v>
      </c>
      <c r="B8" s="192" t="s">
        <v>141</v>
      </c>
      <c r="C8" s="193" t="s">
        <v>369</v>
      </c>
      <c r="D8" s="193" t="s">
        <v>370</v>
      </c>
      <c r="E8" s="193" t="s">
        <v>274</v>
      </c>
      <c r="F8" s="450" t="s">
        <v>322</v>
      </c>
      <c r="G8" s="193" t="s">
        <v>316</v>
      </c>
      <c r="H8" s="125"/>
    </row>
    <row r="9" spans="1:8">
      <c r="A9" s="440" t="s">
        <v>317</v>
      </c>
      <c r="B9" s="324"/>
      <c r="C9" s="195"/>
      <c r="D9" s="196"/>
      <c r="E9" s="196"/>
      <c r="F9" s="451"/>
      <c r="G9" s="441">
        <v>1520.29</v>
      </c>
      <c r="H9" s="125"/>
    </row>
    <row r="10" spans="1:8" ht="30">
      <c r="A10" s="442">
        <v>1</v>
      </c>
      <c r="B10" s="446" t="s">
        <v>2559</v>
      </c>
      <c r="C10" s="434"/>
      <c r="D10" s="457">
        <v>15</v>
      </c>
      <c r="E10" s="443" t="s">
        <v>220</v>
      </c>
      <c r="F10" s="448" t="s">
        <v>2610</v>
      </c>
      <c r="G10" s="444">
        <f>G9+C10-D10</f>
        <v>1505.29</v>
      </c>
      <c r="H10" s="125"/>
    </row>
    <row r="11" spans="1:8">
      <c r="A11" s="442">
        <v>2</v>
      </c>
      <c r="B11" s="446" t="s">
        <v>2559</v>
      </c>
      <c r="C11" s="434"/>
      <c r="D11" s="457">
        <v>59</v>
      </c>
      <c r="E11" s="443" t="s">
        <v>220</v>
      </c>
      <c r="F11" s="448" t="s">
        <v>2611</v>
      </c>
      <c r="G11" s="444">
        <f t="shared" ref="G11:G74" si="0">G10+C11-D11</f>
        <v>1446.29</v>
      </c>
      <c r="H11" s="125"/>
    </row>
    <row r="12" spans="1:8">
      <c r="A12" s="442">
        <v>3</v>
      </c>
      <c r="B12" s="446" t="s">
        <v>2560</v>
      </c>
      <c r="C12" s="434"/>
      <c r="D12" s="457">
        <v>36</v>
      </c>
      <c r="E12" s="443" t="s">
        <v>220</v>
      </c>
      <c r="F12" s="448" t="s">
        <v>2612</v>
      </c>
      <c r="G12" s="444">
        <f t="shared" si="0"/>
        <v>1410.29</v>
      </c>
      <c r="H12" s="125"/>
    </row>
    <row r="13" spans="1:8">
      <c r="A13" s="442">
        <v>4</v>
      </c>
      <c r="B13" s="446" t="s">
        <v>2561</v>
      </c>
      <c r="C13" s="434"/>
      <c r="D13" s="457">
        <v>251.3</v>
      </c>
      <c r="E13" s="443" t="s">
        <v>220</v>
      </c>
      <c r="F13" s="448" t="s">
        <v>2613</v>
      </c>
      <c r="G13" s="444">
        <f t="shared" si="0"/>
        <v>1158.99</v>
      </c>
      <c r="H13" s="125"/>
    </row>
    <row r="14" spans="1:8">
      <c r="A14" s="442">
        <v>5</v>
      </c>
      <c r="B14" s="446" t="s">
        <v>2562</v>
      </c>
      <c r="C14" s="434"/>
      <c r="D14" s="457">
        <v>55</v>
      </c>
      <c r="E14" s="443" t="s">
        <v>220</v>
      </c>
      <c r="F14" s="448" t="s">
        <v>2614</v>
      </c>
      <c r="G14" s="444">
        <f t="shared" si="0"/>
        <v>1103.99</v>
      </c>
      <c r="H14" s="125"/>
    </row>
    <row r="15" spans="1:8">
      <c r="A15" s="442">
        <v>6</v>
      </c>
      <c r="B15" s="446" t="s">
        <v>2563</v>
      </c>
      <c r="C15" s="434"/>
      <c r="D15" s="457">
        <v>70</v>
      </c>
      <c r="E15" s="443" t="s">
        <v>220</v>
      </c>
      <c r="F15" s="448" t="s">
        <v>2615</v>
      </c>
      <c r="G15" s="444">
        <f t="shared" si="0"/>
        <v>1033.99</v>
      </c>
      <c r="H15" s="125"/>
    </row>
    <row r="16" spans="1:8" ht="30">
      <c r="A16" s="442">
        <v>7</v>
      </c>
      <c r="B16" s="446" t="s">
        <v>2564</v>
      </c>
      <c r="C16" s="434"/>
      <c r="D16" s="457">
        <v>181</v>
      </c>
      <c r="E16" s="443" t="s">
        <v>220</v>
      </c>
      <c r="F16" s="448" t="s">
        <v>2616</v>
      </c>
      <c r="G16" s="444">
        <f t="shared" si="0"/>
        <v>852.99</v>
      </c>
      <c r="H16" s="125"/>
    </row>
    <row r="17" spans="1:8" ht="45">
      <c r="A17" s="442">
        <v>8</v>
      </c>
      <c r="B17" s="446" t="s">
        <v>2565</v>
      </c>
      <c r="C17" s="434"/>
      <c r="D17" s="457">
        <v>70</v>
      </c>
      <c r="E17" s="443" t="s">
        <v>220</v>
      </c>
      <c r="F17" s="448" t="s">
        <v>2617</v>
      </c>
      <c r="G17" s="444">
        <f t="shared" si="0"/>
        <v>782.99</v>
      </c>
      <c r="H17" s="125"/>
    </row>
    <row r="18" spans="1:8" ht="45">
      <c r="A18" s="442">
        <v>9</v>
      </c>
      <c r="B18" s="446" t="s">
        <v>2565</v>
      </c>
      <c r="C18" s="434"/>
      <c r="D18" s="457">
        <v>130</v>
      </c>
      <c r="E18" s="443" t="s">
        <v>220</v>
      </c>
      <c r="F18" s="448" t="s">
        <v>2618</v>
      </c>
      <c r="G18" s="444">
        <f t="shared" si="0"/>
        <v>652.99</v>
      </c>
      <c r="H18" s="125"/>
    </row>
    <row r="19" spans="1:8">
      <c r="A19" s="442">
        <v>10</v>
      </c>
      <c r="B19" s="446" t="s">
        <v>2566</v>
      </c>
      <c r="C19" s="434"/>
      <c r="D19" s="457">
        <v>15</v>
      </c>
      <c r="E19" s="443" t="s">
        <v>220</v>
      </c>
      <c r="F19" s="448" t="s">
        <v>2619</v>
      </c>
      <c r="G19" s="444">
        <f t="shared" si="0"/>
        <v>637.99</v>
      </c>
      <c r="H19" s="125"/>
    </row>
    <row r="20" spans="1:8" ht="30">
      <c r="A20" s="442">
        <v>11</v>
      </c>
      <c r="B20" s="446" t="s">
        <v>2567</v>
      </c>
      <c r="C20" s="434"/>
      <c r="D20" s="457">
        <v>175</v>
      </c>
      <c r="E20" s="443" t="s">
        <v>220</v>
      </c>
      <c r="F20" s="448" t="s">
        <v>2620</v>
      </c>
      <c r="G20" s="444">
        <f t="shared" si="0"/>
        <v>462.99</v>
      </c>
      <c r="H20" s="125"/>
    </row>
    <row r="21" spans="1:8" ht="30">
      <c r="A21" s="442">
        <v>12</v>
      </c>
      <c r="B21" s="446" t="s">
        <v>2568</v>
      </c>
      <c r="C21" s="434"/>
      <c r="D21" s="457">
        <f>66+5</f>
        <v>71</v>
      </c>
      <c r="E21" s="443" t="s">
        <v>220</v>
      </c>
      <c r="F21" s="448" t="s">
        <v>2621</v>
      </c>
      <c r="G21" s="444">
        <f t="shared" si="0"/>
        <v>391.99</v>
      </c>
      <c r="H21" s="125"/>
    </row>
    <row r="22" spans="1:8" ht="45">
      <c r="A22" s="442">
        <v>13</v>
      </c>
      <c r="B22" s="446" t="s">
        <v>2569</v>
      </c>
      <c r="C22" s="434"/>
      <c r="D22" s="457">
        <f>135.52/2</f>
        <v>67.760000000000005</v>
      </c>
      <c r="E22" s="443" t="s">
        <v>220</v>
      </c>
      <c r="F22" s="448" t="s">
        <v>2622</v>
      </c>
      <c r="G22" s="444">
        <f t="shared" si="0"/>
        <v>324.23</v>
      </c>
      <c r="H22" s="125"/>
    </row>
    <row r="23" spans="1:8" ht="45">
      <c r="A23" s="442">
        <v>14</v>
      </c>
      <c r="B23" s="446" t="s">
        <v>2569</v>
      </c>
      <c r="C23" s="434"/>
      <c r="D23" s="457">
        <f>23.4/2</f>
        <v>11.7</v>
      </c>
      <c r="E23" s="443" t="s">
        <v>220</v>
      </c>
      <c r="F23" s="448" t="s">
        <v>2623</v>
      </c>
      <c r="G23" s="444">
        <f t="shared" si="0"/>
        <v>312.53000000000003</v>
      </c>
      <c r="H23" s="125"/>
    </row>
    <row r="24" spans="1:8">
      <c r="A24" s="442">
        <v>15</v>
      </c>
      <c r="B24" s="446" t="s">
        <v>2570</v>
      </c>
      <c r="C24" s="434"/>
      <c r="D24" s="457">
        <v>100</v>
      </c>
      <c r="E24" s="443" t="s">
        <v>220</v>
      </c>
      <c r="F24" s="448" t="s">
        <v>2624</v>
      </c>
      <c r="G24" s="444">
        <f t="shared" si="0"/>
        <v>212.53000000000003</v>
      </c>
      <c r="H24" s="125"/>
    </row>
    <row r="25" spans="1:8">
      <c r="A25" s="442">
        <v>16</v>
      </c>
      <c r="B25" s="446" t="s">
        <v>2578</v>
      </c>
      <c r="C25" s="434"/>
      <c r="D25" s="457">
        <v>15</v>
      </c>
      <c r="E25" s="443" t="s">
        <v>220</v>
      </c>
      <c r="F25" s="448" t="s">
        <v>2625</v>
      </c>
      <c r="G25" s="444">
        <f t="shared" si="0"/>
        <v>197.53000000000003</v>
      </c>
      <c r="H25" s="125"/>
    </row>
    <row r="26" spans="1:8">
      <c r="A26" s="442">
        <v>17</v>
      </c>
      <c r="B26" s="446" t="s">
        <v>2571</v>
      </c>
      <c r="C26" s="434">
        <v>2000</v>
      </c>
      <c r="D26" s="457"/>
      <c r="E26" s="443" t="s">
        <v>220</v>
      </c>
      <c r="F26" s="448" t="s">
        <v>2626</v>
      </c>
      <c r="G26" s="444">
        <f t="shared" si="0"/>
        <v>2197.5300000000002</v>
      </c>
      <c r="H26" s="125"/>
    </row>
    <row r="27" spans="1:8">
      <c r="A27" s="442">
        <v>18</v>
      </c>
      <c r="B27" s="446" t="s">
        <v>2579</v>
      </c>
      <c r="C27" s="434"/>
      <c r="D27" s="457">
        <v>30</v>
      </c>
      <c r="E27" s="443" t="s">
        <v>220</v>
      </c>
      <c r="F27" s="448" t="s">
        <v>2627</v>
      </c>
      <c r="G27" s="444">
        <f t="shared" si="0"/>
        <v>2167.5300000000002</v>
      </c>
      <c r="H27" s="125"/>
    </row>
    <row r="28" spans="1:8">
      <c r="A28" s="442">
        <v>19</v>
      </c>
      <c r="B28" s="446" t="s">
        <v>2580</v>
      </c>
      <c r="C28" s="434"/>
      <c r="D28" s="457">
        <v>30</v>
      </c>
      <c r="E28" s="443" t="s">
        <v>220</v>
      </c>
      <c r="F28" s="448" t="s">
        <v>2628</v>
      </c>
      <c r="G28" s="444">
        <f t="shared" si="0"/>
        <v>2137.5300000000002</v>
      </c>
      <c r="H28" s="125"/>
    </row>
    <row r="29" spans="1:8">
      <c r="A29" s="442">
        <v>20</v>
      </c>
      <c r="B29" s="446" t="s">
        <v>2580</v>
      </c>
      <c r="C29" s="434"/>
      <c r="D29" s="457">
        <v>30</v>
      </c>
      <c r="E29" s="443" t="s">
        <v>220</v>
      </c>
      <c r="F29" s="448" t="s">
        <v>2629</v>
      </c>
      <c r="G29" s="444">
        <f t="shared" si="0"/>
        <v>2107.5300000000002</v>
      </c>
      <c r="H29" s="125"/>
    </row>
    <row r="30" spans="1:8">
      <c r="A30" s="442">
        <v>21</v>
      </c>
      <c r="B30" s="446" t="s">
        <v>2580</v>
      </c>
      <c r="C30" s="434"/>
      <c r="D30" s="457">
        <v>30</v>
      </c>
      <c r="E30" s="443" t="s">
        <v>220</v>
      </c>
      <c r="F30" s="448" t="s">
        <v>2630</v>
      </c>
      <c r="G30" s="444">
        <f t="shared" si="0"/>
        <v>2077.5300000000002</v>
      </c>
      <c r="H30" s="125"/>
    </row>
    <row r="31" spans="1:8">
      <c r="A31" s="442">
        <v>22</v>
      </c>
      <c r="B31" s="446" t="s">
        <v>2580</v>
      </c>
      <c r="C31" s="434"/>
      <c r="D31" s="457">
        <v>45</v>
      </c>
      <c r="E31" s="443" t="s">
        <v>220</v>
      </c>
      <c r="F31" s="448" t="s">
        <v>2631</v>
      </c>
      <c r="G31" s="444">
        <f t="shared" si="0"/>
        <v>2032.5300000000002</v>
      </c>
      <c r="H31" s="125"/>
    </row>
    <row r="32" spans="1:8">
      <c r="A32" s="442">
        <v>23</v>
      </c>
      <c r="B32" s="446" t="s">
        <v>2580</v>
      </c>
      <c r="C32" s="434"/>
      <c r="D32" s="457">
        <v>45</v>
      </c>
      <c r="E32" s="443" t="s">
        <v>220</v>
      </c>
      <c r="F32" s="448" t="s">
        <v>2631</v>
      </c>
      <c r="G32" s="444">
        <f t="shared" si="0"/>
        <v>1987.5300000000002</v>
      </c>
      <c r="H32" s="125"/>
    </row>
    <row r="33" spans="1:8">
      <c r="A33" s="442">
        <v>24</v>
      </c>
      <c r="B33" s="446" t="s">
        <v>2580</v>
      </c>
      <c r="C33" s="434"/>
      <c r="D33" s="457">
        <v>45</v>
      </c>
      <c r="E33" s="443" t="s">
        <v>220</v>
      </c>
      <c r="F33" s="448" t="s">
        <v>2631</v>
      </c>
      <c r="G33" s="444">
        <f t="shared" si="0"/>
        <v>1942.5300000000002</v>
      </c>
      <c r="H33" s="125"/>
    </row>
    <row r="34" spans="1:8" ht="30">
      <c r="A34" s="442">
        <v>25</v>
      </c>
      <c r="B34" s="446" t="s">
        <v>2580</v>
      </c>
      <c r="C34" s="434"/>
      <c r="D34" s="457">
        <v>60</v>
      </c>
      <c r="E34" s="443" t="s">
        <v>220</v>
      </c>
      <c r="F34" s="448" t="s">
        <v>2632</v>
      </c>
      <c r="G34" s="444">
        <f t="shared" si="0"/>
        <v>1882.5300000000002</v>
      </c>
      <c r="H34" s="125"/>
    </row>
    <row r="35" spans="1:8" ht="30">
      <c r="A35" s="442">
        <v>26</v>
      </c>
      <c r="B35" s="446" t="s">
        <v>2580</v>
      </c>
      <c r="C35" s="434"/>
      <c r="D35" s="457">
        <v>45</v>
      </c>
      <c r="E35" s="443" t="s">
        <v>220</v>
      </c>
      <c r="F35" s="448" t="s">
        <v>2633</v>
      </c>
      <c r="G35" s="444">
        <f t="shared" si="0"/>
        <v>1837.5300000000002</v>
      </c>
      <c r="H35" s="125"/>
    </row>
    <row r="36" spans="1:8">
      <c r="A36" s="442">
        <v>27</v>
      </c>
      <c r="B36" s="446" t="s">
        <v>2581</v>
      </c>
      <c r="C36" s="434"/>
      <c r="D36" s="457">
        <v>15</v>
      </c>
      <c r="E36" s="443" t="s">
        <v>220</v>
      </c>
      <c r="F36" s="448" t="s">
        <v>2634</v>
      </c>
      <c r="G36" s="444">
        <f t="shared" si="0"/>
        <v>1822.5300000000002</v>
      </c>
      <c r="H36" s="125"/>
    </row>
    <row r="37" spans="1:8" ht="30">
      <c r="A37" s="442">
        <v>28</v>
      </c>
      <c r="B37" s="446" t="s">
        <v>2581</v>
      </c>
      <c r="C37" s="434"/>
      <c r="D37" s="457">
        <v>15</v>
      </c>
      <c r="E37" s="443" t="s">
        <v>220</v>
      </c>
      <c r="F37" s="448" t="s">
        <v>2635</v>
      </c>
      <c r="G37" s="444">
        <f t="shared" si="0"/>
        <v>1807.5300000000002</v>
      </c>
      <c r="H37" s="125"/>
    </row>
    <row r="38" spans="1:8" ht="30">
      <c r="A38" s="442">
        <v>29</v>
      </c>
      <c r="B38" s="446" t="s">
        <v>2582</v>
      </c>
      <c r="C38" s="434"/>
      <c r="D38" s="457">
        <v>190</v>
      </c>
      <c r="E38" s="443" t="s">
        <v>220</v>
      </c>
      <c r="F38" s="448" t="s">
        <v>2636</v>
      </c>
      <c r="G38" s="444">
        <f t="shared" si="0"/>
        <v>1617.5300000000002</v>
      </c>
      <c r="H38" s="125"/>
    </row>
    <row r="39" spans="1:8">
      <c r="A39" s="442">
        <v>30</v>
      </c>
      <c r="B39" s="446" t="s">
        <v>2582</v>
      </c>
      <c r="C39" s="434"/>
      <c r="D39" s="457">
        <v>63</v>
      </c>
      <c r="E39" s="443" t="s">
        <v>220</v>
      </c>
      <c r="F39" s="448" t="s">
        <v>2611</v>
      </c>
      <c r="G39" s="444">
        <f t="shared" si="0"/>
        <v>1554.5300000000002</v>
      </c>
      <c r="H39" s="125"/>
    </row>
    <row r="40" spans="1:8">
      <c r="A40" s="442">
        <v>31</v>
      </c>
      <c r="B40" s="446" t="s">
        <v>2582</v>
      </c>
      <c r="C40" s="434"/>
      <c r="D40" s="457">
        <v>5</v>
      </c>
      <c r="E40" s="443" t="s">
        <v>220</v>
      </c>
      <c r="F40" s="448" t="s">
        <v>2637</v>
      </c>
      <c r="G40" s="444">
        <f t="shared" si="0"/>
        <v>1549.5300000000002</v>
      </c>
      <c r="H40" s="125"/>
    </row>
    <row r="41" spans="1:8" ht="30">
      <c r="A41" s="442">
        <v>32</v>
      </c>
      <c r="B41" s="446" t="s">
        <v>2583</v>
      </c>
      <c r="C41" s="434"/>
      <c r="D41" s="457">
        <v>180</v>
      </c>
      <c r="E41" s="443" t="s">
        <v>220</v>
      </c>
      <c r="F41" s="448" t="s">
        <v>2638</v>
      </c>
      <c r="G41" s="444">
        <f t="shared" si="0"/>
        <v>1369.5300000000002</v>
      </c>
      <c r="H41" s="125"/>
    </row>
    <row r="42" spans="1:8">
      <c r="A42" s="442">
        <v>33</v>
      </c>
      <c r="B42" s="446" t="s">
        <v>2584</v>
      </c>
      <c r="C42" s="434"/>
      <c r="D42" s="457">
        <v>198</v>
      </c>
      <c r="E42" s="443" t="s">
        <v>220</v>
      </c>
      <c r="F42" s="448" t="s">
        <v>2639</v>
      </c>
      <c r="G42" s="444">
        <f t="shared" si="0"/>
        <v>1171.5300000000002</v>
      </c>
      <c r="H42" s="125"/>
    </row>
    <row r="43" spans="1:8">
      <c r="A43" s="442">
        <v>34</v>
      </c>
      <c r="B43" s="446" t="s">
        <v>2585</v>
      </c>
      <c r="C43" s="434"/>
      <c r="D43" s="457">
        <v>45</v>
      </c>
      <c r="E43" s="443" t="s">
        <v>220</v>
      </c>
      <c r="F43" s="448" t="s">
        <v>2640</v>
      </c>
      <c r="G43" s="444">
        <f t="shared" si="0"/>
        <v>1126.5300000000002</v>
      </c>
      <c r="H43" s="125"/>
    </row>
    <row r="44" spans="1:8">
      <c r="A44" s="442">
        <v>35</v>
      </c>
      <c r="B44" s="446" t="s">
        <v>2586</v>
      </c>
      <c r="C44" s="434"/>
      <c r="D44" s="457">
        <v>135</v>
      </c>
      <c r="E44" s="443" t="s">
        <v>220</v>
      </c>
      <c r="F44" s="448" t="s">
        <v>2641</v>
      </c>
      <c r="G44" s="444">
        <f t="shared" si="0"/>
        <v>991.5300000000002</v>
      </c>
      <c r="H44" s="125"/>
    </row>
    <row r="45" spans="1:8">
      <c r="A45" s="442">
        <v>36</v>
      </c>
      <c r="B45" s="446" t="s">
        <v>2580</v>
      </c>
      <c r="C45" s="434"/>
      <c r="D45" s="457">
        <v>15</v>
      </c>
      <c r="E45" s="443" t="s">
        <v>220</v>
      </c>
      <c r="F45" s="448" t="s">
        <v>2642</v>
      </c>
      <c r="G45" s="444">
        <f t="shared" si="0"/>
        <v>976.5300000000002</v>
      </c>
      <c r="H45" s="125"/>
    </row>
    <row r="46" spans="1:8">
      <c r="A46" s="442">
        <v>37</v>
      </c>
      <c r="B46" s="446" t="s">
        <v>2580</v>
      </c>
      <c r="C46" s="434"/>
      <c r="D46" s="457">
        <v>50</v>
      </c>
      <c r="E46" s="443" t="s">
        <v>220</v>
      </c>
      <c r="F46" s="448" t="s">
        <v>2639</v>
      </c>
      <c r="G46" s="444">
        <f t="shared" si="0"/>
        <v>926.5300000000002</v>
      </c>
      <c r="H46" s="125"/>
    </row>
    <row r="47" spans="1:8">
      <c r="A47" s="442">
        <v>38</v>
      </c>
      <c r="B47" s="446" t="s">
        <v>2587</v>
      </c>
      <c r="C47" s="434"/>
      <c r="D47" s="457">
        <v>51</v>
      </c>
      <c r="E47" s="443" t="s">
        <v>220</v>
      </c>
      <c r="F47" s="448" t="s">
        <v>2643</v>
      </c>
      <c r="G47" s="444">
        <f t="shared" si="0"/>
        <v>875.5300000000002</v>
      </c>
      <c r="H47" s="125"/>
    </row>
    <row r="48" spans="1:8" ht="30">
      <c r="A48" s="442">
        <v>39</v>
      </c>
      <c r="B48" s="446" t="s">
        <v>2588</v>
      </c>
      <c r="C48" s="434"/>
      <c r="D48" s="457">
        <v>30</v>
      </c>
      <c r="E48" s="443" t="s">
        <v>220</v>
      </c>
      <c r="F48" s="448" t="s">
        <v>2644</v>
      </c>
      <c r="G48" s="444">
        <f t="shared" si="0"/>
        <v>845.5300000000002</v>
      </c>
      <c r="H48" s="125"/>
    </row>
    <row r="49" spans="1:8">
      <c r="A49" s="442">
        <v>40</v>
      </c>
      <c r="B49" s="446" t="s">
        <v>2589</v>
      </c>
      <c r="C49" s="434"/>
      <c r="D49" s="457">
        <v>3.65</v>
      </c>
      <c r="E49" s="443" t="s">
        <v>220</v>
      </c>
      <c r="F49" s="448" t="s">
        <v>2645</v>
      </c>
      <c r="G49" s="444">
        <f t="shared" si="0"/>
        <v>841.88000000000022</v>
      </c>
      <c r="H49" s="125"/>
    </row>
    <row r="50" spans="1:8">
      <c r="A50" s="442">
        <v>41</v>
      </c>
      <c r="B50" s="446" t="s">
        <v>2590</v>
      </c>
      <c r="C50" s="434"/>
      <c r="D50" s="457">
        <v>80</v>
      </c>
      <c r="E50" s="443" t="s">
        <v>220</v>
      </c>
      <c r="F50" s="448" t="s">
        <v>2646</v>
      </c>
      <c r="G50" s="444">
        <f t="shared" si="0"/>
        <v>761.88000000000022</v>
      </c>
      <c r="H50" s="125"/>
    </row>
    <row r="51" spans="1:8">
      <c r="A51" s="442">
        <v>42</v>
      </c>
      <c r="B51" s="446" t="s">
        <v>2591</v>
      </c>
      <c r="C51" s="434"/>
      <c r="D51" s="457">
        <v>10</v>
      </c>
      <c r="E51" s="443" t="s">
        <v>220</v>
      </c>
      <c r="F51" s="448" t="s">
        <v>2647</v>
      </c>
      <c r="G51" s="444">
        <f t="shared" si="0"/>
        <v>751.88000000000022</v>
      </c>
      <c r="H51" s="125"/>
    </row>
    <row r="52" spans="1:8">
      <c r="A52" s="442">
        <v>43</v>
      </c>
      <c r="B52" s="446" t="s">
        <v>2592</v>
      </c>
      <c r="C52" s="434"/>
      <c r="D52" s="457">
        <v>20</v>
      </c>
      <c r="E52" s="443" t="s">
        <v>220</v>
      </c>
      <c r="F52" s="448" t="s">
        <v>2647</v>
      </c>
      <c r="G52" s="444">
        <f t="shared" si="0"/>
        <v>731.88000000000022</v>
      </c>
      <c r="H52" s="125"/>
    </row>
    <row r="53" spans="1:8">
      <c r="A53" s="442">
        <v>44</v>
      </c>
      <c r="B53" s="446" t="s">
        <v>2593</v>
      </c>
      <c r="C53" s="434"/>
      <c r="D53" s="457">
        <v>90</v>
      </c>
      <c r="E53" s="443" t="s">
        <v>220</v>
      </c>
      <c r="F53" s="448" t="s">
        <v>2648</v>
      </c>
      <c r="G53" s="444">
        <f t="shared" si="0"/>
        <v>641.88000000000022</v>
      </c>
      <c r="H53" s="125"/>
    </row>
    <row r="54" spans="1:8">
      <c r="A54" s="442">
        <v>45</v>
      </c>
      <c r="B54" s="446" t="s">
        <v>2594</v>
      </c>
      <c r="C54" s="434"/>
      <c r="D54" s="457">
        <v>175</v>
      </c>
      <c r="E54" s="443" t="s">
        <v>220</v>
      </c>
      <c r="F54" s="448" t="s">
        <v>2642</v>
      </c>
      <c r="G54" s="444">
        <f t="shared" si="0"/>
        <v>466.88000000000022</v>
      </c>
      <c r="H54" s="125"/>
    </row>
    <row r="55" spans="1:8">
      <c r="A55" s="442">
        <v>46</v>
      </c>
      <c r="B55" s="446" t="s">
        <v>2594</v>
      </c>
      <c r="C55" s="434"/>
      <c r="D55" s="457">
        <v>30</v>
      </c>
      <c r="E55" s="443" t="s">
        <v>220</v>
      </c>
      <c r="F55" s="448" t="s">
        <v>2649</v>
      </c>
      <c r="G55" s="444">
        <f t="shared" si="0"/>
        <v>436.88000000000022</v>
      </c>
      <c r="H55" s="125"/>
    </row>
    <row r="56" spans="1:8">
      <c r="A56" s="442">
        <v>47</v>
      </c>
      <c r="B56" s="446" t="s">
        <v>2594</v>
      </c>
      <c r="C56" s="434"/>
      <c r="D56" s="457">
        <v>60</v>
      </c>
      <c r="E56" s="443" t="s">
        <v>220</v>
      </c>
      <c r="F56" s="448" t="s">
        <v>2650</v>
      </c>
      <c r="G56" s="444">
        <f t="shared" si="0"/>
        <v>376.88000000000022</v>
      </c>
      <c r="H56" s="125"/>
    </row>
    <row r="57" spans="1:8">
      <c r="A57" s="442">
        <v>48</v>
      </c>
      <c r="B57" s="446" t="s">
        <v>2595</v>
      </c>
      <c r="C57" s="434"/>
      <c r="D57" s="457">
        <v>60</v>
      </c>
      <c r="E57" s="443" t="s">
        <v>220</v>
      </c>
      <c r="F57" s="448" t="s">
        <v>2651</v>
      </c>
      <c r="G57" s="444">
        <f t="shared" si="0"/>
        <v>316.88000000000022</v>
      </c>
      <c r="H57" s="125"/>
    </row>
    <row r="58" spans="1:8">
      <c r="A58" s="442">
        <v>49</v>
      </c>
      <c r="B58" s="446" t="s">
        <v>2596</v>
      </c>
      <c r="C58" s="459">
        <v>5000</v>
      </c>
      <c r="D58" s="457"/>
      <c r="E58" s="443" t="s">
        <v>220</v>
      </c>
      <c r="F58" s="448" t="s">
        <v>2626</v>
      </c>
      <c r="G58" s="444">
        <f t="shared" si="0"/>
        <v>5316.88</v>
      </c>
      <c r="H58" s="125"/>
    </row>
    <row r="59" spans="1:8">
      <c r="A59" s="442">
        <v>50</v>
      </c>
      <c r="B59" s="446" t="s">
        <v>2596</v>
      </c>
      <c r="C59" s="459"/>
      <c r="D59" s="457">
        <f>2*12*15</f>
        <v>360</v>
      </c>
      <c r="E59" s="443" t="s">
        <v>220</v>
      </c>
      <c r="F59" s="448" t="s">
        <v>2652</v>
      </c>
      <c r="G59" s="444">
        <f t="shared" si="0"/>
        <v>4956.88</v>
      </c>
      <c r="H59" s="125"/>
    </row>
    <row r="60" spans="1:8">
      <c r="A60" s="442">
        <v>51</v>
      </c>
      <c r="B60" s="446" t="s">
        <v>2597</v>
      </c>
      <c r="C60" s="459"/>
      <c r="D60" s="457">
        <v>15</v>
      </c>
      <c r="E60" s="443" t="s">
        <v>220</v>
      </c>
      <c r="F60" s="448" t="s">
        <v>2653</v>
      </c>
      <c r="G60" s="444">
        <f t="shared" si="0"/>
        <v>4941.88</v>
      </c>
      <c r="H60" s="125"/>
    </row>
    <row r="61" spans="1:8">
      <c r="A61" s="442">
        <v>52</v>
      </c>
      <c r="B61" s="446" t="s">
        <v>2597</v>
      </c>
      <c r="C61" s="459"/>
      <c r="D61" s="457">
        <v>45</v>
      </c>
      <c r="E61" s="443" t="s">
        <v>220</v>
      </c>
      <c r="F61" s="448" t="s">
        <v>2654</v>
      </c>
      <c r="G61" s="444">
        <f t="shared" si="0"/>
        <v>4896.88</v>
      </c>
      <c r="H61" s="125"/>
    </row>
    <row r="62" spans="1:8">
      <c r="A62" s="442">
        <v>53</v>
      </c>
      <c r="B62" s="446" t="s">
        <v>2598</v>
      </c>
      <c r="C62" s="459"/>
      <c r="D62" s="457">
        <v>140</v>
      </c>
      <c r="E62" s="443" t="s">
        <v>220</v>
      </c>
      <c r="F62" s="448" t="s">
        <v>2666</v>
      </c>
      <c r="G62" s="444">
        <f t="shared" si="0"/>
        <v>4756.88</v>
      </c>
      <c r="H62" s="125"/>
    </row>
    <row r="63" spans="1:8">
      <c r="A63" s="442">
        <v>54</v>
      </c>
      <c r="B63" s="446" t="s">
        <v>2599</v>
      </c>
      <c r="C63" s="459"/>
      <c r="D63" s="457">
        <v>160.75</v>
      </c>
      <c r="E63" s="443" t="s">
        <v>220</v>
      </c>
      <c r="F63" s="448" t="s">
        <v>2667</v>
      </c>
      <c r="G63" s="444">
        <f t="shared" si="0"/>
        <v>4596.13</v>
      </c>
      <c r="H63" s="125"/>
    </row>
    <row r="64" spans="1:8">
      <c r="A64" s="442">
        <v>55</v>
      </c>
      <c r="B64" s="446" t="s">
        <v>2600</v>
      </c>
      <c r="C64" s="459"/>
      <c r="D64" s="457">
        <f>120</f>
        <v>120</v>
      </c>
      <c r="E64" s="443" t="s">
        <v>220</v>
      </c>
      <c r="F64" s="448" t="s">
        <v>2652</v>
      </c>
      <c r="G64" s="444">
        <f t="shared" si="0"/>
        <v>4476.13</v>
      </c>
      <c r="H64" s="125"/>
    </row>
    <row r="65" spans="1:8">
      <c r="A65" s="442">
        <v>56</v>
      </c>
      <c r="B65" s="446" t="s">
        <v>2601</v>
      </c>
      <c r="C65" s="459"/>
      <c r="D65" s="457">
        <v>158.25</v>
      </c>
      <c r="E65" s="443" t="s">
        <v>220</v>
      </c>
      <c r="F65" s="448" t="s">
        <v>2666</v>
      </c>
      <c r="G65" s="444">
        <f t="shared" si="0"/>
        <v>4317.88</v>
      </c>
      <c r="H65" s="125"/>
    </row>
    <row r="66" spans="1:8">
      <c r="A66" s="442">
        <v>57</v>
      </c>
      <c r="B66" s="446" t="s">
        <v>2602</v>
      </c>
      <c r="C66" s="459"/>
      <c r="D66" s="457">
        <v>150</v>
      </c>
      <c r="E66" s="443" t="s">
        <v>220</v>
      </c>
      <c r="F66" s="448" t="s">
        <v>2666</v>
      </c>
      <c r="G66" s="444">
        <f t="shared" si="0"/>
        <v>4167.88</v>
      </c>
      <c r="H66" s="125"/>
    </row>
    <row r="67" spans="1:8">
      <c r="A67" s="442">
        <v>58</v>
      </c>
      <c r="B67" s="446" t="s">
        <v>2603</v>
      </c>
      <c r="C67" s="459"/>
      <c r="D67" s="457">
        <v>45</v>
      </c>
      <c r="E67" s="443" t="s">
        <v>220</v>
      </c>
      <c r="F67" s="448" t="s">
        <v>2655</v>
      </c>
      <c r="G67" s="444">
        <f t="shared" si="0"/>
        <v>4122.88</v>
      </c>
      <c r="H67" s="125"/>
    </row>
    <row r="68" spans="1:8">
      <c r="A68" s="442">
        <v>59</v>
      </c>
      <c r="B68" s="446" t="s">
        <v>2604</v>
      </c>
      <c r="C68" s="459"/>
      <c r="D68" s="457">
        <f>4*2*15</f>
        <v>120</v>
      </c>
      <c r="E68" s="443" t="s">
        <v>220</v>
      </c>
      <c r="F68" s="448" t="s">
        <v>2652</v>
      </c>
      <c r="G68" s="444">
        <f t="shared" si="0"/>
        <v>4002.88</v>
      </c>
      <c r="H68" s="125"/>
    </row>
    <row r="69" spans="1:8">
      <c r="A69" s="442">
        <v>60</v>
      </c>
      <c r="B69" s="446" t="s">
        <v>2604</v>
      </c>
      <c r="C69" s="459"/>
      <c r="D69" s="457">
        <v>130</v>
      </c>
      <c r="E69" s="443" t="s">
        <v>220</v>
      </c>
      <c r="F69" s="448" t="s">
        <v>2656</v>
      </c>
      <c r="G69" s="444">
        <f t="shared" si="0"/>
        <v>3872.88</v>
      </c>
      <c r="H69" s="125"/>
    </row>
    <row r="70" spans="1:8">
      <c r="A70" s="442">
        <v>61</v>
      </c>
      <c r="B70" s="446" t="s">
        <v>2605</v>
      </c>
      <c r="C70" s="459"/>
      <c r="D70" s="457">
        <v>5.54</v>
      </c>
      <c r="E70" s="443" t="s">
        <v>220</v>
      </c>
      <c r="F70" s="448" t="s">
        <v>2657</v>
      </c>
      <c r="G70" s="444">
        <f t="shared" si="0"/>
        <v>3867.34</v>
      </c>
      <c r="H70" s="125"/>
    </row>
    <row r="71" spans="1:8">
      <c r="A71" s="442">
        <v>62</v>
      </c>
      <c r="B71" s="446" t="s">
        <v>2605</v>
      </c>
      <c r="C71" s="459"/>
      <c r="D71" s="457">
        <v>3.65</v>
      </c>
      <c r="E71" s="443" t="s">
        <v>220</v>
      </c>
      <c r="F71" s="448" t="s">
        <v>2639</v>
      </c>
      <c r="G71" s="444">
        <f t="shared" si="0"/>
        <v>3863.69</v>
      </c>
      <c r="H71" s="125"/>
    </row>
    <row r="72" spans="1:8" ht="30">
      <c r="A72" s="442">
        <v>63</v>
      </c>
      <c r="B72" s="446" t="s">
        <v>2606</v>
      </c>
      <c r="C72" s="459"/>
      <c r="D72" s="457">
        <v>3000</v>
      </c>
      <c r="E72" s="443" t="s">
        <v>220</v>
      </c>
      <c r="F72" s="448" t="s">
        <v>2658</v>
      </c>
      <c r="G72" s="444">
        <f t="shared" si="0"/>
        <v>863.69</v>
      </c>
      <c r="H72" s="125"/>
    </row>
    <row r="73" spans="1:8">
      <c r="A73" s="442">
        <v>64</v>
      </c>
      <c r="B73" s="446" t="s">
        <v>2607</v>
      </c>
      <c r="C73" s="459">
        <v>7000</v>
      </c>
      <c r="D73" s="457"/>
      <c r="E73" s="443" t="s">
        <v>220</v>
      </c>
      <c r="F73" s="448" t="s">
        <v>2626</v>
      </c>
      <c r="G73" s="444">
        <f t="shared" si="0"/>
        <v>7863.6900000000005</v>
      </c>
      <c r="H73" s="125"/>
    </row>
    <row r="74" spans="1:8" ht="30">
      <c r="A74" s="442">
        <v>65</v>
      </c>
      <c r="B74" s="446" t="s">
        <v>2607</v>
      </c>
      <c r="C74" s="459"/>
      <c r="D74" s="457">
        <v>6190</v>
      </c>
      <c r="E74" s="443" t="s">
        <v>220</v>
      </c>
      <c r="F74" s="448" t="s">
        <v>2659</v>
      </c>
      <c r="G74" s="444">
        <f t="shared" si="0"/>
        <v>1673.6900000000005</v>
      </c>
      <c r="H74" s="125"/>
    </row>
    <row r="75" spans="1:8" ht="30">
      <c r="A75" s="442">
        <v>66</v>
      </c>
      <c r="B75" s="446" t="s">
        <v>2608</v>
      </c>
      <c r="C75" s="459"/>
      <c r="D75" s="457">
        <v>1500</v>
      </c>
      <c r="E75" s="443" t="s">
        <v>220</v>
      </c>
      <c r="F75" s="448" t="s">
        <v>2659</v>
      </c>
      <c r="G75" s="444">
        <f t="shared" ref="G75:G138" si="1">G74+C75-D75</f>
        <v>173.69000000000051</v>
      </c>
      <c r="H75" s="125"/>
    </row>
    <row r="76" spans="1:8">
      <c r="A76" s="442">
        <v>67</v>
      </c>
      <c r="B76" s="446" t="s">
        <v>2609</v>
      </c>
      <c r="C76" s="459">
        <v>1697</v>
      </c>
      <c r="D76" s="457"/>
      <c r="E76" s="443" t="s">
        <v>220</v>
      </c>
      <c r="F76" s="448" t="s">
        <v>2660</v>
      </c>
      <c r="G76" s="444">
        <f t="shared" si="1"/>
        <v>1870.6900000000005</v>
      </c>
      <c r="H76" s="125"/>
    </row>
    <row r="77" spans="1:8" ht="30">
      <c r="A77" s="442">
        <v>68</v>
      </c>
      <c r="B77" s="446" t="s">
        <v>2609</v>
      </c>
      <c r="C77" s="459"/>
      <c r="D77" s="457">
        <v>1625</v>
      </c>
      <c r="E77" s="443" t="s">
        <v>220</v>
      </c>
      <c r="F77" s="448" t="s">
        <v>2659</v>
      </c>
      <c r="G77" s="444">
        <f t="shared" si="1"/>
        <v>245.69000000000051</v>
      </c>
      <c r="H77" s="125"/>
    </row>
    <row r="78" spans="1:8">
      <c r="A78" s="442">
        <v>69</v>
      </c>
      <c r="B78" s="446" t="s">
        <v>2609</v>
      </c>
      <c r="C78" s="459"/>
      <c r="D78" s="457">
        <v>60</v>
      </c>
      <c r="E78" s="443" t="s">
        <v>220</v>
      </c>
      <c r="F78" s="448" t="s">
        <v>2661</v>
      </c>
      <c r="G78" s="444">
        <f t="shared" si="1"/>
        <v>185.69000000000051</v>
      </c>
      <c r="H78" s="125"/>
    </row>
    <row r="79" spans="1:8">
      <c r="A79" s="442">
        <v>70</v>
      </c>
      <c r="B79" s="446" t="s">
        <v>2609</v>
      </c>
      <c r="C79" s="459"/>
      <c r="D79" s="457">
        <v>30</v>
      </c>
      <c r="E79" s="443" t="s">
        <v>220</v>
      </c>
      <c r="F79" s="448" t="s">
        <v>2662</v>
      </c>
      <c r="G79" s="444">
        <f t="shared" si="1"/>
        <v>155.69000000000051</v>
      </c>
      <c r="H79" s="125"/>
    </row>
    <row r="80" spans="1:8">
      <c r="A80" s="442">
        <v>71</v>
      </c>
      <c r="B80" s="446" t="s">
        <v>2609</v>
      </c>
      <c r="C80" s="459"/>
      <c r="D80" s="457">
        <v>150</v>
      </c>
      <c r="E80" s="443" t="s">
        <v>220</v>
      </c>
      <c r="F80" s="448" t="s">
        <v>2663</v>
      </c>
      <c r="G80" s="444">
        <f t="shared" si="1"/>
        <v>5.6900000000005093</v>
      </c>
      <c r="H80" s="125"/>
    </row>
    <row r="81" spans="1:8">
      <c r="A81" s="442">
        <v>72</v>
      </c>
      <c r="B81" s="447" t="s">
        <v>2572</v>
      </c>
      <c r="C81" s="459">
        <v>15000</v>
      </c>
      <c r="D81" s="457"/>
      <c r="E81" s="443" t="s">
        <v>220</v>
      </c>
      <c r="F81" s="452" t="s">
        <v>2664</v>
      </c>
      <c r="G81" s="444">
        <f t="shared" si="1"/>
        <v>15005.69</v>
      </c>
      <c r="H81" s="125"/>
    </row>
    <row r="82" spans="1:8">
      <c r="A82" s="442">
        <v>73</v>
      </c>
      <c r="B82" s="447" t="s">
        <v>2573</v>
      </c>
      <c r="C82" s="459">
        <v>2000</v>
      </c>
      <c r="D82" s="457"/>
      <c r="E82" s="443" t="s">
        <v>220</v>
      </c>
      <c r="F82" s="452" t="s">
        <v>2665</v>
      </c>
      <c r="G82" s="444">
        <f t="shared" si="1"/>
        <v>17005.690000000002</v>
      </c>
      <c r="H82" s="125"/>
    </row>
    <row r="83" spans="1:8">
      <c r="A83" s="442">
        <v>74</v>
      </c>
      <c r="B83" s="447" t="s">
        <v>2573</v>
      </c>
      <c r="C83" s="434"/>
      <c r="D83" s="457">
        <v>150</v>
      </c>
      <c r="E83" s="443" t="s">
        <v>220</v>
      </c>
      <c r="F83" s="448" t="s">
        <v>2206</v>
      </c>
      <c r="G83" s="444">
        <f t="shared" si="1"/>
        <v>16855.690000000002</v>
      </c>
      <c r="H83" s="125"/>
    </row>
    <row r="84" spans="1:8">
      <c r="A84" s="442">
        <v>75</v>
      </c>
      <c r="B84" s="447" t="s">
        <v>2573</v>
      </c>
      <c r="C84" s="434"/>
      <c r="D84" s="457">
        <v>150</v>
      </c>
      <c r="E84" s="443" t="s">
        <v>220</v>
      </c>
      <c r="F84" s="448" t="s">
        <v>2206</v>
      </c>
      <c r="G84" s="444">
        <f t="shared" si="1"/>
        <v>16705.690000000002</v>
      </c>
      <c r="H84" s="125"/>
    </row>
    <row r="85" spans="1:8">
      <c r="A85" s="442">
        <v>76</v>
      </c>
      <c r="B85" s="447" t="s">
        <v>2573</v>
      </c>
      <c r="C85" s="434"/>
      <c r="D85" s="457">
        <v>150</v>
      </c>
      <c r="E85" s="443" t="s">
        <v>220</v>
      </c>
      <c r="F85" s="448" t="s">
        <v>2206</v>
      </c>
      <c r="G85" s="444">
        <f t="shared" si="1"/>
        <v>16555.690000000002</v>
      </c>
      <c r="H85" s="125"/>
    </row>
    <row r="86" spans="1:8">
      <c r="A86" s="442">
        <v>77</v>
      </c>
      <c r="B86" s="447" t="s">
        <v>2573</v>
      </c>
      <c r="C86" s="434"/>
      <c r="D86" s="457">
        <v>150</v>
      </c>
      <c r="E86" s="443" t="s">
        <v>220</v>
      </c>
      <c r="F86" s="448" t="s">
        <v>2206</v>
      </c>
      <c r="G86" s="444">
        <f t="shared" si="1"/>
        <v>16405.690000000002</v>
      </c>
      <c r="H86" s="125"/>
    </row>
    <row r="87" spans="1:8">
      <c r="A87" s="442">
        <v>78</v>
      </c>
      <c r="B87" s="447" t="s">
        <v>2573</v>
      </c>
      <c r="C87" s="434"/>
      <c r="D87" s="457">
        <v>150</v>
      </c>
      <c r="E87" s="443" t="s">
        <v>220</v>
      </c>
      <c r="F87" s="448" t="s">
        <v>2206</v>
      </c>
      <c r="G87" s="444">
        <f t="shared" si="1"/>
        <v>16255.690000000002</v>
      </c>
      <c r="H87" s="125"/>
    </row>
    <row r="88" spans="1:8">
      <c r="A88" s="442">
        <v>79</v>
      </c>
      <c r="B88" s="447" t="s">
        <v>2573</v>
      </c>
      <c r="C88" s="434"/>
      <c r="D88" s="457">
        <v>150</v>
      </c>
      <c r="E88" s="443" t="s">
        <v>220</v>
      </c>
      <c r="F88" s="448" t="s">
        <v>2206</v>
      </c>
      <c r="G88" s="444">
        <f t="shared" si="1"/>
        <v>16105.690000000002</v>
      </c>
      <c r="H88" s="125"/>
    </row>
    <row r="89" spans="1:8">
      <c r="A89" s="442">
        <v>80</v>
      </c>
      <c r="B89" s="447" t="s">
        <v>2573</v>
      </c>
      <c r="C89" s="434"/>
      <c r="D89" s="457">
        <v>150</v>
      </c>
      <c r="E89" s="443" t="s">
        <v>220</v>
      </c>
      <c r="F89" s="448" t="s">
        <v>2206</v>
      </c>
      <c r="G89" s="444">
        <f t="shared" si="1"/>
        <v>15955.690000000002</v>
      </c>
      <c r="H89" s="125"/>
    </row>
    <row r="90" spans="1:8">
      <c r="A90" s="442">
        <v>81</v>
      </c>
      <c r="B90" s="447" t="s">
        <v>2573</v>
      </c>
      <c r="C90" s="434"/>
      <c r="D90" s="457">
        <v>150</v>
      </c>
      <c r="E90" s="443" t="s">
        <v>220</v>
      </c>
      <c r="F90" s="448" t="s">
        <v>2206</v>
      </c>
      <c r="G90" s="444">
        <f t="shared" si="1"/>
        <v>15805.690000000002</v>
      </c>
      <c r="H90" s="125"/>
    </row>
    <row r="91" spans="1:8">
      <c r="A91" s="442">
        <v>82</v>
      </c>
      <c r="B91" s="447" t="s">
        <v>2573</v>
      </c>
      <c r="C91" s="434"/>
      <c r="D91" s="457">
        <v>150</v>
      </c>
      <c r="E91" s="443" t="s">
        <v>220</v>
      </c>
      <c r="F91" s="448" t="s">
        <v>2206</v>
      </c>
      <c r="G91" s="444">
        <f t="shared" si="1"/>
        <v>15655.690000000002</v>
      </c>
      <c r="H91" s="125"/>
    </row>
    <row r="92" spans="1:8">
      <c r="A92" s="442">
        <v>83</v>
      </c>
      <c r="B92" s="447" t="s">
        <v>2573</v>
      </c>
      <c r="C92" s="434"/>
      <c r="D92" s="457">
        <v>150</v>
      </c>
      <c r="E92" s="443" t="s">
        <v>220</v>
      </c>
      <c r="F92" s="448" t="s">
        <v>2206</v>
      </c>
      <c r="G92" s="444">
        <f t="shared" si="1"/>
        <v>15505.690000000002</v>
      </c>
      <c r="H92" s="125"/>
    </row>
    <row r="93" spans="1:8">
      <c r="A93" s="442">
        <v>84</v>
      </c>
      <c r="B93" s="447" t="s">
        <v>2573</v>
      </c>
      <c r="C93" s="434"/>
      <c r="D93" s="457">
        <v>150</v>
      </c>
      <c r="E93" s="443" t="s">
        <v>220</v>
      </c>
      <c r="F93" s="448" t="s">
        <v>2206</v>
      </c>
      <c r="G93" s="444">
        <f t="shared" si="1"/>
        <v>15355.690000000002</v>
      </c>
      <c r="H93" s="125"/>
    </row>
    <row r="94" spans="1:8">
      <c r="A94" s="442">
        <v>85</v>
      </c>
      <c r="B94" s="447" t="s">
        <v>2573</v>
      </c>
      <c r="C94" s="434"/>
      <c r="D94" s="457">
        <v>150</v>
      </c>
      <c r="E94" s="443" t="s">
        <v>220</v>
      </c>
      <c r="F94" s="448" t="s">
        <v>2206</v>
      </c>
      <c r="G94" s="444">
        <f t="shared" si="1"/>
        <v>15205.690000000002</v>
      </c>
      <c r="H94" s="125"/>
    </row>
    <row r="95" spans="1:8">
      <c r="A95" s="442">
        <v>86</v>
      </c>
      <c r="B95" s="447" t="s">
        <v>2573</v>
      </c>
      <c r="C95" s="434"/>
      <c r="D95" s="457">
        <v>150</v>
      </c>
      <c r="E95" s="443" t="s">
        <v>220</v>
      </c>
      <c r="F95" s="448" t="s">
        <v>2206</v>
      </c>
      <c r="G95" s="444">
        <f t="shared" si="1"/>
        <v>15055.690000000002</v>
      </c>
      <c r="H95" s="125"/>
    </row>
    <row r="96" spans="1:8">
      <c r="A96" s="442">
        <v>87</v>
      </c>
      <c r="B96" s="447" t="s">
        <v>2573</v>
      </c>
      <c r="C96" s="434"/>
      <c r="D96" s="457">
        <v>150</v>
      </c>
      <c r="E96" s="443" t="s">
        <v>220</v>
      </c>
      <c r="F96" s="448" t="s">
        <v>2206</v>
      </c>
      <c r="G96" s="444">
        <f t="shared" si="1"/>
        <v>14905.690000000002</v>
      </c>
      <c r="H96" s="125"/>
    </row>
    <row r="97" spans="1:8">
      <c r="A97" s="442">
        <v>88</v>
      </c>
      <c r="B97" s="447" t="s">
        <v>2573</v>
      </c>
      <c r="C97" s="434"/>
      <c r="D97" s="457">
        <v>187.5</v>
      </c>
      <c r="E97" s="443" t="s">
        <v>220</v>
      </c>
      <c r="F97" s="448" t="s">
        <v>2206</v>
      </c>
      <c r="G97" s="444">
        <f t="shared" si="1"/>
        <v>14718.190000000002</v>
      </c>
      <c r="H97" s="125"/>
    </row>
    <row r="98" spans="1:8">
      <c r="A98" s="442">
        <v>89</v>
      </c>
      <c r="B98" s="447" t="s">
        <v>2573</v>
      </c>
      <c r="C98" s="434"/>
      <c r="D98" s="457">
        <v>150</v>
      </c>
      <c r="E98" s="443" t="s">
        <v>220</v>
      </c>
      <c r="F98" s="448" t="s">
        <v>2206</v>
      </c>
      <c r="G98" s="444">
        <f t="shared" si="1"/>
        <v>14568.190000000002</v>
      </c>
      <c r="H98" s="125"/>
    </row>
    <row r="99" spans="1:8">
      <c r="A99" s="442">
        <v>90</v>
      </c>
      <c r="B99" s="447" t="s">
        <v>2573</v>
      </c>
      <c r="C99" s="434"/>
      <c r="D99" s="457">
        <v>150</v>
      </c>
      <c r="E99" s="443" t="s">
        <v>220</v>
      </c>
      <c r="F99" s="448" t="s">
        <v>2206</v>
      </c>
      <c r="G99" s="444">
        <f t="shared" si="1"/>
        <v>14418.190000000002</v>
      </c>
      <c r="H99" s="125"/>
    </row>
    <row r="100" spans="1:8">
      <c r="A100" s="442">
        <v>91</v>
      </c>
      <c r="B100" s="447" t="s">
        <v>2573</v>
      </c>
      <c r="C100" s="434"/>
      <c r="D100" s="457">
        <v>150</v>
      </c>
      <c r="E100" s="443" t="s">
        <v>220</v>
      </c>
      <c r="F100" s="448" t="s">
        <v>2206</v>
      </c>
      <c r="G100" s="444">
        <f t="shared" si="1"/>
        <v>14268.190000000002</v>
      </c>
      <c r="H100" s="125"/>
    </row>
    <row r="101" spans="1:8">
      <c r="A101" s="442">
        <v>92</v>
      </c>
      <c r="B101" s="447" t="s">
        <v>2573</v>
      </c>
      <c r="C101" s="434"/>
      <c r="D101" s="457">
        <v>150</v>
      </c>
      <c r="E101" s="443" t="s">
        <v>220</v>
      </c>
      <c r="F101" s="448" t="s">
        <v>2206</v>
      </c>
      <c r="G101" s="444">
        <f t="shared" si="1"/>
        <v>14118.190000000002</v>
      </c>
      <c r="H101" s="125"/>
    </row>
    <row r="102" spans="1:8">
      <c r="A102" s="442">
        <v>93</v>
      </c>
      <c r="B102" s="447" t="s">
        <v>2573</v>
      </c>
      <c r="C102" s="434"/>
      <c r="D102" s="457">
        <v>150</v>
      </c>
      <c r="E102" s="443" t="s">
        <v>220</v>
      </c>
      <c r="F102" s="448" t="s">
        <v>2206</v>
      </c>
      <c r="G102" s="444">
        <f t="shared" si="1"/>
        <v>13968.190000000002</v>
      </c>
      <c r="H102" s="125"/>
    </row>
    <row r="103" spans="1:8">
      <c r="A103" s="442">
        <v>94</v>
      </c>
      <c r="B103" s="447" t="s">
        <v>2573</v>
      </c>
      <c r="C103" s="434"/>
      <c r="D103" s="457">
        <v>150</v>
      </c>
      <c r="E103" s="443" t="s">
        <v>220</v>
      </c>
      <c r="F103" s="448" t="s">
        <v>2206</v>
      </c>
      <c r="G103" s="444">
        <f t="shared" si="1"/>
        <v>13818.190000000002</v>
      </c>
      <c r="H103" s="125"/>
    </row>
    <row r="104" spans="1:8">
      <c r="A104" s="442">
        <v>95</v>
      </c>
      <c r="B104" s="447" t="s">
        <v>2574</v>
      </c>
      <c r="C104" s="434"/>
      <c r="D104" s="458">
        <v>100</v>
      </c>
      <c r="E104" s="443" t="s">
        <v>220</v>
      </c>
      <c r="F104" s="445" t="s">
        <v>506</v>
      </c>
      <c r="G104" s="444">
        <f t="shared" si="1"/>
        <v>13718.190000000002</v>
      </c>
      <c r="H104" s="125"/>
    </row>
    <row r="105" spans="1:8">
      <c r="A105" s="442">
        <v>96</v>
      </c>
      <c r="B105" s="447" t="s">
        <v>2574</v>
      </c>
      <c r="C105" s="434"/>
      <c r="D105" s="458">
        <v>100</v>
      </c>
      <c r="E105" s="443" t="s">
        <v>220</v>
      </c>
      <c r="F105" s="445" t="s">
        <v>506</v>
      </c>
      <c r="G105" s="444">
        <f t="shared" si="1"/>
        <v>13618.190000000002</v>
      </c>
      <c r="H105" s="125"/>
    </row>
    <row r="106" spans="1:8">
      <c r="A106" s="442">
        <v>97</v>
      </c>
      <c r="B106" s="447" t="s">
        <v>2574</v>
      </c>
      <c r="C106" s="434"/>
      <c r="D106" s="458">
        <v>100</v>
      </c>
      <c r="E106" s="443" t="s">
        <v>220</v>
      </c>
      <c r="F106" s="445" t="s">
        <v>506</v>
      </c>
      <c r="G106" s="444">
        <f t="shared" si="1"/>
        <v>13518.190000000002</v>
      </c>
      <c r="H106" s="125"/>
    </row>
    <row r="107" spans="1:8">
      <c r="A107" s="442">
        <v>98</v>
      </c>
      <c r="B107" s="447" t="s">
        <v>2574</v>
      </c>
      <c r="C107" s="434"/>
      <c r="D107" s="458">
        <v>100</v>
      </c>
      <c r="E107" s="443" t="s">
        <v>220</v>
      </c>
      <c r="F107" s="445" t="s">
        <v>506</v>
      </c>
      <c r="G107" s="444">
        <f t="shared" si="1"/>
        <v>13418.190000000002</v>
      </c>
      <c r="H107" s="125"/>
    </row>
    <row r="108" spans="1:8">
      <c r="A108" s="442">
        <v>99</v>
      </c>
      <c r="B108" s="447" t="s">
        <v>2574</v>
      </c>
      <c r="C108" s="434"/>
      <c r="D108" s="458">
        <v>100</v>
      </c>
      <c r="E108" s="443" t="s">
        <v>220</v>
      </c>
      <c r="F108" s="445" t="s">
        <v>506</v>
      </c>
      <c r="G108" s="444">
        <f t="shared" si="1"/>
        <v>13318.190000000002</v>
      </c>
      <c r="H108" s="125"/>
    </row>
    <row r="109" spans="1:8">
      <c r="A109" s="442">
        <v>100</v>
      </c>
      <c r="B109" s="447" t="s">
        <v>2574</v>
      </c>
      <c r="C109" s="434"/>
      <c r="D109" s="458">
        <v>100</v>
      </c>
      <c r="E109" s="443" t="s">
        <v>220</v>
      </c>
      <c r="F109" s="445" t="s">
        <v>506</v>
      </c>
      <c r="G109" s="444">
        <f t="shared" si="1"/>
        <v>13218.190000000002</v>
      </c>
      <c r="H109" s="125"/>
    </row>
    <row r="110" spans="1:8">
      <c r="A110" s="442">
        <v>101</v>
      </c>
      <c r="B110" s="447" t="s">
        <v>2574</v>
      </c>
      <c r="C110" s="434"/>
      <c r="D110" s="458">
        <v>100</v>
      </c>
      <c r="E110" s="443" t="s">
        <v>220</v>
      </c>
      <c r="F110" s="445" t="s">
        <v>506</v>
      </c>
      <c r="G110" s="444">
        <f t="shared" si="1"/>
        <v>13118.190000000002</v>
      </c>
      <c r="H110" s="125"/>
    </row>
    <row r="111" spans="1:8">
      <c r="A111" s="442">
        <v>102</v>
      </c>
      <c r="B111" s="447" t="s">
        <v>2574</v>
      </c>
      <c r="C111" s="434"/>
      <c r="D111" s="458">
        <v>100</v>
      </c>
      <c r="E111" s="443" t="s">
        <v>220</v>
      </c>
      <c r="F111" s="445" t="s">
        <v>506</v>
      </c>
      <c r="G111" s="444">
        <f t="shared" si="1"/>
        <v>13018.190000000002</v>
      </c>
      <c r="H111" s="125"/>
    </row>
    <row r="112" spans="1:8">
      <c r="A112" s="442">
        <v>103</v>
      </c>
      <c r="B112" s="447" t="s">
        <v>2574</v>
      </c>
      <c r="C112" s="434"/>
      <c r="D112" s="458">
        <v>100</v>
      </c>
      <c r="E112" s="443" t="s">
        <v>220</v>
      </c>
      <c r="F112" s="445" t="s">
        <v>506</v>
      </c>
      <c r="G112" s="444">
        <f t="shared" si="1"/>
        <v>12918.190000000002</v>
      </c>
      <c r="H112" s="125"/>
    </row>
    <row r="113" spans="1:8">
      <c r="A113" s="442">
        <v>104</v>
      </c>
      <c r="B113" s="447" t="s">
        <v>2574</v>
      </c>
      <c r="C113" s="434"/>
      <c r="D113" s="458">
        <v>100</v>
      </c>
      <c r="E113" s="443" t="s">
        <v>220</v>
      </c>
      <c r="F113" s="445" t="s">
        <v>506</v>
      </c>
      <c r="G113" s="444">
        <f t="shared" si="1"/>
        <v>12818.190000000002</v>
      </c>
      <c r="H113" s="125"/>
    </row>
    <row r="114" spans="1:8">
      <c r="A114" s="442">
        <v>105</v>
      </c>
      <c r="B114" s="447" t="s">
        <v>2574</v>
      </c>
      <c r="C114" s="434"/>
      <c r="D114" s="458">
        <v>100</v>
      </c>
      <c r="E114" s="443" t="s">
        <v>220</v>
      </c>
      <c r="F114" s="445" t="s">
        <v>506</v>
      </c>
      <c r="G114" s="444">
        <f t="shared" si="1"/>
        <v>12718.190000000002</v>
      </c>
      <c r="H114" s="125"/>
    </row>
    <row r="115" spans="1:8">
      <c r="A115" s="442">
        <v>106</v>
      </c>
      <c r="B115" s="447" t="s">
        <v>2574</v>
      </c>
      <c r="C115" s="434"/>
      <c r="D115" s="458">
        <v>100</v>
      </c>
      <c r="E115" s="443" t="s">
        <v>220</v>
      </c>
      <c r="F115" s="445" t="s">
        <v>506</v>
      </c>
      <c r="G115" s="444">
        <f t="shared" si="1"/>
        <v>12618.190000000002</v>
      </c>
      <c r="H115" s="125"/>
    </row>
    <row r="116" spans="1:8">
      <c r="A116" s="442">
        <v>107</v>
      </c>
      <c r="B116" s="447" t="s">
        <v>2574</v>
      </c>
      <c r="C116" s="434"/>
      <c r="D116" s="458">
        <v>100</v>
      </c>
      <c r="E116" s="443" t="s">
        <v>220</v>
      </c>
      <c r="F116" s="445" t="s">
        <v>506</v>
      </c>
      <c r="G116" s="444">
        <f t="shared" si="1"/>
        <v>12518.190000000002</v>
      </c>
      <c r="H116" s="125"/>
    </row>
    <row r="117" spans="1:8">
      <c r="A117" s="442">
        <v>108</v>
      </c>
      <c r="B117" s="447" t="s">
        <v>2574</v>
      </c>
      <c r="C117" s="434"/>
      <c r="D117" s="458">
        <v>100</v>
      </c>
      <c r="E117" s="443" t="s">
        <v>220</v>
      </c>
      <c r="F117" s="445" t="s">
        <v>506</v>
      </c>
      <c r="G117" s="444">
        <f t="shared" si="1"/>
        <v>12418.190000000002</v>
      </c>
      <c r="H117" s="125"/>
    </row>
    <row r="118" spans="1:8">
      <c r="A118" s="442">
        <v>109</v>
      </c>
      <c r="B118" s="447" t="s">
        <v>2574</v>
      </c>
      <c r="C118" s="434"/>
      <c r="D118" s="458">
        <v>100</v>
      </c>
      <c r="E118" s="443" t="s">
        <v>220</v>
      </c>
      <c r="F118" s="445" t="s">
        <v>506</v>
      </c>
      <c r="G118" s="444">
        <f t="shared" si="1"/>
        <v>12318.190000000002</v>
      </c>
      <c r="H118" s="125"/>
    </row>
    <row r="119" spans="1:8">
      <c r="A119" s="442">
        <v>110</v>
      </c>
      <c r="B119" s="447" t="s">
        <v>2574</v>
      </c>
      <c r="C119" s="434"/>
      <c r="D119" s="458">
        <v>100</v>
      </c>
      <c r="E119" s="443" t="s">
        <v>220</v>
      </c>
      <c r="F119" s="445" t="s">
        <v>506</v>
      </c>
      <c r="G119" s="444">
        <f t="shared" si="1"/>
        <v>12218.190000000002</v>
      </c>
      <c r="H119" s="125"/>
    </row>
    <row r="120" spans="1:8">
      <c r="A120" s="442">
        <v>111</v>
      </c>
      <c r="B120" s="447" t="s">
        <v>2574</v>
      </c>
      <c r="C120" s="434"/>
      <c r="D120" s="458">
        <v>100</v>
      </c>
      <c r="E120" s="443" t="s">
        <v>220</v>
      </c>
      <c r="F120" s="445" t="s">
        <v>506</v>
      </c>
      <c r="G120" s="444">
        <f t="shared" si="1"/>
        <v>12118.190000000002</v>
      </c>
      <c r="H120" s="125"/>
    </row>
    <row r="121" spans="1:8">
      <c r="A121" s="442">
        <v>112</v>
      </c>
      <c r="B121" s="447" t="s">
        <v>2574</v>
      </c>
      <c r="C121" s="434"/>
      <c r="D121" s="458">
        <v>100</v>
      </c>
      <c r="E121" s="443" t="s">
        <v>220</v>
      </c>
      <c r="F121" s="445" t="s">
        <v>506</v>
      </c>
      <c r="G121" s="444">
        <f t="shared" si="1"/>
        <v>12018.190000000002</v>
      </c>
      <c r="H121" s="125"/>
    </row>
    <row r="122" spans="1:8">
      <c r="A122" s="442">
        <v>113</v>
      </c>
      <c r="B122" s="447" t="s">
        <v>2574</v>
      </c>
      <c r="C122" s="434"/>
      <c r="D122" s="458">
        <v>100</v>
      </c>
      <c r="E122" s="443" t="s">
        <v>220</v>
      </c>
      <c r="F122" s="445" t="s">
        <v>506</v>
      </c>
      <c r="G122" s="444">
        <f t="shared" si="1"/>
        <v>11918.190000000002</v>
      </c>
      <c r="H122" s="125"/>
    </row>
    <row r="123" spans="1:8">
      <c r="A123" s="442">
        <v>114</v>
      </c>
      <c r="B123" s="447" t="s">
        <v>2574</v>
      </c>
      <c r="C123" s="434"/>
      <c r="D123" s="458">
        <v>100</v>
      </c>
      <c r="E123" s="443" t="s">
        <v>220</v>
      </c>
      <c r="F123" s="445" t="s">
        <v>506</v>
      </c>
      <c r="G123" s="444">
        <f t="shared" si="1"/>
        <v>11818.190000000002</v>
      </c>
      <c r="H123" s="125"/>
    </row>
    <row r="124" spans="1:8">
      <c r="A124" s="442">
        <v>115</v>
      </c>
      <c r="B124" s="447" t="s">
        <v>2574</v>
      </c>
      <c r="C124" s="434"/>
      <c r="D124" s="458">
        <v>100</v>
      </c>
      <c r="E124" s="443" t="s">
        <v>220</v>
      </c>
      <c r="F124" s="445" t="s">
        <v>506</v>
      </c>
      <c r="G124" s="444">
        <f t="shared" si="1"/>
        <v>11718.190000000002</v>
      </c>
      <c r="H124" s="125"/>
    </row>
    <row r="125" spans="1:8">
      <c r="A125" s="442">
        <v>116</v>
      </c>
      <c r="B125" s="447" t="s">
        <v>2574</v>
      </c>
      <c r="C125" s="434"/>
      <c r="D125" s="458">
        <v>100</v>
      </c>
      <c r="E125" s="443" t="s">
        <v>220</v>
      </c>
      <c r="F125" s="445" t="s">
        <v>506</v>
      </c>
      <c r="G125" s="444">
        <f t="shared" si="1"/>
        <v>11618.190000000002</v>
      </c>
      <c r="H125" s="125"/>
    </row>
    <row r="126" spans="1:8">
      <c r="A126" s="442">
        <v>117</v>
      </c>
      <c r="B126" s="447" t="s">
        <v>2574</v>
      </c>
      <c r="C126" s="434"/>
      <c r="D126" s="458">
        <v>100</v>
      </c>
      <c r="E126" s="443" t="s">
        <v>220</v>
      </c>
      <c r="F126" s="445" t="s">
        <v>506</v>
      </c>
      <c r="G126" s="444">
        <f t="shared" si="1"/>
        <v>11518.190000000002</v>
      </c>
      <c r="H126" s="125"/>
    </row>
    <row r="127" spans="1:8">
      <c r="A127" s="442">
        <v>118</v>
      </c>
      <c r="B127" s="447" t="s">
        <v>2574</v>
      </c>
      <c r="C127" s="434"/>
      <c r="D127" s="458">
        <v>100</v>
      </c>
      <c r="E127" s="443" t="s">
        <v>220</v>
      </c>
      <c r="F127" s="445" t="s">
        <v>506</v>
      </c>
      <c r="G127" s="444">
        <f t="shared" si="1"/>
        <v>11418.190000000002</v>
      </c>
      <c r="H127" s="125"/>
    </row>
    <row r="128" spans="1:8">
      <c r="A128" s="442">
        <v>119</v>
      </c>
      <c r="B128" s="447" t="s">
        <v>2574</v>
      </c>
      <c r="C128" s="434"/>
      <c r="D128" s="458">
        <v>100</v>
      </c>
      <c r="E128" s="443" t="s">
        <v>220</v>
      </c>
      <c r="F128" s="445" t="s">
        <v>506</v>
      </c>
      <c r="G128" s="444">
        <f t="shared" si="1"/>
        <v>11318.190000000002</v>
      </c>
      <c r="H128" s="125"/>
    </row>
    <row r="129" spans="1:8">
      <c r="A129" s="442">
        <v>120</v>
      </c>
      <c r="B129" s="447" t="s">
        <v>2574</v>
      </c>
      <c r="C129" s="434"/>
      <c r="D129" s="458">
        <v>100</v>
      </c>
      <c r="E129" s="443" t="s">
        <v>220</v>
      </c>
      <c r="F129" s="445" t="s">
        <v>506</v>
      </c>
      <c r="G129" s="444">
        <f t="shared" si="1"/>
        <v>11218.190000000002</v>
      </c>
      <c r="H129" s="125"/>
    </row>
    <row r="130" spans="1:8">
      <c r="A130" s="442">
        <v>121</v>
      </c>
      <c r="B130" s="447" t="s">
        <v>2574</v>
      </c>
      <c r="C130" s="434"/>
      <c r="D130" s="458">
        <v>100</v>
      </c>
      <c r="E130" s="443" t="s">
        <v>220</v>
      </c>
      <c r="F130" s="445" t="s">
        <v>506</v>
      </c>
      <c r="G130" s="444">
        <f t="shared" si="1"/>
        <v>11118.190000000002</v>
      </c>
      <c r="H130" s="125"/>
    </row>
    <row r="131" spans="1:8">
      <c r="A131" s="442">
        <v>122</v>
      </c>
      <c r="B131" s="447" t="s">
        <v>2574</v>
      </c>
      <c r="C131" s="434"/>
      <c r="D131" s="458">
        <v>100</v>
      </c>
      <c r="E131" s="443" t="s">
        <v>220</v>
      </c>
      <c r="F131" s="445" t="s">
        <v>506</v>
      </c>
      <c r="G131" s="444">
        <f t="shared" si="1"/>
        <v>11018.190000000002</v>
      </c>
      <c r="H131" s="125"/>
    </row>
    <row r="132" spans="1:8">
      <c r="A132" s="442">
        <v>123</v>
      </c>
      <c r="B132" s="447" t="s">
        <v>2574</v>
      </c>
      <c r="C132" s="434"/>
      <c r="D132" s="458">
        <v>100</v>
      </c>
      <c r="E132" s="443" t="s">
        <v>220</v>
      </c>
      <c r="F132" s="445" t="s">
        <v>506</v>
      </c>
      <c r="G132" s="444">
        <f t="shared" si="1"/>
        <v>10918.190000000002</v>
      </c>
      <c r="H132" s="125"/>
    </row>
    <row r="133" spans="1:8">
      <c r="A133" s="442">
        <v>124</v>
      </c>
      <c r="B133" s="447" t="s">
        <v>2574</v>
      </c>
      <c r="C133" s="434"/>
      <c r="D133" s="458">
        <v>100</v>
      </c>
      <c r="E133" s="443" t="s">
        <v>220</v>
      </c>
      <c r="F133" s="445" t="s">
        <v>506</v>
      </c>
      <c r="G133" s="444">
        <f t="shared" si="1"/>
        <v>10818.190000000002</v>
      </c>
      <c r="H133" s="125"/>
    </row>
    <row r="134" spans="1:8">
      <c r="A134" s="442">
        <v>125</v>
      </c>
      <c r="B134" s="447" t="s">
        <v>2574</v>
      </c>
      <c r="C134" s="434"/>
      <c r="D134" s="458">
        <v>100</v>
      </c>
      <c r="E134" s="443" t="s">
        <v>220</v>
      </c>
      <c r="F134" s="445" t="s">
        <v>506</v>
      </c>
      <c r="G134" s="444">
        <f t="shared" si="1"/>
        <v>10718.190000000002</v>
      </c>
      <c r="H134" s="125"/>
    </row>
    <row r="135" spans="1:8">
      <c r="A135" s="442">
        <v>126</v>
      </c>
      <c r="B135" s="447" t="s">
        <v>2574</v>
      </c>
      <c r="C135" s="434"/>
      <c r="D135" s="458">
        <v>100</v>
      </c>
      <c r="E135" s="443" t="s">
        <v>220</v>
      </c>
      <c r="F135" s="445" t="s">
        <v>506</v>
      </c>
      <c r="G135" s="444">
        <f t="shared" si="1"/>
        <v>10618.190000000002</v>
      </c>
      <c r="H135" s="125"/>
    </row>
    <row r="136" spans="1:8">
      <c r="A136" s="442">
        <v>127</v>
      </c>
      <c r="B136" s="447" t="s">
        <v>2574</v>
      </c>
      <c r="C136" s="434"/>
      <c r="D136" s="458">
        <v>100</v>
      </c>
      <c r="E136" s="443" t="s">
        <v>220</v>
      </c>
      <c r="F136" s="445" t="s">
        <v>506</v>
      </c>
      <c r="G136" s="444">
        <f t="shared" si="1"/>
        <v>10518.190000000002</v>
      </c>
      <c r="H136" s="125"/>
    </row>
    <row r="137" spans="1:8">
      <c r="A137" s="442">
        <v>128</v>
      </c>
      <c r="B137" s="447" t="s">
        <v>2574</v>
      </c>
      <c r="C137" s="434"/>
      <c r="D137" s="458">
        <v>100</v>
      </c>
      <c r="E137" s="443" t="s">
        <v>220</v>
      </c>
      <c r="F137" s="445" t="s">
        <v>506</v>
      </c>
      <c r="G137" s="444">
        <f t="shared" si="1"/>
        <v>10418.190000000002</v>
      </c>
      <c r="H137" s="125"/>
    </row>
    <row r="138" spans="1:8">
      <c r="A138" s="442">
        <v>129</v>
      </c>
      <c r="B138" s="447" t="s">
        <v>2574</v>
      </c>
      <c r="C138" s="434"/>
      <c r="D138" s="458">
        <v>100</v>
      </c>
      <c r="E138" s="443" t="s">
        <v>220</v>
      </c>
      <c r="F138" s="445" t="s">
        <v>506</v>
      </c>
      <c r="G138" s="444">
        <f t="shared" si="1"/>
        <v>10318.190000000002</v>
      </c>
      <c r="H138" s="125"/>
    </row>
    <row r="139" spans="1:8">
      <c r="A139" s="442">
        <v>130</v>
      </c>
      <c r="B139" s="447" t="s">
        <v>2574</v>
      </c>
      <c r="C139" s="434"/>
      <c r="D139" s="458">
        <v>100</v>
      </c>
      <c r="E139" s="443" t="s">
        <v>220</v>
      </c>
      <c r="F139" s="445" t="s">
        <v>506</v>
      </c>
      <c r="G139" s="444">
        <f t="shared" ref="G139:G202" si="2">G138+C139-D139</f>
        <v>10218.190000000002</v>
      </c>
      <c r="H139" s="125"/>
    </row>
    <row r="140" spans="1:8">
      <c r="A140" s="442">
        <v>131</v>
      </c>
      <c r="B140" s="447" t="s">
        <v>2574</v>
      </c>
      <c r="C140" s="434"/>
      <c r="D140" s="458">
        <v>100</v>
      </c>
      <c r="E140" s="443" t="s">
        <v>220</v>
      </c>
      <c r="F140" s="445" t="s">
        <v>506</v>
      </c>
      <c r="G140" s="444">
        <f t="shared" si="2"/>
        <v>10118.190000000002</v>
      </c>
      <c r="H140" s="125"/>
    </row>
    <row r="141" spans="1:8">
      <c r="A141" s="442">
        <v>132</v>
      </c>
      <c r="B141" s="447" t="s">
        <v>2574</v>
      </c>
      <c r="C141" s="434"/>
      <c r="D141" s="458">
        <v>100</v>
      </c>
      <c r="E141" s="443" t="s">
        <v>220</v>
      </c>
      <c r="F141" s="445" t="s">
        <v>506</v>
      </c>
      <c r="G141" s="444">
        <f t="shared" si="2"/>
        <v>10018.190000000002</v>
      </c>
      <c r="H141" s="125"/>
    </row>
    <row r="142" spans="1:8">
      <c r="A142" s="442">
        <v>133</v>
      </c>
      <c r="B142" s="447" t="s">
        <v>2574</v>
      </c>
      <c r="C142" s="434"/>
      <c r="D142" s="458">
        <v>100</v>
      </c>
      <c r="E142" s="443" t="s">
        <v>220</v>
      </c>
      <c r="F142" s="445" t="s">
        <v>506</v>
      </c>
      <c r="G142" s="444">
        <f t="shared" si="2"/>
        <v>9918.1900000000023</v>
      </c>
      <c r="H142" s="125"/>
    </row>
    <row r="143" spans="1:8">
      <c r="A143" s="442">
        <v>134</v>
      </c>
      <c r="B143" s="447" t="s">
        <v>2574</v>
      </c>
      <c r="C143" s="434"/>
      <c r="D143" s="458">
        <v>100</v>
      </c>
      <c r="E143" s="443" t="s">
        <v>220</v>
      </c>
      <c r="F143" s="445" t="s">
        <v>506</v>
      </c>
      <c r="G143" s="444">
        <f t="shared" si="2"/>
        <v>9818.1900000000023</v>
      </c>
      <c r="H143" s="125"/>
    </row>
    <row r="144" spans="1:8">
      <c r="A144" s="442">
        <v>135</v>
      </c>
      <c r="B144" s="447" t="s">
        <v>2574</v>
      </c>
      <c r="C144" s="434"/>
      <c r="D144" s="458">
        <v>100</v>
      </c>
      <c r="E144" s="443" t="s">
        <v>220</v>
      </c>
      <c r="F144" s="445" t="s">
        <v>506</v>
      </c>
      <c r="G144" s="444">
        <f t="shared" si="2"/>
        <v>9718.1900000000023</v>
      </c>
      <c r="H144" s="125"/>
    </row>
    <row r="145" spans="1:8">
      <c r="A145" s="442">
        <v>136</v>
      </c>
      <c r="B145" s="447" t="s">
        <v>2574</v>
      </c>
      <c r="C145" s="434"/>
      <c r="D145" s="458">
        <v>100</v>
      </c>
      <c r="E145" s="443" t="s">
        <v>220</v>
      </c>
      <c r="F145" s="445" t="s">
        <v>506</v>
      </c>
      <c r="G145" s="444">
        <f t="shared" si="2"/>
        <v>9618.1900000000023</v>
      </c>
      <c r="H145" s="125"/>
    </row>
    <row r="146" spans="1:8">
      <c r="A146" s="442">
        <v>137</v>
      </c>
      <c r="B146" s="447" t="s">
        <v>2574</v>
      </c>
      <c r="C146" s="434"/>
      <c r="D146" s="458">
        <v>100</v>
      </c>
      <c r="E146" s="443" t="s">
        <v>220</v>
      </c>
      <c r="F146" s="445" t="s">
        <v>506</v>
      </c>
      <c r="G146" s="444">
        <f t="shared" si="2"/>
        <v>9518.1900000000023</v>
      </c>
      <c r="H146" s="125"/>
    </row>
    <row r="147" spans="1:8">
      <c r="A147" s="442">
        <v>138</v>
      </c>
      <c r="B147" s="447" t="s">
        <v>2574</v>
      </c>
      <c r="C147" s="434"/>
      <c r="D147" s="458">
        <v>100</v>
      </c>
      <c r="E147" s="443" t="s">
        <v>220</v>
      </c>
      <c r="F147" s="445" t="s">
        <v>506</v>
      </c>
      <c r="G147" s="444">
        <f t="shared" si="2"/>
        <v>9418.1900000000023</v>
      </c>
      <c r="H147" s="125"/>
    </row>
    <row r="148" spans="1:8">
      <c r="A148" s="442">
        <v>139</v>
      </c>
      <c r="B148" s="447" t="s">
        <v>2574</v>
      </c>
      <c r="C148" s="434"/>
      <c r="D148" s="458">
        <v>100</v>
      </c>
      <c r="E148" s="443" t="s">
        <v>220</v>
      </c>
      <c r="F148" s="445" t="s">
        <v>506</v>
      </c>
      <c r="G148" s="444">
        <f t="shared" si="2"/>
        <v>9318.1900000000023</v>
      </c>
      <c r="H148" s="125"/>
    </row>
    <row r="149" spans="1:8">
      <c r="A149" s="442">
        <v>140</v>
      </c>
      <c r="B149" s="447" t="s">
        <v>2574</v>
      </c>
      <c r="C149" s="434"/>
      <c r="D149" s="458">
        <v>100</v>
      </c>
      <c r="E149" s="443" t="s">
        <v>220</v>
      </c>
      <c r="F149" s="445" t="s">
        <v>506</v>
      </c>
      <c r="G149" s="444">
        <f t="shared" si="2"/>
        <v>9218.1900000000023</v>
      </c>
      <c r="H149" s="125"/>
    </row>
    <row r="150" spans="1:8">
      <c r="A150" s="442">
        <v>141</v>
      </c>
      <c r="B150" s="447" t="s">
        <v>2574</v>
      </c>
      <c r="C150" s="434"/>
      <c r="D150" s="458">
        <v>100</v>
      </c>
      <c r="E150" s="443" t="s">
        <v>220</v>
      </c>
      <c r="F150" s="445" t="s">
        <v>506</v>
      </c>
      <c r="G150" s="444">
        <f t="shared" si="2"/>
        <v>9118.1900000000023</v>
      </c>
      <c r="H150" s="125"/>
    </row>
    <row r="151" spans="1:8">
      <c r="A151" s="442">
        <v>142</v>
      </c>
      <c r="B151" s="447" t="s">
        <v>2574</v>
      </c>
      <c r="C151" s="434"/>
      <c r="D151" s="458">
        <v>100</v>
      </c>
      <c r="E151" s="443" t="s">
        <v>220</v>
      </c>
      <c r="F151" s="445" t="s">
        <v>506</v>
      </c>
      <c r="G151" s="444">
        <f t="shared" si="2"/>
        <v>9018.1900000000023</v>
      </c>
      <c r="H151" s="125"/>
    </row>
    <row r="152" spans="1:8">
      <c r="A152" s="442">
        <v>143</v>
      </c>
      <c r="B152" s="447" t="s">
        <v>2574</v>
      </c>
      <c r="C152" s="434"/>
      <c r="D152" s="458">
        <v>100</v>
      </c>
      <c r="E152" s="443" t="s">
        <v>220</v>
      </c>
      <c r="F152" s="445" t="s">
        <v>506</v>
      </c>
      <c r="G152" s="444">
        <f t="shared" si="2"/>
        <v>8918.1900000000023</v>
      </c>
      <c r="H152" s="125"/>
    </row>
    <row r="153" spans="1:8">
      <c r="A153" s="442">
        <v>144</v>
      </c>
      <c r="B153" s="447" t="s">
        <v>2574</v>
      </c>
      <c r="C153" s="434"/>
      <c r="D153" s="458">
        <v>100</v>
      </c>
      <c r="E153" s="443" t="s">
        <v>220</v>
      </c>
      <c r="F153" s="445" t="s">
        <v>506</v>
      </c>
      <c r="G153" s="444">
        <f t="shared" si="2"/>
        <v>8818.1900000000023</v>
      </c>
      <c r="H153" s="125"/>
    </row>
    <row r="154" spans="1:8">
      <c r="A154" s="442">
        <v>145</v>
      </c>
      <c r="B154" s="447" t="s">
        <v>2574</v>
      </c>
      <c r="C154" s="434"/>
      <c r="D154" s="458">
        <v>100</v>
      </c>
      <c r="E154" s="443" t="s">
        <v>220</v>
      </c>
      <c r="F154" s="445" t="s">
        <v>506</v>
      </c>
      <c r="G154" s="444">
        <f t="shared" si="2"/>
        <v>8718.1900000000023</v>
      </c>
      <c r="H154" s="125"/>
    </row>
    <row r="155" spans="1:8">
      <c r="A155" s="442">
        <v>146</v>
      </c>
      <c r="B155" s="447" t="s">
        <v>2574</v>
      </c>
      <c r="C155" s="434"/>
      <c r="D155" s="458">
        <v>100</v>
      </c>
      <c r="E155" s="443" t="s">
        <v>220</v>
      </c>
      <c r="F155" s="445" t="s">
        <v>506</v>
      </c>
      <c r="G155" s="444">
        <f t="shared" si="2"/>
        <v>8618.1900000000023</v>
      </c>
      <c r="H155" s="125"/>
    </row>
    <row r="156" spans="1:8">
      <c r="A156" s="442">
        <v>147</v>
      </c>
      <c r="B156" s="447" t="s">
        <v>2574</v>
      </c>
      <c r="C156" s="434"/>
      <c r="D156" s="458">
        <v>100</v>
      </c>
      <c r="E156" s="443" t="s">
        <v>220</v>
      </c>
      <c r="F156" s="445" t="s">
        <v>506</v>
      </c>
      <c r="G156" s="444">
        <f t="shared" si="2"/>
        <v>8518.1900000000023</v>
      </c>
      <c r="H156" s="125"/>
    </row>
    <row r="157" spans="1:8">
      <c r="A157" s="442">
        <v>148</v>
      </c>
      <c r="B157" s="447" t="s">
        <v>2574</v>
      </c>
      <c r="C157" s="434"/>
      <c r="D157" s="458">
        <v>100</v>
      </c>
      <c r="E157" s="443" t="s">
        <v>220</v>
      </c>
      <c r="F157" s="445" t="s">
        <v>506</v>
      </c>
      <c r="G157" s="444">
        <f t="shared" si="2"/>
        <v>8418.1900000000023</v>
      </c>
      <c r="H157" s="125"/>
    </row>
    <row r="158" spans="1:8">
      <c r="A158" s="442">
        <v>149</v>
      </c>
      <c r="B158" s="447" t="s">
        <v>2574</v>
      </c>
      <c r="C158" s="434"/>
      <c r="D158" s="458">
        <v>100</v>
      </c>
      <c r="E158" s="443" t="s">
        <v>220</v>
      </c>
      <c r="F158" s="445" t="s">
        <v>506</v>
      </c>
      <c r="G158" s="444">
        <f t="shared" si="2"/>
        <v>8318.1900000000023</v>
      </c>
      <c r="H158" s="125"/>
    </row>
    <row r="159" spans="1:8">
      <c r="A159" s="442">
        <v>150</v>
      </c>
      <c r="B159" s="447" t="s">
        <v>2574</v>
      </c>
      <c r="C159" s="434"/>
      <c r="D159" s="458">
        <v>100</v>
      </c>
      <c r="E159" s="443" t="s">
        <v>220</v>
      </c>
      <c r="F159" s="445" t="s">
        <v>506</v>
      </c>
      <c r="G159" s="444">
        <f t="shared" si="2"/>
        <v>8218.1900000000023</v>
      </c>
      <c r="H159" s="125"/>
    </row>
    <row r="160" spans="1:8">
      <c r="A160" s="442">
        <v>151</v>
      </c>
      <c r="B160" s="447" t="s">
        <v>2574</v>
      </c>
      <c r="C160" s="434"/>
      <c r="D160" s="458">
        <v>100</v>
      </c>
      <c r="E160" s="443" t="s">
        <v>220</v>
      </c>
      <c r="F160" s="445" t="s">
        <v>506</v>
      </c>
      <c r="G160" s="444">
        <f t="shared" si="2"/>
        <v>8118.1900000000023</v>
      </c>
      <c r="H160" s="125"/>
    </row>
    <row r="161" spans="1:8">
      <c r="A161" s="442">
        <v>152</v>
      </c>
      <c r="B161" s="447" t="s">
        <v>2574</v>
      </c>
      <c r="C161" s="434"/>
      <c r="D161" s="458">
        <v>100</v>
      </c>
      <c r="E161" s="443" t="s">
        <v>220</v>
      </c>
      <c r="F161" s="445" t="s">
        <v>506</v>
      </c>
      <c r="G161" s="444">
        <f t="shared" si="2"/>
        <v>8018.1900000000023</v>
      </c>
      <c r="H161" s="125"/>
    </row>
    <row r="162" spans="1:8">
      <c r="A162" s="442">
        <v>153</v>
      </c>
      <c r="B162" s="447" t="s">
        <v>2574</v>
      </c>
      <c r="C162" s="434"/>
      <c r="D162" s="458">
        <v>100</v>
      </c>
      <c r="E162" s="443" t="s">
        <v>220</v>
      </c>
      <c r="F162" s="445" t="s">
        <v>506</v>
      </c>
      <c r="G162" s="444">
        <f t="shared" si="2"/>
        <v>7918.1900000000023</v>
      </c>
      <c r="H162" s="125"/>
    </row>
    <row r="163" spans="1:8">
      <c r="A163" s="442">
        <v>154</v>
      </c>
      <c r="B163" s="447" t="s">
        <v>2574</v>
      </c>
      <c r="C163" s="434"/>
      <c r="D163" s="458">
        <v>100</v>
      </c>
      <c r="E163" s="443" t="s">
        <v>220</v>
      </c>
      <c r="F163" s="445" t="s">
        <v>506</v>
      </c>
      <c r="G163" s="444">
        <f t="shared" si="2"/>
        <v>7818.1900000000023</v>
      </c>
      <c r="H163" s="125"/>
    </row>
    <row r="164" spans="1:8">
      <c r="A164" s="442">
        <v>155</v>
      </c>
      <c r="B164" s="447" t="s">
        <v>2574</v>
      </c>
      <c r="C164" s="434"/>
      <c r="D164" s="458">
        <v>100</v>
      </c>
      <c r="E164" s="443" t="s">
        <v>220</v>
      </c>
      <c r="F164" s="445" t="s">
        <v>506</v>
      </c>
      <c r="G164" s="444">
        <f t="shared" si="2"/>
        <v>7718.1900000000023</v>
      </c>
      <c r="H164" s="125"/>
    </row>
    <row r="165" spans="1:8">
      <c r="A165" s="442">
        <v>156</v>
      </c>
      <c r="B165" s="447" t="s">
        <v>2574</v>
      </c>
      <c r="C165" s="434"/>
      <c r="D165" s="458">
        <v>100</v>
      </c>
      <c r="E165" s="443" t="s">
        <v>220</v>
      </c>
      <c r="F165" s="445" t="s">
        <v>506</v>
      </c>
      <c r="G165" s="444">
        <f t="shared" si="2"/>
        <v>7618.1900000000023</v>
      </c>
      <c r="H165" s="125"/>
    </row>
    <row r="166" spans="1:8">
      <c r="A166" s="442">
        <v>157</v>
      </c>
      <c r="B166" s="447" t="s">
        <v>2574</v>
      </c>
      <c r="C166" s="434"/>
      <c r="D166" s="458">
        <v>100</v>
      </c>
      <c r="E166" s="443" t="s">
        <v>220</v>
      </c>
      <c r="F166" s="445" t="s">
        <v>506</v>
      </c>
      <c r="G166" s="444">
        <f t="shared" si="2"/>
        <v>7518.1900000000023</v>
      </c>
      <c r="H166" s="125"/>
    </row>
    <row r="167" spans="1:8">
      <c r="A167" s="442">
        <v>158</v>
      </c>
      <c r="B167" s="447" t="s">
        <v>2574</v>
      </c>
      <c r="C167" s="434"/>
      <c r="D167" s="458">
        <v>100</v>
      </c>
      <c r="E167" s="443" t="s">
        <v>220</v>
      </c>
      <c r="F167" s="445" t="s">
        <v>506</v>
      </c>
      <c r="G167" s="444">
        <f t="shared" si="2"/>
        <v>7418.1900000000023</v>
      </c>
      <c r="H167" s="125"/>
    </row>
    <row r="168" spans="1:8">
      <c r="A168" s="442">
        <v>159</v>
      </c>
      <c r="B168" s="447" t="s">
        <v>2574</v>
      </c>
      <c r="C168" s="434"/>
      <c r="D168" s="458">
        <v>100</v>
      </c>
      <c r="E168" s="443" t="s">
        <v>220</v>
      </c>
      <c r="F168" s="445" t="s">
        <v>506</v>
      </c>
      <c r="G168" s="444">
        <f t="shared" si="2"/>
        <v>7318.1900000000023</v>
      </c>
      <c r="H168" s="125"/>
    </row>
    <row r="169" spans="1:8">
      <c r="A169" s="442">
        <v>160</v>
      </c>
      <c r="B169" s="447" t="s">
        <v>2574</v>
      </c>
      <c r="C169" s="434"/>
      <c r="D169" s="458">
        <v>100</v>
      </c>
      <c r="E169" s="443" t="s">
        <v>220</v>
      </c>
      <c r="F169" s="445" t="s">
        <v>506</v>
      </c>
      <c r="G169" s="444">
        <f t="shared" si="2"/>
        <v>7218.1900000000023</v>
      </c>
      <c r="H169" s="125"/>
    </row>
    <row r="170" spans="1:8">
      <c r="A170" s="442">
        <v>161</v>
      </c>
      <c r="B170" s="447" t="s">
        <v>2574</v>
      </c>
      <c r="C170" s="434"/>
      <c r="D170" s="458">
        <v>100</v>
      </c>
      <c r="E170" s="443" t="s">
        <v>220</v>
      </c>
      <c r="F170" s="445" t="s">
        <v>506</v>
      </c>
      <c r="G170" s="444">
        <f t="shared" si="2"/>
        <v>7118.1900000000023</v>
      </c>
      <c r="H170" s="125"/>
    </row>
    <row r="171" spans="1:8">
      <c r="A171" s="442">
        <v>162</v>
      </c>
      <c r="B171" s="447" t="s">
        <v>2574</v>
      </c>
      <c r="C171" s="434"/>
      <c r="D171" s="458">
        <v>100</v>
      </c>
      <c r="E171" s="443" t="s">
        <v>220</v>
      </c>
      <c r="F171" s="445" t="s">
        <v>506</v>
      </c>
      <c r="G171" s="444">
        <f t="shared" si="2"/>
        <v>7018.1900000000023</v>
      </c>
      <c r="H171" s="125"/>
    </row>
    <row r="172" spans="1:8">
      <c r="A172" s="442">
        <v>163</v>
      </c>
      <c r="B172" s="447" t="s">
        <v>2574</v>
      </c>
      <c r="C172" s="434"/>
      <c r="D172" s="458">
        <v>100</v>
      </c>
      <c r="E172" s="443" t="s">
        <v>220</v>
      </c>
      <c r="F172" s="445" t="s">
        <v>506</v>
      </c>
      <c r="G172" s="444">
        <f t="shared" si="2"/>
        <v>6918.1900000000023</v>
      </c>
      <c r="H172" s="125"/>
    </row>
    <row r="173" spans="1:8">
      <c r="A173" s="442">
        <v>164</v>
      </c>
      <c r="B173" s="447" t="s">
        <v>2574</v>
      </c>
      <c r="C173" s="434"/>
      <c r="D173" s="458">
        <v>100</v>
      </c>
      <c r="E173" s="443" t="s">
        <v>220</v>
      </c>
      <c r="F173" s="445" t="s">
        <v>506</v>
      </c>
      <c r="G173" s="444">
        <f t="shared" si="2"/>
        <v>6818.1900000000023</v>
      </c>
      <c r="H173" s="125"/>
    </row>
    <row r="174" spans="1:8">
      <c r="A174" s="442">
        <v>165</v>
      </c>
      <c r="B174" s="447" t="s">
        <v>2574</v>
      </c>
      <c r="C174" s="434"/>
      <c r="D174" s="458">
        <v>100</v>
      </c>
      <c r="E174" s="443" t="s">
        <v>220</v>
      </c>
      <c r="F174" s="445" t="s">
        <v>506</v>
      </c>
      <c r="G174" s="444">
        <f t="shared" si="2"/>
        <v>6718.1900000000023</v>
      </c>
      <c r="H174" s="125"/>
    </row>
    <row r="175" spans="1:8">
      <c r="A175" s="442">
        <v>166</v>
      </c>
      <c r="B175" s="447" t="s">
        <v>2574</v>
      </c>
      <c r="C175" s="434"/>
      <c r="D175" s="458">
        <v>100</v>
      </c>
      <c r="E175" s="443" t="s">
        <v>220</v>
      </c>
      <c r="F175" s="445" t="s">
        <v>506</v>
      </c>
      <c r="G175" s="444">
        <f t="shared" si="2"/>
        <v>6618.1900000000023</v>
      </c>
      <c r="H175" s="125"/>
    </row>
    <row r="176" spans="1:8">
      <c r="A176" s="442">
        <v>167</v>
      </c>
      <c r="B176" s="447" t="s">
        <v>2574</v>
      </c>
      <c r="C176" s="434"/>
      <c r="D176" s="458">
        <v>100</v>
      </c>
      <c r="E176" s="443" t="s">
        <v>220</v>
      </c>
      <c r="F176" s="445" t="s">
        <v>506</v>
      </c>
      <c r="G176" s="444">
        <f t="shared" si="2"/>
        <v>6518.1900000000023</v>
      </c>
      <c r="H176" s="125"/>
    </row>
    <row r="177" spans="1:8">
      <c r="A177" s="442">
        <v>168</v>
      </c>
      <c r="B177" s="447" t="s">
        <v>2574</v>
      </c>
      <c r="C177" s="434"/>
      <c r="D177" s="458">
        <v>100</v>
      </c>
      <c r="E177" s="443" t="s">
        <v>220</v>
      </c>
      <c r="F177" s="445" t="s">
        <v>506</v>
      </c>
      <c r="G177" s="444">
        <f t="shared" si="2"/>
        <v>6418.1900000000023</v>
      </c>
      <c r="H177" s="125"/>
    </row>
    <row r="178" spans="1:8">
      <c r="A178" s="442">
        <v>169</v>
      </c>
      <c r="B178" s="447" t="s">
        <v>2574</v>
      </c>
      <c r="C178" s="434"/>
      <c r="D178" s="458">
        <v>100</v>
      </c>
      <c r="E178" s="443" t="s">
        <v>220</v>
      </c>
      <c r="F178" s="445" t="s">
        <v>506</v>
      </c>
      <c r="G178" s="444">
        <f t="shared" si="2"/>
        <v>6318.1900000000023</v>
      </c>
      <c r="H178" s="125"/>
    </row>
    <row r="179" spans="1:8">
      <c r="A179" s="442">
        <v>170</v>
      </c>
      <c r="B179" s="447" t="s">
        <v>2574</v>
      </c>
      <c r="C179" s="434"/>
      <c r="D179" s="458">
        <v>100</v>
      </c>
      <c r="E179" s="443" t="s">
        <v>220</v>
      </c>
      <c r="F179" s="445" t="s">
        <v>506</v>
      </c>
      <c r="G179" s="444">
        <f t="shared" si="2"/>
        <v>6218.1900000000023</v>
      </c>
      <c r="H179" s="125"/>
    </row>
    <row r="180" spans="1:8">
      <c r="A180" s="442">
        <v>171</v>
      </c>
      <c r="B180" s="447" t="s">
        <v>2574</v>
      </c>
      <c r="C180" s="434"/>
      <c r="D180" s="458">
        <v>100</v>
      </c>
      <c r="E180" s="443" t="s">
        <v>220</v>
      </c>
      <c r="F180" s="445" t="s">
        <v>506</v>
      </c>
      <c r="G180" s="444">
        <f t="shared" si="2"/>
        <v>6118.1900000000023</v>
      </c>
      <c r="H180" s="125"/>
    </row>
    <row r="181" spans="1:8">
      <c r="A181" s="442">
        <v>172</v>
      </c>
      <c r="B181" s="447" t="s">
        <v>2574</v>
      </c>
      <c r="C181" s="434"/>
      <c r="D181" s="458">
        <v>100</v>
      </c>
      <c r="E181" s="443" t="s">
        <v>220</v>
      </c>
      <c r="F181" s="445" t="s">
        <v>506</v>
      </c>
      <c r="G181" s="444">
        <f t="shared" si="2"/>
        <v>6018.1900000000023</v>
      </c>
      <c r="H181" s="125"/>
    </row>
    <row r="182" spans="1:8">
      <c r="A182" s="442">
        <v>173</v>
      </c>
      <c r="B182" s="447" t="s">
        <v>2574</v>
      </c>
      <c r="C182" s="434"/>
      <c r="D182" s="458">
        <v>100</v>
      </c>
      <c r="E182" s="443" t="s">
        <v>220</v>
      </c>
      <c r="F182" s="445" t="s">
        <v>506</v>
      </c>
      <c r="G182" s="444">
        <f t="shared" si="2"/>
        <v>5918.1900000000023</v>
      </c>
      <c r="H182" s="125"/>
    </row>
    <row r="183" spans="1:8">
      <c r="A183" s="442">
        <v>174</v>
      </c>
      <c r="B183" s="447" t="s">
        <v>2574</v>
      </c>
      <c r="C183" s="434"/>
      <c r="D183" s="458">
        <v>100</v>
      </c>
      <c r="E183" s="443" t="s">
        <v>220</v>
      </c>
      <c r="F183" s="445" t="s">
        <v>506</v>
      </c>
      <c r="G183" s="444">
        <f t="shared" si="2"/>
        <v>5818.1900000000023</v>
      </c>
      <c r="H183" s="125"/>
    </row>
    <row r="184" spans="1:8">
      <c r="A184" s="442">
        <v>175</v>
      </c>
      <c r="B184" s="447" t="s">
        <v>2574</v>
      </c>
      <c r="C184" s="434"/>
      <c r="D184" s="458">
        <v>100</v>
      </c>
      <c r="E184" s="443" t="s">
        <v>220</v>
      </c>
      <c r="F184" s="445" t="s">
        <v>506</v>
      </c>
      <c r="G184" s="444">
        <f t="shared" si="2"/>
        <v>5718.1900000000023</v>
      </c>
      <c r="H184" s="125"/>
    </row>
    <row r="185" spans="1:8">
      <c r="A185" s="442">
        <v>176</v>
      </c>
      <c r="B185" s="447" t="s">
        <v>2574</v>
      </c>
      <c r="C185" s="434"/>
      <c r="D185" s="458">
        <v>100</v>
      </c>
      <c r="E185" s="443" t="s">
        <v>220</v>
      </c>
      <c r="F185" s="445" t="s">
        <v>506</v>
      </c>
      <c r="G185" s="444">
        <f t="shared" si="2"/>
        <v>5618.1900000000023</v>
      </c>
      <c r="H185" s="125"/>
    </row>
    <row r="186" spans="1:8">
      <c r="A186" s="442">
        <v>177</v>
      </c>
      <c r="B186" s="447" t="s">
        <v>2574</v>
      </c>
      <c r="C186" s="434"/>
      <c r="D186" s="458">
        <v>100</v>
      </c>
      <c r="E186" s="443" t="s">
        <v>220</v>
      </c>
      <c r="F186" s="445" t="s">
        <v>506</v>
      </c>
      <c r="G186" s="444">
        <f t="shared" si="2"/>
        <v>5518.1900000000023</v>
      </c>
      <c r="H186" s="125"/>
    </row>
    <row r="187" spans="1:8">
      <c r="A187" s="442">
        <v>178</v>
      </c>
      <c r="B187" s="447" t="s">
        <v>2574</v>
      </c>
      <c r="C187" s="434"/>
      <c r="D187" s="458">
        <v>100</v>
      </c>
      <c r="E187" s="443" t="s">
        <v>220</v>
      </c>
      <c r="F187" s="445" t="s">
        <v>506</v>
      </c>
      <c r="G187" s="444">
        <f t="shared" si="2"/>
        <v>5418.1900000000023</v>
      </c>
      <c r="H187" s="125"/>
    </row>
    <row r="188" spans="1:8">
      <c r="A188" s="442">
        <v>179</v>
      </c>
      <c r="B188" s="447" t="s">
        <v>2574</v>
      </c>
      <c r="C188" s="434"/>
      <c r="D188" s="458">
        <v>100</v>
      </c>
      <c r="E188" s="443" t="s">
        <v>220</v>
      </c>
      <c r="F188" s="445" t="s">
        <v>506</v>
      </c>
      <c r="G188" s="444">
        <f t="shared" si="2"/>
        <v>5318.1900000000023</v>
      </c>
      <c r="H188" s="125"/>
    </row>
    <row r="189" spans="1:8">
      <c r="A189" s="442">
        <v>180</v>
      </c>
      <c r="B189" s="447" t="s">
        <v>2574</v>
      </c>
      <c r="C189" s="434"/>
      <c r="D189" s="458">
        <v>100</v>
      </c>
      <c r="E189" s="443" t="s">
        <v>220</v>
      </c>
      <c r="F189" s="445" t="s">
        <v>506</v>
      </c>
      <c r="G189" s="444">
        <f t="shared" si="2"/>
        <v>5218.1900000000023</v>
      </c>
      <c r="H189" s="125"/>
    </row>
    <row r="190" spans="1:8">
      <c r="A190" s="442">
        <v>181</v>
      </c>
      <c r="B190" s="447" t="s">
        <v>2574</v>
      </c>
      <c r="C190" s="434"/>
      <c r="D190" s="458">
        <v>100</v>
      </c>
      <c r="E190" s="443" t="s">
        <v>220</v>
      </c>
      <c r="F190" s="445" t="s">
        <v>506</v>
      </c>
      <c r="G190" s="444">
        <f t="shared" si="2"/>
        <v>5118.1900000000023</v>
      </c>
      <c r="H190" s="125"/>
    </row>
    <row r="191" spans="1:8">
      <c r="A191" s="442">
        <v>182</v>
      </c>
      <c r="B191" s="447" t="s">
        <v>2574</v>
      </c>
      <c r="C191" s="434"/>
      <c r="D191" s="458">
        <v>100</v>
      </c>
      <c r="E191" s="443" t="s">
        <v>220</v>
      </c>
      <c r="F191" s="445" t="s">
        <v>506</v>
      </c>
      <c r="G191" s="444">
        <f t="shared" si="2"/>
        <v>5018.1900000000023</v>
      </c>
      <c r="H191" s="125"/>
    </row>
    <row r="192" spans="1:8">
      <c r="A192" s="442">
        <v>183</v>
      </c>
      <c r="B192" s="447" t="s">
        <v>2574</v>
      </c>
      <c r="C192" s="434"/>
      <c r="D192" s="458">
        <v>100</v>
      </c>
      <c r="E192" s="443" t="s">
        <v>220</v>
      </c>
      <c r="F192" s="445" t="s">
        <v>506</v>
      </c>
      <c r="G192" s="444">
        <f t="shared" si="2"/>
        <v>4918.1900000000023</v>
      </c>
      <c r="H192" s="125"/>
    </row>
    <row r="193" spans="1:8">
      <c r="A193" s="442">
        <v>184</v>
      </c>
      <c r="B193" s="447" t="s">
        <v>2574</v>
      </c>
      <c r="C193" s="434"/>
      <c r="D193" s="458">
        <v>100</v>
      </c>
      <c r="E193" s="443" t="s">
        <v>220</v>
      </c>
      <c r="F193" s="445" t="s">
        <v>506</v>
      </c>
      <c r="G193" s="444">
        <f t="shared" si="2"/>
        <v>4818.1900000000023</v>
      </c>
      <c r="H193" s="125"/>
    </row>
    <row r="194" spans="1:8">
      <c r="A194" s="442">
        <v>185</v>
      </c>
      <c r="B194" s="447" t="s">
        <v>2574</v>
      </c>
      <c r="C194" s="434"/>
      <c r="D194" s="458">
        <v>100</v>
      </c>
      <c r="E194" s="443" t="s">
        <v>220</v>
      </c>
      <c r="F194" s="445" t="s">
        <v>506</v>
      </c>
      <c r="G194" s="444">
        <f t="shared" si="2"/>
        <v>4718.1900000000023</v>
      </c>
      <c r="H194" s="125"/>
    </row>
    <row r="195" spans="1:8">
      <c r="A195" s="442">
        <v>186</v>
      </c>
      <c r="B195" s="447" t="s">
        <v>2574</v>
      </c>
      <c r="C195" s="434"/>
      <c r="D195" s="458">
        <v>100</v>
      </c>
      <c r="E195" s="443" t="s">
        <v>220</v>
      </c>
      <c r="F195" s="445" t="s">
        <v>506</v>
      </c>
      <c r="G195" s="444">
        <f t="shared" si="2"/>
        <v>4618.1900000000023</v>
      </c>
      <c r="H195" s="125"/>
    </row>
    <row r="196" spans="1:8">
      <c r="A196" s="442">
        <v>187</v>
      </c>
      <c r="B196" s="447" t="s">
        <v>2574</v>
      </c>
      <c r="C196" s="434"/>
      <c r="D196" s="458">
        <v>100</v>
      </c>
      <c r="E196" s="443" t="s">
        <v>220</v>
      </c>
      <c r="F196" s="445" t="s">
        <v>506</v>
      </c>
      <c r="G196" s="444">
        <f t="shared" si="2"/>
        <v>4518.1900000000023</v>
      </c>
      <c r="H196" s="125"/>
    </row>
    <row r="197" spans="1:8">
      <c r="A197" s="442">
        <v>188</v>
      </c>
      <c r="B197" s="447" t="s">
        <v>2574</v>
      </c>
      <c r="C197" s="434"/>
      <c r="D197" s="458">
        <v>100</v>
      </c>
      <c r="E197" s="443" t="s">
        <v>220</v>
      </c>
      <c r="F197" s="445" t="s">
        <v>506</v>
      </c>
      <c r="G197" s="444">
        <f t="shared" si="2"/>
        <v>4418.1900000000023</v>
      </c>
      <c r="H197" s="125"/>
    </row>
    <row r="198" spans="1:8">
      <c r="A198" s="442">
        <v>189</v>
      </c>
      <c r="B198" s="447" t="s">
        <v>2574</v>
      </c>
      <c r="C198" s="434"/>
      <c r="D198" s="458">
        <v>100</v>
      </c>
      <c r="E198" s="443" t="s">
        <v>220</v>
      </c>
      <c r="F198" s="445" t="s">
        <v>506</v>
      </c>
      <c r="G198" s="444">
        <f t="shared" si="2"/>
        <v>4318.1900000000023</v>
      </c>
      <c r="H198" s="125"/>
    </row>
    <row r="199" spans="1:8">
      <c r="A199" s="442">
        <v>190</v>
      </c>
      <c r="B199" s="447" t="s">
        <v>2574</v>
      </c>
      <c r="C199" s="434"/>
      <c r="D199" s="458">
        <v>100</v>
      </c>
      <c r="E199" s="443" t="s">
        <v>220</v>
      </c>
      <c r="F199" s="445" t="s">
        <v>506</v>
      </c>
      <c r="G199" s="444">
        <f t="shared" si="2"/>
        <v>4218.1900000000023</v>
      </c>
      <c r="H199" s="125"/>
    </row>
    <row r="200" spans="1:8">
      <c r="A200" s="442">
        <v>191</v>
      </c>
      <c r="B200" s="447" t="s">
        <v>2574</v>
      </c>
      <c r="C200" s="434"/>
      <c r="D200" s="458">
        <v>100</v>
      </c>
      <c r="E200" s="443" t="s">
        <v>220</v>
      </c>
      <c r="F200" s="445" t="s">
        <v>506</v>
      </c>
      <c r="G200" s="444">
        <f t="shared" si="2"/>
        <v>4118.1900000000023</v>
      </c>
      <c r="H200" s="125"/>
    </row>
    <row r="201" spans="1:8">
      <c r="A201" s="442">
        <v>192</v>
      </c>
      <c r="B201" s="447" t="s">
        <v>2574</v>
      </c>
      <c r="C201" s="434"/>
      <c r="D201" s="458">
        <v>100</v>
      </c>
      <c r="E201" s="443" t="s">
        <v>220</v>
      </c>
      <c r="F201" s="445" t="s">
        <v>506</v>
      </c>
      <c r="G201" s="444">
        <f t="shared" si="2"/>
        <v>4018.1900000000023</v>
      </c>
      <c r="H201" s="125"/>
    </row>
    <row r="202" spans="1:8">
      <c r="A202" s="442">
        <v>193</v>
      </c>
      <c r="B202" s="447" t="s">
        <v>2574</v>
      </c>
      <c r="C202" s="434"/>
      <c r="D202" s="458">
        <v>100</v>
      </c>
      <c r="E202" s="443" t="s">
        <v>220</v>
      </c>
      <c r="F202" s="445" t="s">
        <v>506</v>
      </c>
      <c r="G202" s="444">
        <f t="shared" si="2"/>
        <v>3918.1900000000023</v>
      </c>
      <c r="H202" s="125"/>
    </row>
    <row r="203" spans="1:8">
      <c r="A203" s="442">
        <v>194</v>
      </c>
      <c r="B203" s="447" t="s">
        <v>2574</v>
      </c>
      <c r="C203" s="434"/>
      <c r="D203" s="458">
        <v>100</v>
      </c>
      <c r="E203" s="443" t="s">
        <v>220</v>
      </c>
      <c r="F203" s="445" t="s">
        <v>506</v>
      </c>
      <c r="G203" s="444">
        <f t="shared" ref="G203:G220" si="3">G202+C203-D203</f>
        <v>3818.1900000000023</v>
      </c>
      <c r="H203" s="125"/>
    </row>
    <row r="204" spans="1:8">
      <c r="A204" s="442">
        <v>195</v>
      </c>
      <c r="B204" s="447" t="s">
        <v>2574</v>
      </c>
      <c r="C204" s="434"/>
      <c r="D204" s="458">
        <v>100</v>
      </c>
      <c r="E204" s="443" t="s">
        <v>220</v>
      </c>
      <c r="F204" s="445" t="s">
        <v>506</v>
      </c>
      <c r="G204" s="444">
        <f t="shared" si="3"/>
        <v>3718.1900000000023</v>
      </c>
      <c r="H204" s="125"/>
    </row>
    <row r="205" spans="1:8">
      <c r="A205" s="442">
        <v>196</v>
      </c>
      <c r="B205" s="447" t="s">
        <v>2574</v>
      </c>
      <c r="C205" s="434"/>
      <c r="D205" s="458">
        <v>100</v>
      </c>
      <c r="E205" s="443" t="s">
        <v>220</v>
      </c>
      <c r="F205" s="445" t="s">
        <v>506</v>
      </c>
      <c r="G205" s="444">
        <f t="shared" si="3"/>
        <v>3618.1900000000023</v>
      </c>
      <c r="H205" s="125"/>
    </row>
    <row r="206" spans="1:8">
      <c r="A206" s="442">
        <v>197</v>
      </c>
      <c r="B206" s="447" t="s">
        <v>2574</v>
      </c>
      <c r="C206" s="434"/>
      <c r="D206" s="458">
        <v>100</v>
      </c>
      <c r="E206" s="443" t="s">
        <v>220</v>
      </c>
      <c r="F206" s="445" t="s">
        <v>506</v>
      </c>
      <c r="G206" s="444">
        <f t="shared" si="3"/>
        <v>3518.1900000000023</v>
      </c>
      <c r="H206" s="125"/>
    </row>
    <row r="207" spans="1:8">
      <c r="A207" s="442">
        <v>198</v>
      </c>
      <c r="B207" s="447" t="s">
        <v>2574</v>
      </c>
      <c r="C207" s="434"/>
      <c r="D207" s="458">
        <v>100</v>
      </c>
      <c r="E207" s="443" t="s">
        <v>220</v>
      </c>
      <c r="F207" s="445" t="s">
        <v>506</v>
      </c>
      <c r="G207" s="444">
        <f t="shared" si="3"/>
        <v>3418.1900000000023</v>
      </c>
      <c r="H207" s="125"/>
    </row>
    <row r="208" spans="1:8">
      <c r="A208" s="442">
        <v>199</v>
      </c>
      <c r="B208" s="447" t="s">
        <v>2574</v>
      </c>
      <c r="C208" s="434"/>
      <c r="D208" s="458">
        <v>100</v>
      </c>
      <c r="E208" s="443" t="s">
        <v>220</v>
      </c>
      <c r="F208" s="445" t="s">
        <v>506</v>
      </c>
      <c r="G208" s="444">
        <f t="shared" si="3"/>
        <v>3318.1900000000023</v>
      </c>
      <c r="H208" s="125"/>
    </row>
    <row r="209" spans="1:8">
      <c r="A209" s="442">
        <v>200</v>
      </c>
      <c r="B209" s="447" t="s">
        <v>2574</v>
      </c>
      <c r="C209" s="434"/>
      <c r="D209" s="458">
        <v>100</v>
      </c>
      <c r="E209" s="443" t="s">
        <v>220</v>
      </c>
      <c r="F209" s="445" t="s">
        <v>506</v>
      </c>
      <c r="G209" s="444">
        <f t="shared" si="3"/>
        <v>3218.1900000000023</v>
      </c>
      <c r="H209" s="125"/>
    </row>
    <row r="210" spans="1:8">
      <c r="A210" s="442">
        <v>201</v>
      </c>
      <c r="B210" s="447" t="s">
        <v>2574</v>
      </c>
      <c r="C210" s="434"/>
      <c r="D210" s="458">
        <v>100</v>
      </c>
      <c r="E210" s="443" t="s">
        <v>220</v>
      </c>
      <c r="F210" s="445" t="s">
        <v>506</v>
      </c>
      <c r="G210" s="444">
        <f t="shared" si="3"/>
        <v>3118.1900000000023</v>
      </c>
      <c r="H210" s="125"/>
    </row>
    <row r="211" spans="1:8">
      <c r="A211" s="442">
        <v>202</v>
      </c>
      <c r="B211" s="447" t="s">
        <v>2574</v>
      </c>
      <c r="C211" s="434"/>
      <c r="D211" s="458">
        <v>100</v>
      </c>
      <c r="E211" s="443" t="s">
        <v>220</v>
      </c>
      <c r="F211" s="445" t="s">
        <v>506</v>
      </c>
      <c r="G211" s="444">
        <f t="shared" si="3"/>
        <v>3018.1900000000023</v>
      </c>
      <c r="H211" s="125"/>
    </row>
    <row r="212" spans="1:8">
      <c r="A212" s="442">
        <v>203</v>
      </c>
      <c r="B212" s="447" t="s">
        <v>2574</v>
      </c>
      <c r="C212" s="434"/>
      <c r="D212" s="458">
        <v>100</v>
      </c>
      <c r="E212" s="443" t="s">
        <v>220</v>
      </c>
      <c r="F212" s="445" t="s">
        <v>506</v>
      </c>
      <c r="G212" s="444">
        <f t="shared" si="3"/>
        <v>2918.1900000000023</v>
      </c>
      <c r="H212" s="125"/>
    </row>
    <row r="213" spans="1:8">
      <c r="A213" s="442">
        <v>204</v>
      </c>
      <c r="B213" s="447" t="s">
        <v>2574</v>
      </c>
      <c r="C213" s="434"/>
      <c r="D213" s="458">
        <v>100</v>
      </c>
      <c r="E213" s="443" t="s">
        <v>220</v>
      </c>
      <c r="F213" s="445" t="s">
        <v>506</v>
      </c>
      <c r="G213" s="444">
        <f t="shared" si="3"/>
        <v>2818.1900000000023</v>
      </c>
      <c r="H213" s="125"/>
    </row>
    <row r="214" spans="1:8">
      <c r="A214" s="442">
        <v>205</v>
      </c>
      <c r="B214" s="447" t="s">
        <v>2575</v>
      </c>
      <c r="C214" s="434"/>
      <c r="D214" s="457">
        <v>400</v>
      </c>
      <c r="E214" s="443" t="s">
        <v>220</v>
      </c>
      <c r="F214" s="448" t="s">
        <v>2206</v>
      </c>
      <c r="G214" s="444">
        <f t="shared" si="3"/>
        <v>2418.1900000000023</v>
      </c>
      <c r="H214" s="125"/>
    </row>
    <row r="215" spans="1:8">
      <c r="A215" s="442">
        <v>206</v>
      </c>
      <c r="B215" s="447" t="s">
        <v>2575</v>
      </c>
      <c r="C215" s="434"/>
      <c r="D215" s="457">
        <v>400</v>
      </c>
      <c r="E215" s="443" t="s">
        <v>220</v>
      </c>
      <c r="F215" s="448" t="s">
        <v>2206</v>
      </c>
      <c r="G215" s="444">
        <f t="shared" si="3"/>
        <v>2018.1900000000023</v>
      </c>
      <c r="H215" s="125"/>
    </row>
    <row r="216" spans="1:8">
      <c r="A216" s="442">
        <v>207</v>
      </c>
      <c r="B216" s="447" t="s">
        <v>2575</v>
      </c>
      <c r="C216" s="434"/>
      <c r="D216" s="457">
        <v>400</v>
      </c>
      <c r="E216" s="443" t="s">
        <v>220</v>
      </c>
      <c r="F216" s="448" t="s">
        <v>2206</v>
      </c>
      <c r="G216" s="444">
        <f t="shared" si="3"/>
        <v>1618.1900000000023</v>
      </c>
      <c r="H216" s="125"/>
    </row>
    <row r="217" spans="1:8">
      <c r="A217" s="442">
        <v>208</v>
      </c>
      <c r="B217" s="447" t="s">
        <v>2575</v>
      </c>
      <c r="C217" s="434"/>
      <c r="D217" s="457">
        <v>400</v>
      </c>
      <c r="E217" s="443" t="s">
        <v>220</v>
      </c>
      <c r="F217" s="448" t="s">
        <v>2206</v>
      </c>
      <c r="G217" s="444">
        <f t="shared" si="3"/>
        <v>1218.1900000000023</v>
      </c>
      <c r="H217" s="125"/>
    </row>
    <row r="218" spans="1:8">
      <c r="A218" s="442">
        <v>209</v>
      </c>
      <c r="B218" s="447" t="s">
        <v>2575</v>
      </c>
      <c r="C218" s="434"/>
      <c r="D218" s="457">
        <v>400</v>
      </c>
      <c r="E218" s="443" t="s">
        <v>220</v>
      </c>
      <c r="F218" s="448" t="s">
        <v>2206</v>
      </c>
      <c r="G218" s="444">
        <f t="shared" si="3"/>
        <v>818.19000000000233</v>
      </c>
      <c r="H218" s="125"/>
    </row>
    <row r="219" spans="1:8">
      <c r="A219" s="442">
        <v>210</v>
      </c>
      <c r="B219" s="447" t="s">
        <v>2575</v>
      </c>
      <c r="C219" s="434"/>
      <c r="D219" s="457">
        <v>400</v>
      </c>
      <c r="E219" s="443" t="s">
        <v>220</v>
      </c>
      <c r="F219" s="448" t="s">
        <v>2206</v>
      </c>
      <c r="G219" s="444">
        <f t="shared" si="3"/>
        <v>418.19000000000233</v>
      </c>
      <c r="H219" s="125"/>
    </row>
    <row r="220" spans="1:8">
      <c r="A220" s="442">
        <v>211</v>
      </c>
      <c r="B220" s="434"/>
      <c r="C220" s="434"/>
      <c r="D220" s="443"/>
      <c r="E220" s="443"/>
      <c r="F220" s="300"/>
      <c r="G220" s="444">
        <f t="shared" si="3"/>
        <v>418.19000000000233</v>
      </c>
      <c r="H220" s="125"/>
    </row>
    <row r="221" spans="1:8">
      <c r="A221" s="201" t="s">
        <v>318</v>
      </c>
      <c r="B221" s="202"/>
      <c r="C221" s="203"/>
      <c r="D221" s="204"/>
      <c r="E221" s="204"/>
      <c r="F221" s="205"/>
      <c r="G221" s="197"/>
      <c r="H221" s="125"/>
    </row>
    <row r="225" spans="1:10">
      <c r="B225" s="208" t="s">
        <v>107</v>
      </c>
      <c r="F225" s="453"/>
    </row>
    <row r="226" spans="1:10">
      <c r="F226" s="454"/>
      <c r="G226" s="207"/>
      <c r="H226" s="207"/>
      <c r="I226" s="207"/>
      <c r="J226" s="207"/>
    </row>
    <row r="227" spans="1:10">
      <c r="C227" s="210"/>
      <c r="F227" s="455"/>
      <c r="G227" s="211"/>
      <c r="H227" s="207"/>
      <c r="I227" s="207"/>
      <c r="J227" s="207"/>
    </row>
    <row r="228" spans="1:10">
      <c r="A228" s="207"/>
      <c r="C228" s="212" t="s">
        <v>267</v>
      </c>
      <c r="F228" s="456" t="s">
        <v>272</v>
      </c>
      <c r="G228" s="211"/>
      <c r="H228" s="207"/>
      <c r="I228" s="207"/>
      <c r="J228" s="207"/>
    </row>
    <row r="229" spans="1:10">
      <c r="A229" s="207"/>
      <c r="C229" s="214" t="s">
        <v>139</v>
      </c>
      <c r="F229" s="251" t="s">
        <v>268</v>
      </c>
      <c r="G229" s="207"/>
      <c r="H229" s="207"/>
      <c r="I229" s="207"/>
      <c r="J229" s="207"/>
    </row>
    <row r="230" spans="1:10" s="207" customFormat="1">
      <c r="B230" s="206"/>
      <c r="F230" s="454"/>
    </row>
    <row r="231" spans="1:10" s="207" customFormat="1" ht="12.75">
      <c r="F231" s="454"/>
    </row>
    <row r="232" spans="1:10" s="207" customFormat="1" ht="12.75">
      <c r="F232" s="454"/>
    </row>
    <row r="233" spans="1:10" s="207" customFormat="1" ht="12.75">
      <c r="F233" s="454"/>
    </row>
    <row r="234" spans="1:10" s="207" customFormat="1" ht="12.75">
      <c r="F234" s="454"/>
    </row>
  </sheetData>
  <mergeCells count="1">
    <mergeCell ref="G2:H2"/>
  </mergeCells>
  <printOptions gridLines="1"/>
  <pageMargins left="0.7" right="0.7" top="0.75" bottom="0.75" header="0.3" footer="0.3"/>
  <pageSetup scale="1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A8" zoomScaleNormal="100" workbookViewId="0">
      <selection activeCell="J9" sqref="J9"/>
    </sheetView>
  </sheetViews>
  <sheetFormatPr defaultRowHeight="12.75"/>
  <cols>
    <col min="1" max="1" width="50" style="410" customWidth="1"/>
    <col min="2" max="2" width="18.5703125" style="410" customWidth="1"/>
    <col min="3" max="3" width="17.140625" style="410" customWidth="1"/>
    <col min="4" max="4" width="12.85546875" style="410" customWidth="1"/>
    <col min="5" max="5" width="15.5703125" style="410" customWidth="1"/>
    <col min="6" max="6" width="12.42578125" style="410" customWidth="1"/>
    <col min="7" max="7" width="16.5703125" style="410" customWidth="1"/>
    <col min="8" max="8" width="16.28515625" style="410" customWidth="1"/>
    <col min="9" max="9" width="9.85546875" style="410" customWidth="1"/>
    <col min="10" max="10" width="12.7109375" style="410" customWidth="1"/>
    <col min="11" max="16384" width="9.140625" style="410"/>
  </cols>
  <sheetData>
    <row r="1" spans="1:11" s="22" customFormat="1" ht="15">
      <c r="A1" s="151" t="s">
        <v>306</v>
      </c>
      <c r="B1" s="152"/>
      <c r="C1" s="152"/>
      <c r="D1" s="152"/>
      <c r="E1" s="152"/>
      <c r="F1" s="83"/>
      <c r="G1" s="83"/>
      <c r="H1" s="83"/>
      <c r="I1" s="584" t="s">
        <v>110</v>
      </c>
      <c r="J1" s="584"/>
    </row>
    <row r="2" spans="1:11" s="22" customFormat="1" ht="15">
      <c r="A2" s="125" t="s">
        <v>140</v>
      </c>
      <c r="B2" s="152"/>
      <c r="C2" s="152"/>
      <c r="D2" s="152"/>
      <c r="E2" s="152"/>
      <c r="F2" s="153"/>
      <c r="G2" s="154"/>
      <c r="H2" s="154"/>
      <c r="I2" s="580" t="s">
        <v>2558</v>
      </c>
      <c r="J2" s="581"/>
    </row>
    <row r="3" spans="1:11" s="22" customFormat="1" ht="15">
      <c r="A3" s="152"/>
      <c r="B3" s="152"/>
      <c r="C3" s="152"/>
      <c r="D3" s="152"/>
      <c r="E3" s="152"/>
      <c r="F3" s="153"/>
      <c r="G3" s="154"/>
      <c r="H3" s="154"/>
      <c r="I3" s="155"/>
      <c r="J3" s="309"/>
    </row>
    <row r="4" spans="1:11" s="2" customFormat="1" ht="15">
      <c r="A4" s="81" t="str">
        <f>'[4]ფორმა N2'!A4</f>
        <v>ანგარიშვალდებული პირის დასახელება:</v>
      </c>
      <c r="B4" s="81"/>
      <c r="C4" s="81"/>
      <c r="D4" s="81"/>
      <c r="E4" s="81"/>
      <c r="F4" s="82"/>
      <c r="G4" s="82"/>
      <c r="H4" s="82"/>
      <c r="I4" s="142"/>
      <c r="J4" s="81"/>
    </row>
    <row r="5" spans="1:11" s="2" customFormat="1" ht="15">
      <c r="A5" s="244" t="s">
        <v>503</v>
      </c>
      <c r="B5" s="244"/>
      <c r="C5" s="244"/>
      <c r="D5" s="140"/>
      <c r="E5" s="140"/>
      <c r="F5" s="45"/>
      <c r="G5" s="45"/>
      <c r="H5" s="45"/>
      <c r="I5" s="148"/>
      <c r="J5" s="45"/>
    </row>
    <row r="6" spans="1:11" s="22" customFormat="1" ht="13.5">
      <c r="A6" s="156"/>
      <c r="B6" s="157"/>
      <c r="C6" s="157"/>
      <c r="D6" s="152"/>
      <c r="E6" s="152"/>
      <c r="F6" s="152"/>
      <c r="G6" s="152"/>
      <c r="H6" s="152"/>
      <c r="I6" s="152"/>
      <c r="J6" s="152"/>
    </row>
    <row r="7" spans="1:11" s="391" customFormat="1" ht="53.25" customHeight="1">
      <c r="A7" s="389"/>
      <c r="B7" s="586" t="s">
        <v>219</v>
      </c>
      <c r="C7" s="586"/>
      <c r="D7" s="586" t="s">
        <v>294</v>
      </c>
      <c r="E7" s="586"/>
      <c r="F7" s="586" t="s">
        <v>295</v>
      </c>
      <c r="G7" s="586"/>
      <c r="H7" s="390" t="s">
        <v>281</v>
      </c>
      <c r="I7" s="586" t="s">
        <v>222</v>
      </c>
      <c r="J7" s="586"/>
    </row>
    <row r="8" spans="1:11" s="391" customFormat="1" ht="15">
      <c r="A8" s="392" t="s">
        <v>116</v>
      </c>
      <c r="B8" s="393" t="s">
        <v>221</v>
      </c>
      <c r="C8" s="394" t="s">
        <v>220</v>
      </c>
      <c r="D8" s="393" t="s">
        <v>221</v>
      </c>
      <c r="E8" s="394" t="s">
        <v>220</v>
      </c>
      <c r="F8" s="393" t="s">
        <v>221</v>
      </c>
      <c r="G8" s="394" t="s">
        <v>220</v>
      </c>
      <c r="H8" s="394" t="s">
        <v>220</v>
      </c>
      <c r="I8" s="393" t="s">
        <v>221</v>
      </c>
      <c r="J8" s="394" t="s">
        <v>220</v>
      </c>
    </row>
    <row r="9" spans="1:11" s="391" customFormat="1" ht="15">
      <c r="A9" s="395" t="s">
        <v>117</v>
      </c>
      <c r="B9" s="484">
        <f>B10+B14+B24</f>
        <v>52467</v>
      </c>
      <c r="C9" s="484">
        <f>C10+C14+C24</f>
        <v>475834.98</v>
      </c>
      <c r="D9" s="484">
        <f>SUM(D10,D14,D17)</f>
        <v>177</v>
      </c>
      <c r="E9" s="484">
        <f t="shared" ref="E9:J9" si="0">E10+E14+E24</f>
        <v>178896.51</v>
      </c>
      <c r="F9" s="484">
        <f t="shared" si="0"/>
        <v>52004</v>
      </c>
      <c r="G9" s="484">
        <f t="shared" si="0"/>
        <v>291300</v>
      </c>
      <c r="H9" s="484">
        <f t="shared" si="0"/>
        <v>121764.22</v>
      </c>
      <c r="I9" s="484">
        <f t="shared" si="0"/>
        <v>640</v>
      </c>
      <c r="J9" s="484">
        <f t="shared" si="0"/>
        <v>241667.27</v>
      </c>
    </row>
    <row r="10" spans="1:11" s="391" customFormat="1" ht="15">
      <c r="A10" s="397" t="s">
        <v>118</v>
      </c>
      <c r="B10" s="398">
        <v>0</v>
      </c>
      <c r="C10" s="398">
        <v>0</v>
      </c>
      <c r="D10" s="398"/>
      <c r="E10" s="398"/>
      <c r="F10" s="398"/>
      <c r="G10" s="398"/>
      <c r="H10" s="398">
        <f>SUM(H11:H13)</f>
        <v>0</v>
      </c>
      <c r="I10" s="398">
        <v>0</v>
      </c>
      <c r="J10" s="398">
        <v>0</v>
      </c>
    </row>
    <row r="11" spans="1:11" s="391" customFormat="1" ht="15">
      <c r="A11" s="397" t="s">
        <v>119</v>
      </c>
      <c r="B11" s="399"/>
      <c r="C11" s="399"/>
      <c r="D11" s="399"/>
      <c r="E11" s="399"/>
      <c r="F11" s="399"/>
      <c r="G11" s="399"/>
      <c r="H11" s="399"/>
      <c r="I11" s="399"/>
      <c r="J11" s="399"/>
    </row>
    <row r="12" spans="1:11" s="391" customFormat="1" ht="15">
      <c r="A12" s="397" t="s">
        <v>120</v>
      </c>
      <c r="B12" s="399"/>
      <c r="C12" s="399"/>
      <c r="D12" s="399"/>
      <c r="E12" s="399"/>
      <c r="F12" s="399"/>
      <c r="G12" s="399"/>
      <c r="H12" s="399"/>
      <c r="I12" s="399"/>
      <c r="J12" s="399"/>
    </row>
    <row r="13" spans="1:11" s="391" customFormat="1" ht="15">
      <c r="A13" s="397" t="s">
        <v>121</v>
      </c>
      <c r="B13" s="399"/>
      <c r="C13" s="399"/>
      <c r="D13" s="399"/>
      <c r="E13" s="399"/>
      <c r="F13" s="399"/>
      <c r="G13" s="399"/>
      <c r="H13" s="399"/>
      <c r="I13" s="399"/>
      <c r="J13" s="399"/>
    </row>
    <row r="14" spans="1:11" s="391" customFormat="1" ht="15">
      <c r="A14" s="397" t="s">
        <v>122</v>
      </c>
      <c r="B14" s="400">
        <f t="shared" ref="B14:J14" si="1">SUM(B15:B23)</f>
        <v>467</v>
      </c>
      <c r="C14" s="400">
        <f t="shared" si="1"/>
        <v>360534.98</v>
      </c>
      <c r="D14" s="400">
        <f t="shared" si="1"/>
        <v>177</v>
      </c>
      <c r="E14" s="400">
        <f t="shared" si="1"/>
        <v>178896.51</v>
      </c>
      <c r="F14" s="400">
        <f t="shared" si="1"/>
        <v>4</v>
      </c>
      <c r="G14" s="400">
        <f t="shared" si="1"/>
        <v>176000</v>
      </c>
      <c r="H14" s="400">
        <f t="shared" si="1"/>
        <v>121764.22</v>
      </c>
      <c r="I14" s="400">
        <f t="shared" si="1"/>
        <v>640</v>
      </c>
      <c r="J14" s="400">
        <f t="shared" si="1"/>
        <v>241667.27</v>
      </c>
    </row>
    <row r="15" spans="1:11" s="403" customFormat="1" ht="15">
      <c r="A15" s="401" t="s">
        <v>123</v>
      </c>
      <c r="B15" s="402">
        <v>4</v>
      </c>
      <c r="C15" s="402">
        <v>237347.39</v>
      </c>
      <c r="D15" s="402"/>
      <c r="E15" s="402"/>
      <c r="F15" s="402">
        <v>4</v>
      </c>
      <c r="G15" s="402">
        <v>176000</v>
      </c>
      <c r="H15" s="402">
        <v>61347.4</v>
      </c>
      <c r="I15" s="402">
        <f>B15+D15-F15</f>
        <v>0</v>
      </c>
      <c r="J15" s="402">
        <f>C15+E15-G15-H15</f>
        <v>-9.9999999874853529E-3</v>
      </c>
      <c r="K15" s="404"/>
    </row>
    <row r="16" spans="1:11" s="403" customFormat="1" ht="15">
      <c r="A16" s="401" t="s">
        <v>2280</v>
      </c>
      <c r="B16" s="402">
        <v>463</v>
      </c>
      <c r="C16" s="402">
        <f>194266.49-71078.9</f>
        <v>123187.59</v>
      </c>
      <c r="D16" s="402">
        <v>177</v>
      </c>
      <c r="E16" s="478">
        <f>107817.61+71078.9</f>
        <v>178896.51</v>
      </c>
      <c r="F16" s="402">
        <v>0</v>
      </c>
      <c r="G16" s="402">
        <v>0</v>
      </c>
      <c r="H16" s="402">
        <v>60416.82</v>
      </c>
      <c r="I16" s="402">
        <f t="shared" ref="I16:I25" si="2">B16+D16-F16</f>
        <v>640</v>
      </c>
      <c r="J16" s="402">
        <f>C16+E16-G16-H16</f>
        <v>241667.27999999997</v>
      </c>
      <c r="K16" s="404"/>
    </row>
    <row r="17" spans="1:11" s="403" customFormat="1" ht="15">
      <c r="A17" s="401" t="s">
        <v>124</v>
      </c>
      <c r="B17" s="405">
        <v>0</v>
      </c>
      <c r="C17" s="405">
        <v>0</v>
      </c>
      <c r="D17" s="405"/>
      <c r="E17" s="405"/>
      <c r="F17" s="405"/>
      <c r="G17" s="405"/>
      <c r="H17" s="405"/>
      <c r="I17" s="402">
        <f t="shared" si="2"/>
        <v>0</v>
      </c>
      <c r="J17" s="402">
        <f t="shared" ref="J17:J25" si="3">C17+E17-G17</f>
        <v>0</v>
      </c>
    </row>
    <row r="18" spans="1:11" s="403" customFormat="1" ht="15">
      <c r="A18" s="401" t="s">
        <v>125</v>
      </c>
      <c r="B18" s="402"/>
      <c r="C18" s="402"/>
      <c r="D18" s="402"/>
      <c r="E18" s="402"/>
      <c r="F18" s="402"/>
      <c r="G18" s="402"/>
      <c r="H18" s="402"/>
      <c r="I18" s="402">
        <f t="shared" si="2"/>
        <v>0</v>
      </c>
      <c r="J18" s="402">
        <f t="shared" si="3"/>
        <v>0</v>
      </c>
    </row>
    <row r="19" spans="1:11" s="403" customFormat="1" ht="15">
      <c r="A19" s="401" t="s">
        <v>126</v>
      </c>
      <c r="B19" s="405">
        <v>0</v>
      </c>
      <c r="C19" s="405">
        <v>0</v>
      </c>
      <c r="D19" s="405"/>
      <c r="E19" s="405"/>
      <c r="F19" s="405"/>
      <c r="G19" s="405"/>
      <c r="H19" s="405"/>
      <c r="I19" s="402">
        <f t="shared" si="2"/>
        <v>0</v>
      </c>
      <c r="J19" s="402">
        <f t="shared" si="3"/>
        <v>0</v>
      </c>
    </row>
    <row r="20" spans="1:11" s="403" customFormat="1" ht="15">
      <c r="A20" s="401" t="s">
        <v>127</v>
      </c>
      <c r="B20" s="402"/>
      <c r="C20" s="402"/>
      <c r="D20" s="402"/>
      <c r="E20" s="402"/>
      <c r="F20" s="402"/>
      <c r="G20" s="402"/>
      <c r="H20" s="402"/>
      <c r="I20" s="402">
        <f t="shared" si="2"/>
        <v>0</v>
      </c>
      <c r="J20" s="402">
        <f t="shared" si="3"/>
        <v>0</v>
      </c>
    </row>
    <row r="21" spans="1:11" s="403" customFormat="1" ht="15">
      <c r="A21" s="401" t="s">
        <v>128</v>
      </c>
      <c r="B21" s="402"/>
      <c r="C21" s="402"/>
      <c r="D21" s="402"/>
      <c r="E21" s="402"/>
      <c r="F21" s="402"/>
      <c r="G21" s="402"/>
      <c r="H21" s="402"/>
      <c r="I21" s="402">
        <f t="shared" si="2"/>
        <v>0</v>
      </c>
      <c r="J21" s="402">
        <f t="shared" si="3"/>
        <v>0</v>
      </c>
    </row>
    <row r="22" spans="1:11" s="403" customFormat="1" ht="15">
      <c r="A22" s="401" t="s">
        <v>129</v>
      </c>
      <c r="B22" s="402"/>
      <c r="C22" s="402"/>
      <c r="D22" s="402"/>
      <c r="E22" s="402"/>
      <c r="F22" s="402"/>
      <c r="G22" s="402"/>
      <c r="H22" s="402"/>
      <c r="I22" s="402">
        <f t="shared" si="2"/>
        <v>0</v>
      </c>
      <c r="J22" s="402">
        <f t="shared" si="3"/>
        <v>0</v>
      </c>
    </row>
    <row r="23" spans="1:11" s="403" customFormat="1" ht="15">
      <c r="A23" s="401" t="s">
        <v>130</v>
      </c>
      <c r="B23" s="402"/>
      <c r="C23" s="402"/>
      <c r="D23" s="402"/>
      <c r="E23" s="402"/>
      <c r="F23" s="402"/>
      <c r="G23" s="402"/>
      <c r="H23" s="402"/>
      <c r="I23" s="402">
        <f t="shared" si="2"/>
        <v>0</v>
      </c>
      <c r="J23" s="402">
        <f t="shared" si="3"/>
        <v>0</v>
      </c>
    </row>
    <row r="24" spans="1:11" s="403" customFormat="1" ht="15">
      <c r="A24" s="406" t="s">
        <v>131</v>
      </c>
      <c r="B24" s="407">
        <f t="shared" ref="B24:J24" si="4">SUM(B25:B31)</f>
        <v>52000</v>
      </c>
      <c r="C24" s="407">
        <f t="shared" si="4"/>
        <v>115300</v>
      </c>
      <c r="D24" s="407">
        <f t="shared" si="4"/>
        <v>0</v>
      </c>
      <c r="E24" s="407">
        <f t="shared" si="4"/>
        <v>0</v>
      </c>
      <c r="F24" s="407">
        <f t="shared" si="4"/>
        <v>52000</v>
      </c>
      <c r="G24" s="407">
        <f t="shared" si="4"/>
        <v>115300</v>
      </c>
      <c r="H24" s="407">
        <f t="shared" si="4"/>
        <v>0</v>
      </c>
      <c r="I24" s="407">
        <f t="shared" si="4"/>
        <v>0</v>
      </c>
      <c r="J24" s="407">
        <f t="shared" si="4"/>
        <v>0</v>
      </c>
    </row>
    <row r="25" spans="1:11" s="403" customFormat="1" ht="15">
      <c r="A25" s="401" t="s">
        <v>2281</v>
      </c>
      <c r="B25" s="479">
        <f>30000+20000</f>
        <v>50000</v>
      </c>
      <c r="C25" s="479">
        <f>64500+40800</f>
        <v>105300</v>
      </c>
      <c r="D25" s="402"/>
      <c r="E25" s="402"/>
      <c r="F25" s="479">
        <f>30000+20000</f>
        <v>50000</v>
      </c>
      <c r="G25" s="479">
        <f>64500+40800</f>
        <v>105300</v>
      </c>
      <c r="H25" s="402"/>
      <c r="I25" s="479">
        <f t="shared" si="2"/>
        <v>0</v>
      </c>
      <c r="J25" s="479">
        <f t="shared" si="3"/>
        <v>0</v>
      </c>
    </row>
    <row r="26" spans="1:11" s="391" customFormat="1" ht="15">
      <c r="A26" s="397" t="s">
        <v>259</v>
      </c>
      <c r="B26" s="399"/>
      <c r="C26" s="399"/>
      <c r="D26" s="399"/>
      <c r="E26" s="399"/>
      <c r="F26" s="399"/>
      <c r="G26" s="399"/>
      <c r="H26" s="399"/>
      <c r="I26" s="479">
        <f t="shared" ref="I26:I31" si="5">B26+D26-F26</f>
        <v>0</v>
      </c>
      <c r="J26" s="479">
        <f t="shared" ref="J26:J31" si="6">C26+E26-G26</f>
        <v>0</v>
      </c>
    </row>
    <row r="27" spans="1:11" s="391" customFormat="1" ht="15">
      <c r="A27" s="397" t="s">
        <v>260</v>
      </c>
      <c r="B27" s="399"/>
      <c r="C27" s="399"/>
      <c r="D27" s="399"/>
      <c r="E27" s="399"/>
      <c r="F27" s="399"/>
      <c r="G27" s="399"/>
      <c r="H27" s="399"/>
      <c r="I27" s="479">
        <f t="shared" si="5"/>
        <v>0</v>
      </c>
      <c r="J27" s="479">
        <f t="shared" si="6"/>
        <v>0</v>
      </c>
    </row>
    <row r="28" spans="1:11" s="391" customFormat="1" ht="30">
      <c r="A28" s="397" t="s">
        <v>261</v>
      </c>
      <c r="B28" s="399"/>
      <c r="C28" s="399"/>
      <c r="D28" s="399"/>
      <c r="E28" s="399"/>
      <c r="F28" s="399"/>
      <c r="G28" s="399"/>
      <c r="H28" s="399"/>
      <c r="I28" s="479">
        <f t="shared" si="5"/>
        <v>0</v>
      </c>
      <c r="J28" s="479">
        <f t="shared" si="6"/>
        <v>0</v>
      </c>
    </row>
    <row r="29" spans="1:11" s="391" customFormat="1" ht="15">
      <c r="A29" s="397" t="s">
        <v>262</v>
      </c>
      <c r="B29" s="399"/>
      <c r="C29" s="399"/>
      <c r="D29" s="399"/>
      <c r="E29" s="399"/>
      <c r="F29" s="399"/>
      <c r="G29" s="399"/>
      <c r="H29" s="399"/>
      <c r="I29" s="479">
        <f t="shared" si="5"/>
        <v>0</v>
      </c>
      <c r="J29" s="479">
        <f t="shared" si="6"/>
        <v>0</v>
      </c>
    </row>
    <row r="30" spans="1:11" s="391" customFormat="1" ht="15">
      <c r="A30" s="397" t="s">
        <v>263</v>
      </c>
      <c r="B30" s="399"/>
      <c r="C30" s="399"/>
      <c r="D30" s="399"/>
      <c r="E30" s="399"/>
      <c r="F30" s="399"/>
      <c r="G30" s="399"/>
      <c r="H30" s="399"/>
      <c r="I30" s="479">
        <f t="shared" si="5"/>
        <v>0</v>
      </c>
      <c r="J30" s="479">
        <f t="shared" si="6"/>
        <v>0</v>
      </c>
    </row>
    <row r="31" spans="1:11" s="403" customFormat="1" ht="15">
      <c r="A31" s="401" t="s">
        <v>2282</v>
      </c>
      <c r="B31" s="402">
        <v>2000</v>
      </c>
      <c r="C31" s="402">
        <v>10000</v>
      </c>
      <c r="D31" s="402"/>
      <c r="E31" s="402"/>
      <c r="F31" s="402">
        <v>2000</v>
      </c>
      <c r="G31" s="402">
        <v>10000</v>
      </c>
      <c r="H31" s="402"/>
      <c r="I31" s="479">
        <f t="shared" si="5"/>
        <v>0</v>
      </c>
      <c r="J31" s="479">
        <f t="shared" si="6"/>
        <v>0</v>
      </c>
      <c r="K31" s="404"/>
    </row>
    <row r="32" spans="1:11" s="391" customFormat="1" ht="15">
      <c r="A32" s="395" t="s">
        <v>132</v>
      </c>
      <c r="B32" s="396">
        <v>0</v>
      </c>
      <c r="C32" s="396">
        <v>0</v>
      </c>
      <c r="D32" s="396">
        <f>SUM(D33:D35)</f>
        <v>0</v>
      </c>
      <c r="E32" s="396">
        <f>SUM(E33:E35)</f>
        <v>0</v>
      </c>
      <c r="F32" s="396">
        <f>SUM(F33:F35)</f>
        <v>0</v>
      </c>
      <c r="G32" s="396">
        <f>SUM(G33:G35)</f>
        <v>0</v>
      </c>
      <c r="H32" s="396"/>
      <c r="I32" s="396">
        <v>0</v>
      </c>
      <c r="J32" s="396">
        <v>0</v>
      </c>
      <c r="K32" s="408"/>
    </row>
    <row r="33" spans="1:10" s="391" customFormat="1" ht="15">
      <c r="A33" s="397" t="s">
        <v>264</v>
      </c>
      <c r="B33" s="399"/>
      <c r="C33" s="399"/>
      <c r="D33" s="399"/>
      <c r="E33" s="399"/>
      <c r="F33" s="399"/>
      <c r="G33" s="399"/>
      <c r="H33" s="399"/>
      <c r="I33" s="399"/>
      <c r="J33" s="399"/>
    </row>
    <row r="34" spans="1:10" s="391" customFormat="1" ht="15">
      <c r="A34" s="397" t="s">
        <v>265</v>
      </c>
      <c r="B34" s="399"/>
      <c r="C34" s="399"/>
      <c r="D34" s="399"/>
      <c r="E34" s="399"/>
      <c r="F34" s="399"/>
      <c r="G34" s="399"/>
      <c r="H34" s="399"/>
      <c r="I34" s="399"/>
      <c r="J34" s="399"/>
    </row>
    <row r="35" spans="1:10" s="391" customFormat="1" ht="15">
      <c r="A35" s="397" t="s">
        <v>266</v>
      </c>
      <c r="B35" s="399"/>
      <c r="C35" s="399"/>
      <c r="D35" s="399"/>
      <c r="E35" s="399"/>
      <c r="F35" s="399"/>
      <c r="G35" s="399"/>
      <c r="H35" s="399"/>
      <c r="I35" s="399"/>
      <c r="J35" s="399"/>
    </row>
    <row r="36" spans="1:10" s="391" customFormat="1" ht="15">
      <c r="A36" s="395" t="s">
        <v>133</v>
      </c>
      <c r="B36" s="396">
        <v>0</v>
      </c>
      <c r="C36" s="396">
        <v>0</v>
      </c>
      <c r="D36" s="396">
        <f>SUM(D37:D39,D42)</f>
        <v>0</v>
      </c>
      <c r="E36" s="396">
        <f>SUM(E37:E39,E42)</f>
        <v>836840.25</v>
      </c>
      <c r="F36" s="396">
        <f>SUM(F37:F39,F42)</f>
        <v>0</v>
      </c>
      <c r="G36" s="396">
        <f>SUM(G37:G39,G42)</f>
        <v>0</v>
      </c>
      <c r="H36" s="396"/>
      <c r="I36" s="396">
        <v>0</v>
      </c>
      <c r="J36" s="396">
        <v>0</v>
      </c>
    </row>
    <row r="37" spans="1:10" s="391" customFormat="1" ht="15">
      <c r="A37" s="397" t="s">
        <v>134</v>
      </c>
      <c r="B37" s="399"/>
      <c r="C37" s="399"/>
      <c r="D37" s="399"/>
      <c r="E37" s="399"/>
      <c r="F37" s="399"/>
      <c r="G37" s="399"/>
      <c r="H37" s="399"/>
      <c r="I37" s="399"/>
      <c r="J37" s="399"/>
    </row>
    <row r="38" spans="1:10" s="391" customFormat="1" ht="15">
      <c r="A38" s="397" t="s">
        <v>135</v>
      </c>
      <c r="B38" s="399"/>
      <c r="C38" s="399"/>
      <c r="D38" s="399"/>
      <c r="E38" s="399"/>
      <c r="F38" s="399"/>
      <c r="G38" s="399"/>
      <c r="H38" s="399"/>
      <c r="I38" s="399"/>
      <c r="J38" s="399"/>
    </row>
    <row r="39" spans="1:10" s="391" customFormat="1" ht="15">
      <c r="A39" s="397" t="s">
        <v>136</v>
      </c>
      <c r="B39" s="398">
        <v>0</v>
      </c>
      <c r="C39" s="398">
        <v>0</v>
      </c>
      <c r="D39" s="398">
        <f>SUM(D40:D41)</f>
        <v>0</v>
      </c>
      <c r="E39" s="398">
        <f>SUM(E40:E41)</f>
        <v>0</v>
      </c>
      <c r="F39" s="398">
        <f>SUM(F40:F41)</f>
        <v>0</v>
      </c>
      <c r="G39" s="398">
        <f>SUM(G40:G41)</f>
        <v>0</v>
      </c>
      <c r="H39" s="398"/>
      <c r="I39" s="398">
        <v>0</v>
      </c>
      <c r="J39" s="398">
        <v>0</v>
      </c>
    </row>
    <row r="40" spans="1:10" s="391" customFormat="1" ht="30">
      <c r="A40" s="397" t="s">
        <v>2283</v>
      </c>
      <c r="B40" s="399"/>
      <c r="C40" s="399"/>
      <c r="D40" s="399"/>
      <c r="E40" s="399"/>
      <c r="F40" s="399"/>
      <c r="G40" s="399"/>
      <c r="H40" s="399"/>
      <c r="I40" s="399"/>
      <c r="J40" s="399"/>
    </row>
    <row r="41" spans="1:10" s="391" customFormat="1" ht="15">
      <c r="A41" s="397" t="s">
        <v>137</v>
      </c>
      <c r="B41" s="399"/>
      <c r="C41" s="399"/>
      <c r="D41" s="399"/>
      <c r="E41" s="399"/>
      <c r="F41" s="399"/>
      <c r="G41" s="399"/>
      <c r="H41" s="399"/>
      <c r="I41" s="399"/>
      <c r="J41" s="399"/>
    </row>
    <row r="42" spans="1:10" s="391" customFormat="1" ht="15">
      <c r="A42" s="397" t="s">
        <v>138</v>
      </c>
      <c r="B42" s="399">
        <v>0</v>
      </c>
      <c r="C42" s="399">
        <v>0</v>
      </c>
      <c r="D42" s="399">
        <v>0</v>
      </c>
      <c r="E42" s="373">
        <v>836840.25</v>
      </c>
      <c r="F42" s="399">
        <v>0</v>
      </c>
      <c r="G42" s="399">
        <v>0</v>
      </c>
      <c r="H42" s="399"/>
      <c r="I42" s="399">
        <v>0</v>
      </c>
      <c r="J42" s="373">
        <v>836840.25</v>
      </c>
    </row>
    <row r="43" spans="1:10" ht="15">
      <c r="A43" s="409"/>
      <c r="B43" s="409"/>
      <c r="C43" s="409"/>
      <c r="D43" s="409"/>
      <c r="E43" s="409"/>
      <c r="F43" s="409"/>
      <c r="G43" s="409"/>
      <c r="H43" s="409"/>
      <c r="I43" s="409"/>
      <c r="J43" s="409"/>
    </row>
    <row r="44" spans="1:10" s="22" customFormat="1"/>
    <row r="45" spans="1:10" s="22" customFormat="1">
      <c r="A45" s="410"/>
    </row>
    <row r="46" spans="1:10" s="2" customFormat="1" ht="15">
      <c r="A46" s="73" t="s">
        <v>107</v>
      </c>
      <c r="D46" s="5"/>
    </row>
    <row r="47" spans="1:10" s="2" customFormat="1" ht="15">
      <c r="D47"/>
      <c r="E47"/>
      <c r="F47"/>
      <c r="G47"/>
      <c r="I47"/>
    </row>
    <row r="48" spans="1:10" s="2" customFormat="1" ht="15">
      <c r="B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F50" s="2" t="s">
        <v>268</v>
      </c>
      <c r="G50"/>
      <c r="I50"/>
      <c r="J50"/>
    </row>
    <row r="51" spans="1:10" customFormat="1" ht="15">
      <c r="A51" s="2"/>
      <c r="B51" s="66" t="s">
        <v>139</v>
      </c>
      <c r="H51" s="410"/>
    </row>
    <row r="52" spans="1:10" s="2" customFormat="1" ht="15">
      <c r="A52" s="11"/>
      <c r="B52" s="11"/>
      <c r="C52" s="11"/>
    </row>
    <row r="53" spans="1:10" ht="15">
      <c r="A53" s="409"/>
      <c r="B53" s="409"/>
      <c r="C53" s="409"/>
      <c r="D53" s="409"/>
      <c r="E53" s="409"/>
      <c r="F53" s="409"/>
      <c r="G53" s="409"/>
      <c r="H53" s="409"/>
      <c r="I53" s="409"/>
      <c r="J53" s="409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61" orientation="landscape" r:id="rId1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Normal="100" zoomScaleSheetLayoutView="70" workbookViewId="0">
      <selection activeCell="C1" sqref="C1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3"/>
  </cols>
  <sheetData>
    <row r="1" spans="1:12" s="22" customFormat="1" ht="15">
      <c r="A1" s="151" t="s">
        <v>307</v>
      </c>
      <c r="B1" s="152"/>
      <c r="C1" s="152"/>
      <c r="D1" s="152"/>
      <c r="E1" s="152"/>
      <c r="F1" s="152"/>
      <c r="G1" s="158"/>
      <c r="H1" s="105" t="s">
        <v>197</v>
      </c>
      <c r="I1" s="158"/>
      <c r="J1" s="68"/>
      <c r="K1" s="68"/>
      <c r="L1" s="68"/>
    </row>
    <row r="2" spans="1:12" s="22" customFormat="1" ht="15">
      <c r="A2" s="125" t="s">
        <v>140</v>
      </c>
      <c r="B2" s="152"/>
      <c r="C2" s="152"/>
      <c r="D2" s="152"/>
      <c r="E2" s="152"/>
      <c r="F2" s="152"/>
      <c r="G2" s="159"/>
      <c r="H2" s="580" t="s">
        <v>2558</v>
      </c>
      <c r="I2" s="581"/>
      <c r="J2" s="68"/>
      <c r="K2" s="68"/>
      <c r="L2" s="68"/>
    </row>
    <row r="3" spans="1:12" s="22" customFormat="1" ht="15">
      <c r="A3" s="152"/>
      <c r="B3" s="152"/>
      <c r="C3" s="152"/>
      <c r="D3" s="152"/>
      <c r="E3" s="152"/>
      <c r="F3" s="152"/>
      <c r="G3" s="159"/>
      <c r="H3" s="155"/>
      <c r="I3" s="159"/>
      <c r="J3" s="68"/>
      <c r="K3" s="68"/>
      <c r="L3" s="68"/>
    </row>
    <row r="4" spans="1:12" s="2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152"/>
      <c r="F4" s="152"/>
      <c r="G4" s="152"/>
      <c r="H4" s="152"/>
      <c r="I4" s="158"/>
      <c r="J4" s="64"/>
      <c r="K4" s="64"/>
      <c r="L4" s="22"/>
    </row>
    <row r="5" spans="1:12" s="2" customFormat="1" ht="15">
      <c r="A5" s="139" t="str">
        <f>'ფორმა N2'!A5</f>
        <v>ა/გ ”საქართველოს რესპუბლიკური პარტია”</v>
      </c>
      <c r="B5" s="140"/>
      <c r="C5" s="140"/>
      <c r="D5" s="140"/>
      <c r="E5" s="161"/>
      <c r="F5" s="162"/>
      <c r="G5" s="162"/>
      <c r="H5" s="162"/>
      <c r="I5" s="158"/>
      <c r="J5" s="64"/>
      <c r="K5" s="64"/>
      <c r="L5" s="12"/>
    </row>
    <row r="6" spans="1:12" s="22" customFormat="1" ht="13.5">
      <c r="A6" s="156"/>
      <c r="B6" s="157"/>
      <c r="C6" s="157"/>
      <c r="D6" s="157"/>
      <c r="E6" s="152"/>
      <c r="F6" s="152"/>
      <c r="G6" s="152"/>
      <c r="H6" s="152"/>
      <c r="I6" s="158"/>
      <c r="J6" s="64"/>
      <c r="K6" s="64"/>
      <c r="L6" s="64"/>
    </row>
    <row r="7" spans="1:12" ht="30">
      <c r="A7" s="149" t="s">
        <v>64</v>
      </c>
      <c r="B7" s="149" t="s">
        <v>380</v>
      </c>
      <c r="C7" s="150" t="s">
        <v>381</v>
      </c>
      <c r="D7" s="150" t="s">
        <v>236</v>
      </c>
      <c r="E7" s="150" t="s">
        <v>241</v>
      </c>
      <c r="F7" s="150" t="s">
        <v>242</v>
      </c>
      <c r="G7" s="150" t="s">
        <v>243</v>
      </c>
      <c r="H7" s="150" t="s">
        <v>244</v>
      </c>
      <c r="I7" s="158"/>
    </row>
    <row r="8" spans="1:12" ht="15">
      <c r="A8" s="149">
        <v>1</v>
      </c>
      <c r="B8" s="149">
        <v>2</v>
      </c>
      <c r="C8" s="150">
        <v>3</v>
      </c>
      <c r="D8" s="149">
        <v>4</v>
      </c>
      <c r="E8" s="150">
        <v>5</v>
      </c>
      <c r="F8" s="149">
        <v>6</v>
      </c>
      <c r="G8" s="150">
        <v>7</v>
      </c>
      <c r="H8" s="150">
        <v>8</v>
      </c>
      <c r="I8" s="158"/>
    </row>
    <row r="9" spans="1:12" ht="15">
      <c r="A9" s="69">
        <v>1</v>
      </c>
      <c r="B9" s="24"/>
      <c r="C9" s="24"/>
      <c r="D9" s="24"/>
      <c r="E9" s="24"/>
      <c r="F9" s="24"/>
      <c r="G9" s="169"/>
      <c r="H9" s="24"/>
      <c r="I9" s="158"/>
    </row>
    <row r="10" spans="1:12" ht="15">
      <c r="A10" s="69">
        <v>2</v>
      </c>
      <c r="B10" s="24"/>
      <c r="C10" s="24"/>
      <c r="D10" s="24"/>
      <c r="E10" s="24"/>
      <c r="F10" s="24"/>
      <c r="G10" s="169"/>
      <c r="H10" s="24"/>
      <c r="I10" s="158"/>
    </row>
    <row r="11" spans="1:12" ht="15">
      <c r="A11" s="69">
        <v>3</v>
      </c>
      <c r="B11" s="24"/>
      <c r="C11" s="24"/>
      <c r="D11" s="24"/>
      <c r="E11" s="24"/>
      <c r="F11" s="24"/>
      <c r="G11" s="169"/>
      <c r="H11" s="24"/>
      <c r="I11" s="158"/>
    </row>
    <row r="12" spans="1:12" ht="15">
      <c r="A12" s="69">
        <v>4</v>
      </c>
      <c r="B12" s="24"/>
      <c r="C12" s="24"/>
      <c r="D12" s="24"/>
      <c r="E12" s="24"/>
      <c r="F12" s="24"/>
      <c r="G12" s="169"/>
      <c r="H12" s="24"/>
      <c r="I12" s="158"/>
    </row>
    <row r="13" spans="1:12" ht="15">
      <c r="A13" s="69">
        <v>5</v>
      </c>
      <c r="B13" s="24"/>
      <c r="C13" s="24"/>
      <c r="D13" s="24"/>
      <c r="E13" s="24"/>
      <c r="F13" s="24"/>
      <c r="G13" s="169"/>
      <c r="H13" s="24"/>
      <c r="I13" s="158"/>
    </row>
    <row r="14" spans="1:12" ht="15">
      <c r="A14" s="69">
        <v>6</v>
      </c>
      <c r="B14" s="24"/>
      <c r="C14" s="24"/>
      <c r="D14" s="24"/>
      <c r="E14" s="24"/>
      <c r="F14" s="24"/>
      <c r="G14" s="169"/>
      <c r="H14" s="24"/>
      <c r="I14" s="158"/>
    </row>
    <row r="15" spans="1:12" s="22" customFormat="1" ht="15">
      <c r="A15" s="69">
        <v>7</v>
      </c>
      <c r="B15" s="24"/>
      <c r="C15" s="24"/>
      <c r="D15" s="24"/>
      <c r="E15" s="24"/>
      <c r="F15" s="24"/>
      <c r="G15" s="169"/>
      <c r="H15" s="24"/>
      <c r="I15" s="158"/>
      <c r="J15" s="64"/>
      <c r="K15" s="64"/>
      <c r="L15" s="64"/>
    </row>
    <row r="16" spans="1:12" s="22" customFormat="1" ht="15">
      <c r="A16" s="69">
        <v>8</v>
      </c>
      <c r="B16" s="24"/>
      <c r="C16" s="24"/>
      <c r="D16" s="24"/>
      <c r="E16" s="24"/>
      <c r="F16" s="24"/>
      <c r="G16" s="169"/>
      <c r="H16" s="24"/>
      <c r="I16" s="158"/>
      <c r="J16" s="64"/>
      <c r="K16" s="64"/>
      <c r="L16" s="64"/>
    </row>
    <row r="17" spans="1:12" s="22" customFormat="1" ht="15">
      <c r="A17" s="69">
        <v>9</v>
      </c>
      <c r="B17" s="24"/>
      <c r="C17" s="24"/>
      <c r="D17" s="24"/>
      <c r="E17" s="24"/>
      <c r="F17" s="24"/>
      <c r="G17" s="169"/>
      <c r="H17" s="24"/>
      <c r="I17" s="158"/>
      <c r="J17" s="64"/>
      <c r="K17" s="64"/>
      <c r="L17" s="64"/>
    </row>
    <row r="18" spans="1:12" s="22" customFormat="1" ht="15">
      <c r="A18" s="69">
        <v>10</v>
      </c>
      <c r="B18" s="24"/>
      <c r="C18" s="24"/>
      <c r="D18" s="24"/>
      <c r="E18" s="24"/>
      <c r="F18" s="24"/>
      <c r="G18" s="169"/>
      <c r="H18" s="24"/>
      <c r="I18" s="158"/>
      <c r="J18" s="64"/>
      <c r="K18" s="64"/>
      <c r="L18" s="64"/>
    </row>
    <row r="19" spans="1:12" s="22" customFormat="1" ht="15">
      <c r="A19" s="69">
        <v>11</v>
      </c>
      <c r="B19" s="24"/>
      <c r="C19" s="24"/>
      <c r="D19" s="24"/>
      <c r="E19" s="24"/>
      <c r="F19" s="24"/>
      <c r="G19" s="169"/>
      <c r="H19" s="24"/>
      <c r="I19" s="158"/>
      <c r="J19" s="64"/>
      <c r="K19" s="64"/>
      <c r="L19" s="64"/>
    </row>
    <row r="20" spans="1:12" s="22" customFormat="1" ht="15">
      <c r="A20" s="69">
        <v>12</v>
      </c>
      <c r="B20" s="24"/>
      <c r="C20" s="24"/>
      <c r="D20" s="24"/>
      <c r="E20" s="24"/>
      <c r="F20" s="24"/>
      <c r="G20" s="169"/>
      <c r="H20" s="24"/>
      <c r="I20" s="158"/>
      <c r="J20" s="64"/>
      <c r="K20" s="64"/>
      <c r="L20" s="64"/>
    </row>
    <row r="21" spans="1:12" s="22" customFormat="1" ht="15">
      <c r="A21" s="69">
        <v>13</v>
      </c>
      <c r="B21" s="24"/>
      <c r="C21" s="24"/>
      <c r="D21" s="24"/>
      <c r="E21" s="24"/>
      <c r="F21" s="24"/>
      <c r="G21" s="169"/>
      <c r="H21" s="24"/>
      <c r="I21" s="158"/>
      <c r="J21" s="64"/>
      <c r="K21" s="64"/>
      <c r="L21" s="64"/>
    </row>
    <row r="22" spans="1:12" s="22" customFormat="1" ht="15">
      <c r="A22" s="69">
        <v>14</v>
      </c>
      <c r="B22" s="24"/>
      <c r="C22" s="24"/>
      <c r="D22" s="24"/>
      <c r="E22" s="24"/>
      <c r="F22" s="24"/>
      <c r="G22" s="169"/>
      <c r="H22" s="24"/>
      <c r="I22" s="158"/>
      <c r="J22" s="64"/>
      <c r="K22" s="64"/>
      <c r="L22" s="64"/>
    </row>
    <row r="23" spans="1:12" s="22" customFormat="1" ht="15">
      <c r="A23" s="69">
        <v>15</v>
      </c>
      <c r="B23" s="24"/>
      <c r="C23" s="24"/>
      <c r="D23" s="24"/>
      <c r="E23" s="24"/>
      <c r="F23" s="24"/>
      <c r="G23" s="169"/>
      <c r="H23" s="24"/>
      <c r="I23" s="158"/>
      <c r="J23" s="64"/>
      <c r="K23" s="64"/>
      <c r="L23" s="64"/>
    </row>
    <row r="24" spans="1:12" s="22" customFormat="1" ht="15">
      <c r="A24" s="69">
        <v>16</v>
      </c>
      <c r="B24" s="24"/>
      <c r="C24" s="24"/>
      <c r="D24" s="24"/>
      <c r="E24" s="24"/>
      <c r="F24" s="24"/>
      <c r="G24" s="169"/>
      <c r="H24" s="24"/>
      <c r="I24" s="158"/>
      <c r="J24" s="64"/>
      <c r="K24" s="64"/>
      <c r="L24" s="64"/>
    </row>
    <row r="25" spans="1:12" s="22" customFormat="1" ht="15">
      <c r="A25" s="69">
        <v>17</v>
      </c>
      <c r="B25" s="24"/>
      <c r="C25" s="24"/>
      <c r="D25" s="24"/>
      <c r="E25" s="24"/>
      <c r="F25" s="24"/>
      <c r="G25" s="169"/>
      <c r="H25" s="24"/>
      <c r="I25" s="158"/>
      <c r="J25" s="64"/>
      <c r="K25" s="64"/>
      <c r="L25" s="64"/>
    </row>
    <row r="26" spans="1:12" s="22" customFormat="1" ht="15">
      <c r="A26" s="69">
        <v>18</v>
      </c>
      <c r="B26" s="24"/>
      <c r="C26" s="24"/>
      <c r="D26" s="24"/>
      <c r="E26" s="24"/>
      <c r="F26" s="24"/>
      <c r="G26" s="169"/>
      <c r="H26" s="24"/>
      <c r="I26" s="158"/>
      <c r="J26" s="64"/>
      <c r="K26" s="64"/>
      <c r="L26" s="64"/>
    </row>
    <row r="27" spans="1:12" s="22" customFormat="1" ht="15">
      <c r="A27" s="69" t="s">
        <v>280</v>
      </c>
      <c r="B27" s="24"/>
      <c r="C27" s="24"/>
      <c r="D27" s="24"/>
      <c r="E27" s="24"/>
      <c r="F27" s="24"/>
      <c r="G27" s="169"/>
      <c r="H27" s="24"/>
      <c r="I27" s="158"/>
      <c r="J27" s="64"/>
      <c r="K27" s="64"/>
      <c r="L27" s="64"/>
    </row>
    <row r="28" spans="1:12" s="22" customFormat="1">
      <c r="J28" s="64"/>
      <c r="K28" s="64"/>
      <c r="L28" s="64"/>
    </row>
    <row r="29" spans="1:12" s="22" customFormat="1"/>
    <row r="30" spans="1:12" s="22" customFormat="1">
      <c r="A30" s="23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6" t="s">
        <v>139</v>
      </c>
      <c r="E34" s="2" t="s">
        <v>268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Normal="100" zoomScaleSheetLayoutView="70" workbookViewId="0">
      <selection activeCell="K25" sqref="K25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3"/>
  </cols>
  <sheetData>
    <row r="1" spans="1:12" s="22" customFormat="1" ht="15">
      <c r="A1" s="151" t="s">
        <v>308</v>
      </c>
      <c r="B1" s="152"/>
      <c r="C1" s="152"/>
      <c r="D1" s="152"/>
      <c r="E1" s="152"/>
      <c r="F1" s="152"/>
      <c r="G1" s="152"/>
      <c r="H1" s="158"/>
      <c r="I1" s="83" t="s">
        <v>197</v>
      </c>
      <c r="J1" s="164"/>
    </row>
    <row r="2" spans="1:12" s="22" customFormat="1" ht="15">
      <c r="A2" s="125" t="s">
        <v>140</v>
      </c>
      <c r="B2" s="152"/>
      <c r="C2" s="152"/>
      <c r="D2" s="152"/>
      <c r="E2" s="152"/>
      <c r="F2" s="152"/>
      <c r="G2" s="152"/>
      <c r="H2" s="158"/>
      <c r="I2" s="580" t="s">
        <v>2558</v>
      </c>
      <c r="J2" s="581"/>
    </row>
    <row r="3" spans="1:12" s="22" customFormat="1" ht="15">
      <c r="A3" s="152"/>
      <c r="B3" s="152"/>
      <c r="C3" s="152"/>
      <c r="D3" s="152"/>
      <c r="E3" s="152"/>
      <c r="F3" s="152"/>
      <c r="G3" s="152"/>
      <c r="H3" s="155"/>
      <c r="I3" s="155"/>
      <c r="J3" s="164"/>
    </row>
    <row r="4" spans="1:12" s="2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82"/>
      <c r="E4" s="160"/>
      <c r="F4" s="152"/>
      <c r="G4" s="152"/>
      <c r="H4" s="152"/>
      <c r="I4" s="160"/>
      <c r="J4" s="124"/>
      <c r="L4" s="22"/>
    </row>
    <row r="5" spans="1:12" s="2" customFormat="1" ht="15">
      <c r="A5" s="244" t="s">
        <v>503</v>
      </c>
      <c r="B5" s="244"/>
      <c r="C5" s="244"/>
      <c r="D5" s="140"/>
      <c r="E5" s="161"/>
      <c r="F5" s="162"/>
      <c r="G5" s="162"/>
      <c r="H5" s="162"/>
      <c r="I5" s="161"/>
      <c r="J5" s="124"/>
    </row>
    <row r="6" spans="1:12" s="22" customFormat="1" ht="13.5">
      <c r="A6" s="156"/>
      <c r="B6" s="157"/>
      <c r="C6" s="157"/>
      <c r="D6" s="157"/>
      <c r="E6" s="152"/>
      <c r="F6" s="152"/>
      <c r="G6" s="152"/>
      <c r="H6" s="152"/>
      <c r="I6" s="152"/>
      <c r="J6" s="159"/>
    </row>
    <row r="7" spans="1:12" ht="30">
      <c r="A7" s="163" t="s">
        <v>64</v>
      </c>
      <c r="B7" s="149" t="s">
        <v>249</v>
      </c>
      <c r="C7" s="150" t="s">
        <v>245</v>
      </c>
      <c r="D7" s="150" t="s">
        <v>246</v>
      </c>
      <c r="E7" s="150" t="s">
        <v>247</v>
      </c>
      <c r="F7" s="150" t="s">
        <v>248</v>
      </c>
      <c r="G7" s="150" t="s">
        <v>242</v>
      </c>
      <c r="H7" s="150" t="s">
        <v>243</v>
      </c>
      <c r="I7" s="150" t="s">
        <v>244</v>
      </c>
      <c r="J7" s="165"/>
    </row>
    <row r="8" spans="1:12" ht="15">
      <c r="A8" s="149">
        <v>1</v>
      </c>
      <c r="B8" s="149">
        <v>2</v>
      </c>
      <c r="C8" s="150">
        <v>3</v>
      </c>
      <c r="D8" s="149">
        <v>4</v>
      </c>
      <c r="E8" s="150">
        <v>5</v>
      </c>
      <c r="F8" s="149">
        <v>6</v>
      </c>
      <c r="G8" s="150">
        <v>7</v>
      </c>
      <c r="H8" s="149">
        <v>8</v>
      </c>
      <c r="I8" s="150">
        <v>9</v>
      </c>
      <c r="J8" s="165"/>
    </row>
    <row r="9" spans="1:12" ht="15">
      <c r="A9" s="69">
        <v>1</v>
      </c>
      <c r="B9" s="24"/>
      <c r="C9" s="24"/>
      <c r="D9" s="24"/>
      <c r="E9" s="24"/>
      <c r="F9" s="24"/>
      <c r="G9" s="24"/>
      <c r="H9" s="169"/>
      <c r="I9" s="24"/>
      <c r="J9" s="165"/>
    </row>
    <row r="10" spans="1:12" ht="15">
      <c r="A10" s="69">
        <v>2</v>
      </c>
      <c r="B10" s="24"/>
      <c r="C10" s="24"/>
      <c r="D10" s="24"/>
      <c r="E10" s="24"/>
      <c r="F10" s="24"/>
      <c r="G10" s="24"/>
      <c r="H10" s="169"/>
      <c r="I10" s="24"/>
      <c r="J10" s="165"/>
    </row>
    <row r="11" spans="1:12" ht="15">
      <c r="A11" s="69">
        <v>3</v>
      </c>
      <c r="B11" s="24"/>
      <c r="C11" s="24"/>
      <c r="D11" s="24"/>
      <c r="E11" s="24"/>
      <c r="F11" s="24"/>
      <c r="G11" s="24"/>
      <c r="H11" s="169"/>
      <c r="I11" s="24"/>
      <c r="J11" s="165"/>
    </row>
    <row r="12" spans="1:12" ht="15">
      <c r="A12" s="69">
        <v>4</v>
      </c>
      <c r="B12" s="24"/>
      <c r="C12" s="24"/>
      <c r="D12" s="24"/>
      <c r="E12" s="24"/>
      <c r="F12" s="24"/>
      <c r="G12" s="24"/>
      <c r="H12" s="169"/>
      <c r="I12" s="24"/>
      <c r="J12" s="165"/>
    </row>
    <row r="13" spans="1:12" ht="15">
      <c r="A13" s="69">
        <v>5</v>
      </c>
      <c r="B13" s="24"/>
      <c r="C13" s="24"/>
      <c r="D13" s="24"/>
      <c r="E13" s="24"/>
      <c r="F13" s="24"/>
      <c r="G13" s="24"/>
      <c r="H13" s="169"/>
      <c r="I13" s="24"/>
      <c r="J13" s="165"/>
    </row>
    <row r="14" spans="1:12" ht="15">
      <c r="A14" s="69">
        <v>6</v>
      </c>
      <c r="B14" s="24"/>
      <c r="C14" s="24"/>
      <c r="D14" s="24"/>
      <c r="E14" s="24"/>
      <c r="F14" s="24"/>
      <c r="G14" s="24"/>
      <c r="H14" s="169"/>
      <c r="I14" s="24"/>
      <c r="J14" s="165"/>
    </row>
    <row r="15" spans="1:12" s="22" customFormat="1" ht="15">
      <c r="A15" s="69">
        <v>7</v>
      </c>
      <c r="B15" s="24"/>
      <c r="C15" s="24"/>
      <c r="D15" s="24"/>
      <c r="E15" s="24"/>
      <c r="F15" s="24"/>
      <c r="G15" s="24"/>
      <c r="H15" s="169"/>
      <c r="I15" s="24"/>
      <c r="J15" s="159"/>
    </row>
    <row r="16" spans="1:12" s="22" customFormat="1" ht="15">
      <c r="A16" s="69">
        <v>8</v>
      </c>
      <c r="B16" s="24"/>
      <c r="C16" s="24"/>
      <c r="D16" s="24"/>
      <c r="E16" s="24"/>
      <c r="F16" s="24"/>
      <c r="G16" s="24"/>
      <c r="H16" s="169"/>
      <c r="I16" s="24"/>
      <c r="J16" s="159"/>
    </row>
    <row r="17" spans="1:10" s="22" customFormat="1" ht="15">
      <c r="A17" s="69">
        <v>9</v>
      </c>
      <c r="B17" s="24"/>
      <c r="C17" s="24"/>
      <c r="D17" s="24"/>
      <c r="E17" s="24"/>
      <c r="F17" s="24"/>
      <c r="G17" s="24"/>
      <c r="H17" s="169"/>
      <c r="I17" s="24"/>
      <c r="J17" s="159"/>
    </row>
    <row r="18" spans="1:10" s="22" customFormat="1" ht="15">
      <c r="A18" s="69">
        <v>10</v>
      </c>
      <c r="B18" s="24"/>
      <c r="C18" s="24"/>
      <c r="D18" s="24"/>
      <c r="E18" s="24"/>
      <c r="F18" s="24"/>
      <c r="G18" s="24"/>
      <c r="H18" s="169"/>
      <c r="I18" s="24"/>
      <c r="J18" s="159"/>
    </row>
    <row r="19" spans="1:10" s="22" customFormat="1" ht="15">
      <c r="A19" s="69">
        <v>11</v>
      </c>
      <c r="B19" s="24"/>
      <c r="C19" s="24"/>
      <c r="D19" s="24"/>
      <c r="E19" s="24"/>
      <c r="F19" s="24"/>
      <c r="G19" s="24"/>
      <c r="H19" s="169"/>
      <c r="I19" s="24"/>
      <c r="J19" s="159"/>
    </row>
    <row r="20" spans="1:10" s="22" customFormat="1" ht="15">
      <c r="A20" s="69">
        <v>12</v>
      </c>
      <c r="B20" s="24"/>
      <c r="C20" s="24"/>
      <c r="D20" s="24"/>
      <c r="E20" s="24"/>
      <c r="F20" s="24"/>
      <c r="G20" s="24"/>
      <c r="H20" s="169"/>
      <c r="I20" s="24"/>
      <c r="J20" s="159"/>
    </row>
    <row r="21" spans="1:10" s="22" customFormat="1" ht="15">
      <c r="A21" s="69">
        <v>13</v>
      </c>
      <c r="B21" s="24"/>
      <c r="C21" s="24"/>
      <c r="D21" s="24"/>
      <c r="E21" s="24"/>
      <c r="F21" s="24"/>
      <c r="G21" s="24"/>
      <c r="H21" s="169"/>
      <c r="I21" s="24"/>
      <c r="J21" s="159"/>
    </row>
    <row r="22" spans="1:10" s="22" customFormat="1" ht="15">
      <c r="A22" s="69">
        <v>14</v>
      </c>
      <c r="B22" s="24"/>
      <c r="C22" s="24"/>
      <c r="D22" s="24"/>
      <c r="E22" s="24"/>
      <c r="F22" s="24"/>
      <c r="G22" s="24"/>
      <c r="H22" s="169"/>
      <c r="I22" s="24"/>
      <c r="J22" s="159"/>
    </row>
    <row r="23" spans="1:10" s="22" customFormat="1" ht="15">
      <c r="A23" s="69">
        <v>15</v>
      </c>
      <c r="B23" s="24"/>
      <c r="C23" s="24"/>
      <c r="D23" s="24"/>
      <c r="E23" s="24"/>
      <c r="F23" s="24"/>
      <c r="G23" s="24"/>
      <c r="H23" s="169"/>
      <c r="I23" s="24"/>
      <c r="J23" s="159"/>
    </row>
    <row r="24" spans="1:10" s="22" customFormat="1" ht="15">
      <c r="A24" s="69">
        <v>16</v>
      </c>
      <c r="B24" s="24"/>
      <c r="C24" s="24"/>
      <c r="D24" s="24"/>
      <c r="E24" s="24"/>
      <c r="F24" s="24"/>
      <c r="G24" s="24"/>
      <c r="H24" s="169"/>
      <c r="I24" s="24"/>
      <c r="J24" s="159"/>
    </row>
    <row r="25" spans="1:10" s="22" customFormat="1" ht="15">
      <c r="A25" s="69">
        <v>17</v>
      </c>
      <c r="B25" s="24"/>
      <c r="C25" s="24"/>
      <c r="D25" s="24"/>
      <c r="E25" s="24"/>
      <c r="F25" s="24"/>
      <c r="G25" s="24"/>
      <c r="H25" s="169"/>
      <c r="I25" s="24"/>
      <c r="J25" s="159"/>
    </row>
    <row r="26" spans="1:10" s="22" customFormat="1" ht="15">
      <c r="A26" s="69">
        <v>18</v>
      </c>
      <c r="B26" s="24"/>
      <c r="C26" s="24"/>
      <c r="D26" s="24"/>
      <c r="E26" s="24"/>
      <c r="F26" s="24"/>
      <c r="G26" s="24"/>
      <c r="H26" s="169"/>
      <c r="I26" s="24"/>
      <c r="J26" s="159"/>
    </row>
    <row r="27" spans="1:10" s="22" customFormat="1" ht="15">
      <c r="A27" s="69" t="s">
        <v>280</v>
      </c>
      <c r="B27" s="24"/>
      <c r="C27" s="24"/>
      <c r="D27" s="24"/>
      <c r="E27" s="24"/>
      <c r="F27" s="24"/>
      <c r="G27" s="24"/>
      <c r="H27" s="169"/>
      <c r="I27" s="24"/>
      <c r="J27" s="159"/>
    </row>
    <row r="28" spans="1:10" s="22" customFormat="1">
      <c r="J28" s="64"/>
    </row>
    <row r="29" spans="1:10" s="22" customFormat="1"/>
    <row r="30" spans="1:10" s="22" customFormat="1">
      <c r="A30" s="23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6" t="s">
        <v>139</v>
      </c>
      <c r="E34" s="2" t="s">
        <v>268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64"/>
    </row>
    <row r="38" spans="1:10" s="22" customFormat="1">
      <c r="J38" s="64"/>
    </row>
    <row r="39" spans="1:10" s="22" customFormat="1">
      <c r="J39" s="64"/>
    </row>
    <row r="40" spans="1:10" s="22" customFormat="1">
      <c r="J40" s="64"/>
    </row>
    <row r="41" spans="1:10" s="22" customFormat="1">
      <c r="J41" s="64"/>
    </row>
    <row r="42" spans="1:10" s="22" customFormat="1">
      <c r="J42" s="64"/>
    </row>
    <row r="43" spans="1:10" s="22" customFormat="1">
      <c r="J43" s="64"/>
    </row>
    <row r="44" spans="1:10" s="22" customFormat="1">
      <c r="J44" s="64"/>
    </row>
    <row r="45" spans="1:10" s="22" customFormat="1">
      <c r="J45" s="64"/>
    </row>
    <row r="46" spans="1:10" s="22" customFormat="1">
      <c r="J46" s="64"/>
    </row>
    <row r="47" spans="1:10" s="22" customFormat="1">
      <c r="J47" s="64"/>
    </row>
    <row r="48" spans="1:10" s="22" customFormat="1">
      <c r="J48" s="64"/>
    </row>
    <row r="49" spans="10:10" s="22" customFormat="1">
      <c r="J49" s="64"/>
    </row>
    <row r="50" spans="10:10" s="22" customFormat="1">
      <c r="J50" s="64"/>
    </row>
    <row r="51" spans="10:10" s="22" customFormat="1">
      <c r="J51" s="64"/>
    </row>
    <row r="52" spans="10:10" s="22" customFormat="1">
      <c r="J52" s="64"/>
    </row>
    <row r="53" spans="10:10" s="22" customFormat="1">
      <c r="J53" s="64"/>
    </row>
    <row r="54" spans="10:10" s="22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C1" sqref="C1"/>
    </sheetView>
  </sheetViews>
  <sheetFormatPr defaultRowHeight="12.75"/>
  <cols>
    <col min="1" max="1" width="4.85546875" style="234" customWidth="1"/>
    <col min="2" max="2" width="37.42578125" style="234" customWidth="1"/>
    <col min="3" max="3" width="21.5703125" style="234" customWidth="1"/>
    <col min="4" max="4" width="20" style="234" customWidth="1"/>
    <col min="5" max="5" width="18.7109375" style="234" customWidth="1"/>
    <col min="6" max="6" width="24.140625" style="234" customWidth="1"/>
    <col min="7" max="7" width="27.140625" style="234" customWidth="1"/>
    <col min="8" max="8" width="0.7109375" style="234" customWidth="1"/>
    <col min="9" max="16384" width="9.140625" style="234"/>
  </cols>
  <sheetData>
    <row r="1" spans="1:8" s="218" customFormat="1" ht="15">
      <c r="A1" s="215" t="s">
        <v>328</v>
      </c>
      <c r="B1" s="216"/>
      <c r="C1" s="216"/>
      <c r="D1" s="216"/>
      <c r="E1" s="216"/>
      <c r="F1" s="83"/>
      <c r="G1" s="83" t="s">
        <v>110</v>
      </c>
      <c r="H1" s="219"/>
    </row>
    <row r="2" spans="1:8" s="218" customFormat="1" ht="15">
      <c r="A2" s="219" t="s">
        <v>319</v>
      </c>
      <c r="B2" s="216"/>
      <c r="C2" s="216"/>
      <c r="D2" s="216"/>
      <c r="E2" s="217"/>
      <c r="F2" s="217"/>
      <c r="G2" s="580" t="s">
        <v>2558</v>
      </c>
      <c r="H2" s="581"/>
    </row>
    <row r="3" spans="1:8" s="218" customFormat="1">
      <c r="A3" s="219"/>
      <c r="B3" s="216"/>
      <c r="C3" s="216"/>
      <c r="D3" s="216"/>
      <c r="E3" s="217"/>
      <c r="F3" s="217"/>
      <c r="G3" s="217"/>
      <c r="H3" s="219"/>
    </row>
    <row r="4" spans="1:8" s="218" customFormat="1" ht="15">
      <c r="A4" s="136" t="s">
        <v>273</v>
      </c>
      <c r="B4" s="216"/>
      <c r="C4" s="216"/>
      <c r="D4" s="216"/>
      <c r="E4" s="220"/>
      <c r="F4" s="220"/>
      <c r="G4" s="217"/>
      <c r="H4" s="219"/>
    </row>
    <row r="5" spans="1:8" s="218" customFormat="1" ht="15">
      <c r="A5" s="244" t="s">
        <v>503</v>
      </c>
      <c r="B5" s="244"/>
      <c r="C5" s="244"/>
      <c r="D5" s="221"/>
      <c r="E5" s="221"/>
      <c r="F5" s="221"/>
      <c r="G5" s="222"/>
      <c r="H5" s="219"/>
    </row>
    <row r="6" spans="1:8" s="235" customFormat="1">
      <c r="A6" s="223"/>
      <c r="B6" s="223"/>
      <c r="C6" s="223"/>
      <c r="D6" s="223"/>
      <c r="E6" s="223"/>
      <c r="F6" s="223"/>
      <c r="G6" s="223"/>
      <c r="H6" s="220"/>
    </row>
    <row r="7" spans="1:8" s="218" customFormat="1" ht="51">
      <c r="A7" s="254" t="s">
        <v>64</v>
      </c>
      <c r="B7" s="226" t="s">
        <v>323</v>
      </c>
      <c r="C7" s="226" t="s">
        <v>324</v>
      </c>
      <c r="D7" s="226" t="s">
        <v>325</v>
      </c>
      <c r="E7" s="226" t="s">
        <v>326</v>
      </c>
      <c r="F7" s="226" t="s">
        <v>327</v>
      </c>
      <c r="G7" s="226" t="s">
        <v>320</v>
      </c>
      <c r="H7" s="219"/>
    </row>
    <row r="8" spans="1:8" s="218" customFormat="1">
      <c r="A8" s="224">
        <v>1</v>
      </c>
      <c r="B8" s="225">
        <v>2</v>
      </c>
      <c r="C8" s="225">
        <v>3</v>
      </c>
      <c r="D8" s="225">
        <v>4</v>
      </c>
      <c r="E8" s="226">
        <v>5</v>
      </c>
      <c r="F8" s="226">
        <v>6</v>
      </c>
      <c r="G8" s="226">
        <v>7</v>
      </c>
      <c r="H8" s="219"/>
    </row>
    <row r="9" spans="1:8" s="218" customFormat="1">
      <c r="A9" s="236">
        <v>1</v>
      </c>
      <c r="B9" s="227"/>
      <c r="C9" s="227"/>
      <c r="D9" s="228"/>
      <c r="E9" s="227"/>
      <c r="F9" s="227"/>
      <c r="G9" s="227"/>
      <c r="H9" s="219"/>
    </row>
    <row r="10" spans="1:8" s="218" customFormat="1">
      <c r="A10" s="236">
        <v>2</v>
      </c>
      <c r="B10" s="227"/>
      <c r="C10" s="227"/>
      <c r="D10" s="228"/>
      <c r="E10" s="227"/>
      <c r="F10" s="227"/>
      <c r="G10" s="227"/>
      <c r="H10" s="219"/>
    </row>
    <row r="11" spans="1:8" s="218" customFormat="1">
      <c r="A11" s="236">
        <v>3</v>
      </c>
      <c r="B11" s="227"/>
      <c r="C11" s="227"/>
      <c r="D11" s="228"/>
      <c r="E11" s="227"/>
      <c r="F11" s="227"/>
      <c r="G11" s="227"/>
      <c r="H11" s="219"/>
    </row>
    <row r="12" spans="1:8" s="218" customFormat="1">
      <c r="A12" s="236">
        <v>4</v>
      </c>
      <c r="B12" s="227"/>
      <c r="C12" s="227"/>
      <c r="D12" s="228"/>
      <c r="E12" s="227"/>
      <c r="F12" s="227"/>
      <c r="G12" s="227"/>
      <c r="H12" s="219"/>
    </row>
    <row r="13" spans="1:8" s="218" customFormat="1">
      <c r="A13" s="236">
        <v>5</v>
      </c>
      <c r="B13" s="227"/>
      <c r="C13" s="227"/>
      <c r="D13" s="228"/>
      <c r="E13" s="227"/>
      <c r="F13" s="227"/>
      <c r="G13" s="227"/>
      <c r="H13" s="219"/>
    </row>
    <row r="14" spans="1:8" s="218" customFormat="1">
      <c r="A14" s="236">
        <v>6</v>
      </c>
      <c r="B14" s="227"/>
      <c r="C14" s="227"/>
      <c r="D14" s="228"/>
      <c r="E14" s="227"/>
      <c r="F14" s="227"/>
      <c r="G14" s="227"/>
      <c r="H14" s="219"/>
    </row>
    <row r="15" spans="1:8" s="218" customFormat="1">
      <c r="A15" s="236">
        <v>7</v>
      </c>
      <c r="B15" s="227"/>
      <c r="C15" s="227"/>
      <c r="D15" s="228"/>
      <c r="E15" s="227"/>
      <c r="F15" s="227"/>
      <c r="G15" s="227"/>
      <c r="H15" s="219"/>
    </row>
    <row r="16" spans="1:8" s="218" customFormat="1">
      <c r="A16" s="236">
        <v>8</v>
      </c>
      <c r="B16" s="227"/>
      <c r="C16" s="227"/>
      <c r="D16" s="228"/>
      <c r="E16" s="227"/>
      <c r="F16" s="227"/>
      <c r="G16" s="227"/>
      <c r="H16" s="219"/>
    </row>
    <row r="17" spans="1:11" s="218" customFormat="1">
      <c r="A17" s="236">
        <v>9</v>
      </c>
      <c r="B17" s="227"/>
      <c r="C17" s="227"/>
      <c r="D17" s="228"/>
      <c r="E17" s="227"/>
      <c r="F17" s="227"/>
      <c r="G17" s="227"/>
      <c r="H17" s="219"/>
    </row>
    <row r="18" spans="1:11" s="218" customFormat="1">
      <c r="A18" s="236">
        <v>10</v>
      </c>
      <c r="B18" s="227"/>
      <c r="C18" s="227"/>
      <c r="D18" s="228"/>
      <c r="E18" s="227"/>
      <c r="F18" s="227"/>
      <c r="G18" s="227"/>
      <c r="H18" s="219"/>
    </row>
    <row r="19" spans="1:11" s="218" customFormat="1">
      <c r="A19" s="236" t="s">
        <v>277</v>
      </c>
      <c r="B19" s="227"/>
      <c r="C19" s="227"/>
      <c r="D19" s="228"/>
      <c r="E19" s="227"/>
      <c r="F19" s="227"/>
      <c r="G19" s="227"/>
      <c r="H19" s="219"/>
    </row>
    <row r="22" spans="1:11" s="218" customFormat="1"/>
    <row r="23" spans="1:11" s="218" customFormat="1"/>
    <row r="24" spans="1:11" s="21" customFormat="1" ht="15">
      <c r="B24" s="229" t="s">
        <v>107</v>
      </c>
      <c r="C24" s="229"/>
    </row>
    <row r="25" spans="1:11" s="21" customFormat="1" ht="15">
      <c r="B25" s="229"/>
      <c r="C25" s="229"/>
    </row>
    <row r="26" spans="1:11" s="21" customFormat="1" ht="15">
      <c r="C26" s="231"/>
      <c r="F26" s="231"/>
      <c r="G26" s="231"/>
      <c r="H26" s="230"/>
    </row>
    <row r="27" spans="1:11" s="21" customFormat="1" ht="15">
      <c r="C27" s="232" t="s">
        <v>267</v>
      </c>
      <c r="F27" s="229" t="s">
        <v>321</v>
      </c>
      <c r="J27" s="230"/>
      <c r="K27" s="230"/>
    </row>
    <row r="28" spans="1:11" s="21" customFormat="1" ht="15">
      <c r="C28" s="232" t="s">
        <v>139</v>
      </c>
      <c r="F28" s="233" t="s">
        <v>268</v>
      </c>
      <c r="J28" s="230"/>
      <c r="K28" s="230"/>
    </row>
    <row r="29" spans="1:11" s="218" customFormat="1" ht="15">
      <c r="C29" s="232"/>
      <c r="J29" s="235"/>
      <c r="K29" s="23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opLeftCell="A10" zoomScaleNormal="100" zoomScaleSheetLayoutView="100" workbookViewId="0">
      <selection activeCell="A18" sqref="A18:XFD18"/>
    </sheetView>
  </sheetViews>
  <sheetFormatPr defaultColWidth="11.42578125" defaultRowHeight="15"/>
  <cols>
    <col min="1" max="1" width="11.42578125" style="2"/>
    <col min="2" max="2" width="73" style="2" customWidth="1"/>
    <col min="3" max="4" width="17.28515625" style="2" customWidth="1"/>
    <col min="5" max="5" width="17.42578125" style="5" customWidth="1"/>
    <col min="6" max="16384" width="11.42578125" style="2"/>
  </cols>
  <sheetData>
    <row r="1" spans="1:7">
      <c r="A1" s="79" t="s">
        <v>303</v>
      </c>
      <c r="B1" s="81"/>
      <c r="C1" s="582" t="s">
        <v>110</v>
      </c>
      <c r="D1" s="582"/>
      <c r="E1" s="130"/>
    </row>
    <row r="2" spans="1:7">
      <c r="A2" s="81" t="s">
        <v>140</v>
      </c>
      <c r="B2" s="81"/>
      <c r="C2" s="580" t="s">
        <v>2558</v>
      </c>
      <c r="D2" s="581"/>
      <c r="E2" s="130"/>
    </row>
    <row r="3" spans="1:7">
      <c r="A3" s="79"/>
      <c r="B3" s="81"/>
      <c r="C3" s="80"/>
      <c r="D3" s="80"/>
      <c r="E3" s="130"/>
    </row>
    <row r="4" spans="1:7">
      <c r="A4" s="82" t="s">
        <v>273</v>
      </c>
      <c r="B4" s="122"/>
      <c r="C4" s="123"/>
      <c r="D4" s="81"/>
      <c r="E4" s="130"/>
    </row>
    <row r="5" spans="1:7">
      <c r="A5" s="244" t="s">
        <v>503</v>
      </c>
      <c r="B5" s="244"/>
      <c r="C5" s="244"/>
      <c r="E5" s="130"/>
    </row>
    <row r="6" spans="1:7">
      <c r="A6" s="124"/>
      <c r="B6" s="124"/>
      <c r="C6" s="124"/>
      <c r="D6" s="125"/>
      <c r="E6" s="130"/>
    </row>
    <row r="7" spans="1:7">
      <c r="A7" s="81"/>
      <c r="B7" s="81"/>
      <c r="C7" s="81"/>
      <c r="D7" s="81"/>
      <c r="E7" s="130"/>
    </row>
    <row r="8" spans="1:7" s="6" customFormat="1" ht="39" customHeight="1">
      <c r="A8" s="126" t="s">
        <v>64</v>
      </c>
      <c r="B8" s="84" t="s">
        <v>250</v>
      </c>
      <c r="C8" s="84" t="s">
        <v>66</v>
      </c>
      <c r="D8" s="84" t="s">
        <v>67</v>
      </c>
      <c r="E8" s="130"/>
    </row>
    <row r="9" spans="1:7" s="7" customFormat="1" ht="16.5" customHeight="1">
      <c r="A9" s="261">
        <v>1</v>
      </c>
      <c r="B9" s="261" t="s">
        <v>65</v>
      </c>
      <c r="C9" s="90">
        <f>SUM(C10,C25)</f>
        <v>645260.82000000007</v>
      </c>
      <c r="D9" s="90">
        <f>SUM(D10,D25)</f>
        <v>821260.82000000007</v>
      </c>
      <c r="E9" s="130">
        <f>D9-D17</f>
        <v>772763.87000000011</v>
      </c>
    </row>
    <row r="10" spans="1:7" s="7" customFormat="1" ht="16.5" customHeight="1">
      <c r="A10" s="92">
        <v>1.1000000000000001</v>
      </c>
      <c r="B10" s="92" t="s">
        <v>80</v>
      </c>
      <c r="C10" s="90">
        <f>SUM(C11,C12,C15,C18,C24)</f>
        <v>618360.82000000007</v>
      </c>
      <c r="D10" s="90">
        <f>SUM(D11,D12,D15,D18,D23,D24)</f>
        <v>794360.82000000007</v>
      </c>
      <c r="E10" s="130"/>
    </row>
    <row r="11" spans="1:7" s="9" customFormat="1" ht="16.5" customHeight="1">
      <c r="A11" s="93" t="s">
        <v>30</v>
      </c>
      <c r="B11" s="93" t="s">
        <v>79</v>
      </c>
      <c r="C11" s="8">
        <v>30</v>
      </c>
      <c r="D11" s="8">
        <v>30</v>
      </c>
      <c r="E11" s="130"/>
    </row>
    <row r="12" spans="1:7" s="10" customFormat="1" ht="16.5" customHeight="1">
      <c r="A12" s="93" t="s">
        <v>31</v>
      </c>
      <c r="B12" s="93" t="s">
        <v>310</v>
      </c>
      <c r="C12" s="127">
        <f>SUM(C13:C14)</f>
        <v>405265</v>
      </c>
      <c r="D12" s="127">
        <f>SUM(D13:D14)</f>
        <v>405265</v>
      </c>
      <c r="E12" s="130"/>
      <c r="G12" s="70"/>
    </row>
    <row r="13" spans="1:7" s="3" customFormat="1" ht="16.5" customHeight="1">
      <c r="A13" s="102" t="s">
        <v>81</v>
      </c>
      <c r="B13" s="102" t="s">
        <v>313</v>
      </c>
      <c r="C13" s="8">
        <v>405265</v>
      </c>
      <c r="D13" s="8">
        <v>405265</v>
      </c>
      <c r="E13" s="130"/>
    </row>
    <row r="14" spans="1:7" s="3" customFormat="1" ht="16.5" customHeight="1">
      <c r="A14" s="102" t="s">
        <v>109</v>
      </c>
      <c r="B14" s="102" t="s">
        <v>97</v>
      </c>
      <c r="C14" s="8"/>
      <c r="D14" s="8"/>
      <c r="E14" s="130"/>
    </row>
    <row r="15" spans="1:7" s="3" customFormat="1" ht="16.5" customHeight="1">
      <c r="A15" s="93" t="s">
        <v>82</v>
      </c>
      <c r="B15" s="93" t="s">
        <v>83</v>
      </c>
      <c r="C15" s="127">
        <f>SUM(C16:C17)</f>
        <v>213065.82</v>
      </c>
      <c r="D15" s="127">
        <f>SUM(D16:D17)</f>
        <v>213065.82</v>
      </c>
      <c r="E15" s="130"/>
    </row>
    <row r="16" spans="1:7" s="3" customFormat="1" ht="16.5" customHeight="1">
      <c r="A16" s="102" t="s">
        <v>84</v>
      </c>
      <c r="B16" s="102" t="s">
        <v>86</v>
      </c>
      <c r="C16" s="8">
        <v>164568.87</v>
      </c>
      <c r="D16" s="8">
        <v>164568.87</v>
      </c>
      <c r="E16" s="130"/>
    </row>
    <row r="17" spans="1:6" s="3" customFormat="1" ht="30">
      <c r="A17" s="102" t="s">
        <v>85</v>
      </c>
      <c r="B17" s="102" t="s">
        <v>111</v>
      </c>
      <c r="C17" s="8">
        <v>48496.95</v>
      </c>
      <c r="D17" s="8">
        <v>48496.95</v>
      </c>
      <c r="E17" s="130"/>
    </row>
    <row r="18" spans="1:6" s="3" customFormat="1" ht="16.5" customHeight="1">
      <c r="A18" s="93" t="s">
        <v>87</v>
      </c>
      <c r="B18" s="93" t="s">
        <v>417</v>
      </c>
      <c r="C18" s="127">
        <f>SUM(C19:C22)</f>
        <v>0</v>
      </c>
      <c r="D18" s="127">
        <f>SUM(D19:D22)</f>
        <v>0</v>
      </c>
      <c r="E18" s="130"/>
    </row>
    <row r="19" spans="1:6" s="3" customFormat="1" ht="16.5" customHeight="1">
      <c r="A19" s="102" t="s">
        <v>88</v>
      </c>
      <c r="B19" s="102" t="s">
        <v>89</v>
      </c>
      <c r="C19" s="8"/>
      <c r="D19" s="8"/>
      <c r="E19" s="130"/>
    </row>
    <row r="20" spans="1:6" s="3" customFormat="1" ht="30">
      <c r="A20" s="102" t="s">
        <v>92</v>
      </c>
      <c r="B20" s="102" t="s">
        <v>90</v>
      </c>
      <c r="C20" s="8"/>
      <c r="D20" s="8"/>
      <c r="E20" s="130"/>
    </row>
    <row r="21" spans="1:6" s="3" customFormat="1" ht="16.5" customHeight="1">
      <c r="A21" s="102" t="s">
        <v>93</v>
      </c>
      <c r="B21" s="102" t="s">
        <v>91</v>
      </c>
      <c r="C21" s="8"/>
      <c r="D21" s="8"/>
      <c r="E21" s="130"/>
    </row>
    <row r="22" spans="1:6" s="3" customFormat="1" ht="16.5" customHeight="1">
      <c r="A22" s="102" t="s">
        <v>94</v>
      </c>
      <c r="B22" s="102" t="s">
        <v>442</v>
      </c>
      <c r="C22" s="8"/>
      <c r="D22" s="8"/>
      <c r="E22" s="130"/>
    </row>
    <row r="23" spans="1:6" s="3" customFormat="1" ht="16.5" customHeight="1">
      <c r="A23" s="93" t="s">
        <v>95</v>
      </c>
      <c r="B23" s="93" t="s">
        <v>443</v>
      </c>
      <c r="C23" s="286"/>
      <c r="D23" s="8"/>
      <c r="E23" s="130"/>
    </row>
    <row r="24" spans="1:6" s="3" customFormat="1">
      <c r="A24" s="93" t="s">
        <v>252</v>
      </c>
      <c r="B24" s="93" t="s">
        <v>3101</v>
      </c>
      <c r="C24" s="8"/>
      <c r="D24" s="402">
        <v>176000</v>
      </c>
      <c r="E24" s="130"/>
    </row>
    <row r="25" spans="1:6" ht="16.5" customHeight="1">
      <c r="A25" s="92">
        <v>1.2</v>
      </c>
      <c r="B25" s="92" t="s">
        <v>96</v>
      </c>
      <c r="C25" s="90">
        <f>SUM(C26,C30)</f>
        <v>26900</v>
      </c>
      <c r="D25" s="90">
        <f>SUM(D26,D30)</f>
        <v>26900</v>
      </c>
      <c r="E25" s="130"/>
    </row>
    <row r="26" spans="1:6" ht="16.5" customHeight="1">
      <c r="A26" s="93" t="s">
        <v>32</v>
      </c>
      <c r="B26" s="93" t="s">
        <v>313</v>
      </c>
      <c r="C26" s="127">
        <f>SUM(C27:C29)</f>
        <v>26900</v>
      </c>
      <c r="D26" s="127">
        <f>SUM(D27:D29)</f>
        <v>26900</v>
      </c>
      <c r="E26" s="130"/>
    </row>
    <row r="27" spans="1:6" ht="30">
      <c r="A27" s="262" t="s">
        <v>98</v>
      </c>
      <c r="B27" s="262" t="s">
        <v>311</v>
      </c>
      <c r="C27" s="8">
        <v>21178</v>
      </c>
      <c r="D27" s="8">
        <v>21178</v>
      </c>
      <c r="E27" s="130"/>
    </row>
    <row r="28" spans="1:6" ht="30">
      <c r="A28" s="262" t="s">
        <v>99</v>
      </c>
      <c r="B28" s="262" t="s">
        <v>314</v>
      </c>
      <c r="C28" s="8">
        <v>5622</v>
      </c>
      <c r="D28" s="8">
        <v>5622</v>
      </c>
      <c r="E28" s="130"/>
    </row>
    <row r="29" spans="1:6" ht="30">
      <c r="A29" s="262" t="s">
        <v>452</v>
      </c>
      <c r="B29" s="262" t="s">
        <v>312</v>
      </c>
      <c r="C29" s="8">
        <v>100</v>
      </c>
      <c r="D29" s="8">
        <v>100</v>
      </c>
      <c r="E29" s="130"/>
    </row>
    <row r="30" spans="1:6" ht="30">
      <c r="A30" s="93" t="s">
        <v>33</v>
      </c>
      <c r="B30" s="272" t="s">
        <v>448</v>
      </c>
      <c r="C30" s="8"/>
      <c r="D30" s="8"/>
      <c r="E30" s="130"/>
    </row>
    <row r="31" spans="1:6">
      <c r="D31" s="25"/>
      <c r="E31" s="131"/>
      <c r="F31" s="25"/>
    </row>
    <row r="32" spans="1:6">
      <c r="A32" s="1"/>
      <c r="D32" s="25"/>
      <c r="E32" s="131"/>
      <c r="F32" s="25"/>
    </row>
    <row r="33" spans="1:9">
      <c r="D33" s="25"/>
      <c r="E33" s="131"/>
      <c r="F33" s="25"/>
    </row>
    <row r="34" spans="1:9">
      <c r="D34" s="25"/>
      <c r="E34" s="131"/>
      <c r="F34" s="25"/>
    </row>
    <row r="35" spans="1:9">
      <c r="A35" s="71" t="s">
        <v>107</v>
      </c>
      <c r="D35" s="25"/>
      <c r="E35" s="131"/>
      <c r="F35" s="25"/>
    </row>
    <row r="36" spans="1:9">
      <c r="D36" s="25"/>
      <c r="E36" s="132"/>
      <c r="F36" s="132"/>
      <c r="G36"/>
      <c r="H36"/>
      <c r="I36"/>
    </row>
    <row r="37" spans="1:9">
      <c r="D37" s="133"/>
      <c r="E37" s="132"/>
      <c r="F37" s="132"/>
      <c r="G37"/>
      <c r="H37"/>
      <c r="I37"/>
    </row>
    <row r="38" spans="1:9">
      <c r="A38"/>
      <c r="B38" s="71" t="s">
        <v>270</v>
      </c>
      <c r="D38" s="133"/>
      <c r="E38" s="132"/>
      <c r="F38" s="132"/>
      <c r="G38"/>
      <c r="H38"/>
      <c r="I38"/>
    </row>
    <row r="39" spans="1:9">
      <c r="A39"/>
      <c r="B39" s="2" t="s">
        <v>269</v>
      </c>
      <c r="D39" s="133"/>
      <c r="E39" s="132"/>
      <c r="F39" s="132"/>
      <c r="G39"/>
      <c r="H39"/>
      <c r="I39"/>
    </row>
    <row r="40" spans="1:9" customFormat="1" ht="12.75">
      <c r="B40" s="66" t="s">
        <v>139</v>
      </c>
      <c r="D40" s="132"/>
      <c r="E40" s="132"/>
      <c r="F40" s="132"/>
    </row>
    <row r="41" spans="1:9">
      <c r="D41" s="25"/>
      <c r="E41" s="131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opLeftCell="A7" zoomScaleNormal="100" workbookViewId="0">
      <selection activeCell="D1" sqref="D1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51" t="s">
        <v>2284</v>
      </c>
      <c r="B1" s="152"/>
      <c r="C1" s="152"/>
      <c r="D1" s="152"/>
      <c r="E1" s="152"/>
      <c r="F1" s="152"/>
      <c r="G1" s="152"/>
      <c r="H1" s="152"/>
      <c r="I1" s="152"/>
      <c r="J1" s="152"/>
      <c r="K1" s="83" t="s">
        <v>110</v>
      </c>
    </row>
    <row r="2" spans="1:12" ht="15">
      <c r="A2" s="125" t="s">
        <v>140</v>
      </c>
      <c r="B2" s="152"/>
      <c r="C2" s="152"/>
      <c r="D2" s="152"/>
      <c r="E2" s="152"/>
      <c r="F2" s="152"/>
      <c r="G2" s="152"/>
      <c r="H2" s="152"/>
      <c r="I2" s="152"/>
      <c r="J2" s="152"/>
      <c r="K2" s="580" t="s">
        <v>2558</v>
      </c>
      <c r="L2" s="581"/>
    </row>
    <row r="3" spans="1:12" ht="1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5"/>
    </row>
    <row r="4" spans="1:12" ht="15">
      <c r="A4" s="81" t="str">
        <f>'[4]ფორმა N2'!A4</f>
        <v>ანგარიშვალდებული პირის დასახელება:</v>
      </c>
      <c r="B4" s="81"/>
      <c r="C4" s="81"/>
      <c r="D4" s="82"/>
      <c r="E4" s="160"/>
      <c r="F4" s="152"/>
      <c r="G4" s="152"/>
      <c r="H4" s="152"/>
      <c r="I4" s="152"/>
      <c r="J4" s="152"/>
      <c r="K4" s="160"/>
    </row>
    <row r="5" spans="1:12" s="207" customFormat="1" ht="15">
      <c r="A5" s="244" t="s">
        <v>503</v>
      </c>
      <c r="B5" s="244"/>
      <c r="C5" s="244"/>
      <c r="D5" s="85"/>
      <c r="E5" s="245"/>
      <c r="F5" s="246"/>
      <c r="G5" s="246"/>
      <c r="H5" s="246"/>
      <c r="I5" s="246"/>
      <c r="J5" s="246"/>
      <c r="K5" s="245"/>
    </row>
    <row r="6" spans="1:12" ht="13.5">
      <c r="A6" s="156"/>
      <c r="B6" s="157"/>
      <c r="C6" s="157"/>
      <c r="D6" s="157"/>
      <c r="E6" s="152"/>
      <c r="F6" s="152"/>
      <c r="G6" s="152"/>
      <c r="H6" s="152"/>
      <c r="I6" s="152"/>
      <c r="J6" s="152"/>
      <c r="K6" s="152"/>
    </row>
    <row r="7" spans="1:12" ht="60">
      <c r="A7" s="411" t="s">
        <v>64</v>
      </c>
      <c r="B7" s="412" t="s">
        <v>382</v>
      </c>
      <c r="C7" s="412" t="s">
        <v>383</v>
      </c>
      <c r="D7" s="412" t="s">
        <v>385</v>
      </c>
      <c r="E7" s="412" t="s">
        <v>384</v>
      </c>
      <c r="F7" s="412" t="s">
        <v>393</v>
      </c>
      <c r="G7" s="412" t="s">
        <v>394</v>
      </c>
      <c r="H7" s="412" t="s">
        <v>388</v>
      </c>
      <c r="I7" s="412" t="s">
        <v>389</v>
      </c>
      <c r="J7" s="412" t="s">
        <v>401</v>
      </c>
      <c r="K7" s="412" t="s">
        <v>390</v>
      </c>
    </row>
    <row r="8" spans="1:12" ht="15">
      <c r="A8" s="413">
        <v>1</v>
      </c>
      <c r="B8" s="413">
        <v>2</v>
      </c>
      <c r="C8" s="412">
        <v>3</v>
      </c>
      <c r="D8" s="413">
        <v>4</v>
      </c>
      <c r="E8" s="412">
        <v>5</v>
      </c>
      <c r="F8" s="413">
        <v>6</v>
      </c>
      <c r="G8" s="412">
        <v>7</v>
      </c>
      <c r="H8" s="413">
        <v>8</v>
      </c>
      <c r="I8" s="412">
        <v>9</v>
      </c>
      <c r="J8" s="413">
        <v>10</v>
      </c>
      <c r="K8" s="412">
        <v>11</v>
      </c>
    </row>
    <row r="9" spans="1:12" ht="30">
      <c r="A9" s="414">
        <v>1</v>
      </c>
      <c r="B9" s="415" t="s">
        <v>2285</v>
      </c>
      <c r="C9" s="415" t="s">
        <v>2286</v>
      </c>
      <c r="D9" s="415" t="s">
        <v>2287</v>
      </c>
      <c r="E9" s="416">
        <f>(125+342.8)/6</f>
        <v>77.966666666666669</v>
      </c>
      <c r="F9" s="416">
        <f>4765.69/6</f>
        <v>794.28166666666664</v>
      </c>
      <c r="G9" s="417"/>
      <c r="H9" s="418"/>
      <c r="I9" s="418"/>
      <c r="J9" s="417">
        <v>205177057</v>
      </c>
      <c r="K9" s="415" t="s">
        <v>2288</v>
      </c>
    </row>
    <row r="10" spans="1:12" ht="30">
      <c r="A10" s="414">
        <v>2</v>
      </c>
      <c r="B10" s="415" t="s">
        <v>2289</v>
      </c>
      <c r="C10" s="415" t="s">
        <v>2286</v>
      </c>
      <c r="D10" s="415" t="s">
        <v>2287</v>
      </c>
      <c r="E10" s="416">
        <v>86</v>
      </c>
      <c r="F10" s="416">
        <f>2471.82/6</f>
        <v>411.97</v>
      </c>
      <c r="G10" s="417"/>
      <c r="H10" s="418"/>
      <c r="I10" s="418"/>
      <c r="J10" s="417">
        <v>205177057</v>
      </c>
      <c r="K10" s="415" t="s">
        <v>2288</v>
      </c>
    </row>
    <row r="11" spans="1:12" ht="30">
      <c r="A11" s="414">
        <v>3</v>
      </c>
      <c r="B11" s="415" t="s">
        <v>2290</v>
      </c>
      <c r="C11" s="415" t="s">
        <v>2286</v>
      </c>
      <c r="D11" s="415" t="s">
        <v>2291</v>
      </c>
      <c r="E11" s="416">
        <f>229.58/6</f>
        <v>38.263333333333335</v>
      </c>
      <c r="F11" s="416">
        <f>1978.52/6</f>
        <v>329.75333333333333</v>
      </c>
      <c r="G11" s="417"/>
      <c r="H11" s="418"/>
      <c r="I11" s="418"/>
      <c r="J11" s="417">
        <v>205177057</v>
      </c>
      <c r="K11" s="415" t="s">
        <v>2288</v>
      </c>
    </row>
    <row r="12" spans="1:12" ht="45">
      <c r="A12" s="414">
        <v>4</v>
      </c>
      <c r="B12" s="415" t="s">
        <v>2292</v>
      </c>
      <c r="C12" s="415" t="s">
        <v>2286</v>
      </c>
      <c r="D12" s="415" t="s">
        <v>2287</v>
      </c>
      <c r="E12" s="416">
        <f>200/6</f>
        <v>33.333333333333336</v>
      </c>
      <c r="F12" s="416">
        <f>4089.98/6</f>
        <v>681.6633333333333</v>
      </c>
      <c r="G12" s="417"/>
      <c r="H12" s="418"/>
      <c r="I12" s="418"/>
      <c r="J12" s="417">
        <v>205177057</v>
      </c>
      <c r="K12" s="415" t="s">
        <v>2288</v>
      </c>
    </row>
    <row r="13" spans="1:12" ht="30">
      <c r="A13" s="414">
        <v>5</v>
      </c>
      <c r="B13" s="415" t="s">
        <v>2293</v>
      </c>
      <c r="C13" s="415" t="s">
        <v>2286</v>
      </c>
      <c r="D13" s="415" t="s">
        <v>2291</v>
      </c>
      <c r="E13" s="416">
        <f>140/6</f>
        <v>23.333333333333332</v>
      </c>
      <c r="F13" s="416">
        <f>1807.58/6</f>
        <v>301.26333333333332</v>
      </c>
      <c r="G13" s="417"/>
      <c r="H13" s="418"/>
      <c r="I13" s="418"/>
      <c r="J13" s="417">
        <v>205177057</v>
      </c>
      <c r="K13" s="415" t="s">
        <v>2288</v>
      </c>
    </row>
    <row r="14" spans="1:12" ht="30">
      <c r="A14" s="414">
        <v>6</v>
      </c>
      <c r="B14" s="415" t="s">
        <v>2294</v>
      </c>
      <c r="C14" s="415" t="s">
        <v>2286</v>
      </c>
      <c r="D14" s="415" t="s">
        <v>2291</v>
      </c>
      <c r="E14" s="416">
        <f>177.5/6</f>
        <v>29.583333333333332</v>
      </c>
      <c r="F14" s="416">
        <f>1796.03/6</f>
        <v>299.33833333333331</v>
      </c>
      <c r="G14" s="417"/>
      <c r="H14" s="418"/>
      <c r="I14" s="418"/>
      <c r="J14" s="417">
        <v>205177057</v>
      </c>
      <c r="K14" s="415" t="s">
        <v>2288</v>
      </c>
    </row>
    <row r="15" spans="1:12" ht="30">
      <c r="A15" s="414">
        <v>7</v>
      </c>
      <c r="B15" s="415" t="s">
        <v>2295</v>
      </c>
      <c r="C15" s="415" t="s">
        <v>2286</v>
      </c>
      <c r="D15" s="415" t="s">
        <v>2287</v>
      </c>
      <c r="E15" s="416">
        <f>84/6</f>
        <v>14</v>
      </c>
      <c r="F15" s="416">
        <f>5997.57/6</f>
        <v>999.59499999999991</v>
      </c>
      <c r="G15" s="417"/>
      <c r="H15" s="418"/>
      <c r="I15" s="418"/>
      <c r="J15" s="417">
        <v>205177057</v>
      </c>
      <c r="K15" s="415" t="s">
        <v>2288</v>
      </c>
    </row>
    <row r="16" spans="1:12" ht="30">
      <c r="A16" s="414">
        <v>8</v>
      </c>
      <c r="B16" s="415" t="s">
        <v>2296</v>
      </c>
      <c r="C16" s="415" t="s">
        <v>2286</v>
      </c>
      <c r="D16" s="415" t="s">
        <v>2297</v>
      </c>
      <c r="E16" s="416">
        <f>1946.343/6</f>
        <v>324.39050000000003</v>
      </c>
      <c r="F16" s="416">
        <f>(38926.86*1.6625)/6</f>
        <v>10785.984125000001</v>
      </c>
      <c r="G16" s="417"/>
      <c r="H16" s="418"/>
      <c r="I16" s="418"/>
      <c r="J16" s="419">
        <v>205283637</v>
      </c>
      <c r="K16" s="415" t="s">
        <v>2298</v>
      </c>
    </row>
    <row r="17" spans="1:11" ht="30">
      <c r="A17" s="414">
        <v>9</v>
      </c>
      <c r="B17" s="415" t="s">
        <v>2299</v>
      </c>
      <c r="C17" s="415" t="s">
        <v>2286</v>
      </c>
      <c r="D17" s="415" t="s">
        <v>2300</v>
      </c>
      <c r="E17" s="416">
        <f>(106.21+99.97)/6</f>
        <v>34.363333333333337</v>
      </c>
      <c r="F17" s="416">
        <f>(1875*1.6625)/6</f>
        <v>519.53125</v>
      </c>
      <c r="G17" s="417" t="s">
        <v>2301</v>
      </c>
      <c r="H17" s="418" t="s">
        <v>2302</v>
      </c>
      <c r="I17" s="418" t="s">
        <v>2303</v>
      </c>
      <c r="J17" s="419"/>
      <c r="K17" s="415"/>
    </row>
    <row r="18" spans="1:11" ht="45">
      <c r="A18" s="414">
        <v>10</v>
      </c>
      <c r="B18" s="415" t="s">
        <v>2304</v>
      </c>
      <c r="C18" s="415" t="s">
        <v>2286</v>
      </c>
      <c r="D18" s="415" t="s">
        <v>2300</v>
      </c>
      <c r="E18" s="416">
        <f>260/6</f>
        <v>43.333333333333336</v>
      </c>
      <c r="F18" s="416">
        <f>(3750*1.6625)/6</f>
        <v>1039.0625</v>
      </c>
      <c r="G18" s="417" t="s">
        <v>2305</v>
      </c>
      <c r="H18" s="418" t="s">
        <v>2306</v>
      </c>
      <c r="I18" s="418" t="s">
        <v>2307</v>
      </c>
      <c r="J18" s="419"/>
      <c r="K18" s="415"/>
    </row>
    <row r="19" spans="1:11" ht="30">
      <c r="A19" s="414">
        <v>11</v>
      </c>
      <c r="B19" s="415" t="s">
        <v>2308</v>
      </c>
      <c r="C19" s="415" t="s">
        <v>2286</v>
      </c>
      <c r="D19" s="415" t="s">
        <v>2309</v>
      </c>
      <c r="E19" s="416">
        <f>114.39/6</f>
        <v>19.065000000000001</v>
      </c>
      <c r="F19" s="416">
        <f>(1250*1.6625)/6</f>
        <v>346.35416666666669</v>
      </c>
      <c r="G19" s="417" t="s">
        <v>2310</v>
      </c>
      <c r="H19" s="418" t="s">
        <v>2311</v>
      </c>
      <c r="I19" s="418" t="s">
        <v>2312</v>
      </c>
      <c r="J19" s="419"/>
      <c r="K19" s="415"/>
    </row>
    <row r="20" spans="1:11" ht="45">
      <c r="A20" s="414">
        <v>12</v>
      </c>
      <c r="B20" s="415" t="s">
        <v>2313</v>
      </c>
      <c r="C20" s="415" t="s">
        <v>2286</v>
      </c>
      <c r="D20" s="415" t="s">
        <v>2300</v>
      </c>
      <c r="E20" s="416">
        <f>250/6</f>
        <v>41.666666666666664</v>
      </c>
      <c r="F20" s="416">
        <f>(3000*1.6625)/6</f>
        <v>831.25</v>
      </c>
      <c r="G20" s="417"/>
      <c r="H20" s="418"/>
      <c r="I20" s="418"/>
      <c r="J20" s="420" t="s">
        <v>2314</v>
      </c>
      <c r="K20" s="421" t="s">
        <v>2315</v>
      </c>
    </row>
    <row r="21" spans="1:11" ht="30">
      <c r="A21" s="414">
        <v>13</v>
      </c>
      <c r="B21" s="415" t="s">
        <v>2316</v>
      </c>
      <c r="C21" s="415" t="s">
        <v>2286</v>
      </c>
      <c r="D21" s="415" t="s">
        <v>2291</v>
      </c>
      <c r="E21" s="416">
        <f>69.32/6</f>
        <v>11.553333333333333</v>
      </c>
      <c r="F21" s="416">
        <f>875/6</f>
        <v>145.83333333333334</v>
      </c>
      <c r="G21" s="422" t="s">
        <v>2317</v>
      </c>
      <c r="H21" s="423" t="s">
        <v>2318</v>
      </c>
      <c r="I21" s="423" t="s">
        <v>2319</v>
      </c>
      <c r="J21" s="419"/>
      <c r="K21" s="415"/>
    </row>
    <row r="22" spans="1:11" ht="30">
      <c r="A22" s="414">
        <v>14</v>
      </c>
      <c r="B22" s="415" t="s">
        <v>2320</v>
      </c>
      <c r="C22" s="415" t="s">
        <v>2286</v>
      </c>
      <c r="D22" s="415" t="s">
        <v>2291</v>
      </c>
      <c r="E22" s="416">
        <f>(67.45+84.15+74)/6</f>
        <v>37.6</v>
      </c>
      <c r="F22" s="416">
        <f>(2130*1.6625)/6</f>
        <v>590.1875</v>
      </c>
      <c r="G22" s="422" t="s">
        <v>2321</v>
      </c>
      <c r="H22" s="423" t="s">
        <v>2322</v>
      </c>
      <c r="I22" s="423" t="s">
        <v>2323</v>
      </c>
      <c r="J22" s="419"/>
      <c r="K22" s="415"/>
    </row>
    <row r="23" spans="1:11" ht="30">
      <c r="A23" s="414">
        <v>15</v>
      </c>
      <c r="B23" s="415" t="s">
        <v>2324</v>
      </c>
      <c r="C23" s="415" t="s">
        <v>2286</v>
      </c>
      <c r="D23" s="415" t="s">
        <v>2325</v>
      </c>
      <c r="E23" s="416">
        <f>122.14/6</f>
        <v>20.356666666666666</v>
      </c>
      <c r="F23" s="416">
        <f>(2920*1.6625)/6</f>
        <v>809.08333333333337</v>
      </c>
      <c r="G23" s="422" t="s">
        <v>2326</v>
      </c>
      <c r="H23" s="423" t="s">
        <v>2327</v>
      </c>
      <c r="I23" s="423" t="s">
        <v>2328</v>
      </c>
      <c r="J23" s="419"/>
      <c r="K23" s="415"/>
    </row>
    <row r="24" spans="1:11" ht="30">
      <c r="A24" s="414">
        <v>16</v>
      </c>
      <c r="B24" s="415" t="s">
        <v>2329</v>
      </c>
      <c r="C24" s="415" t="s">
        <v>2286</v>
      </c>
      <c r="D24" s="415" t="s">
        <v>2291</v>
      </c>
      <c r="E24" s="416">
        <f>222/6</f>
        <v>37</v>
      </c>
      <c r="F24" s="416">
        <f>437.5/6</f>
        <v>72.916666666666671</v>
      </c>
      <c r="G24" s="417" t="s">
        <v>2330</v>
      </c>
      <c r="H24" s="418" t="s">
        <v>2331</v>
      </c>
      <c r="I24" s="418" t="s">
        <v>2332</v>
      </c>
      <c r="J24" s="419"/>
      <c r="K24" s="415"/>
    </row>
    <row r="25" spans="1:11" ht="30">
      <c r="A25" s="414">
        <v>17</v>
      </c>
      <c r="B25" s="415" t="s">
        <v>2333</v>
      </c>
      <c r="C25" s="415" t="s">
        <v>2286</v>
      </c>
      <c r="D25" s="415" t="s">
        <v>2334</v>
      </c>
      <c r="E25" s="416">
        <f>175/6</f>
        <v>29.166666666666668</v>
      </c>
      <c r="F25" s="416">
        <f>1300/6</f>
        <v>216.66666666666666</v>
      </c>
      <c r="G25" s="417"/>
      <c r="H25" s="418"/>
      <c r="I25" s="418"/>
      <c r="J25" s="417" t="s">
        <v>2335</v>
      </c>
      <c r="K25" s="415" t="s">
        <v>2336</v>
      </c>
    </row>
    <row r="26" spans="1:11" ht="30">
      <c r="A26" s="414">
        <v>18</v>
      </c>
      <c r="B26" s="415" t="s">
        <v>2337</v>
      </c>
      <c r="C26" s="415" t="s">
        <v>2286</v>
      </c>
      <c r="D26" s="415" t="s">
        <v>2334</v>
      </c>
      <c r="E26" s="416">
        <f>250/6</f>
        <v>41.666666666666664</v>
      </c>
      <c r="F26" s="416">
        <f>1000/6</f>
        <v>166.66666666666666</v>
      </c>
      <c r="G26" s="417" t="s">
        <v>2338</v>
      </c>
      <c r="H26" s="418" t="s">
        <v>2339</v>
      </c>
      <c r="I26" s="418" t="s">
        <v>2340</v>
      </c>
      <c r="J26" s="419"/>
      <c r="K26" s="415"/>
    </row>
    <row r="27" spans="1:11" ht="30">
      <c r="A27" s="414">
        <v>19</v>
      </c>
      <c r="B27" s="415" t="s">
        <v>2341</v>
      </c>
      <c r="C27" s="415" t="s">
        <v>2286</v>
      </c>
      <c r="D27" s="415" t="s">
        <v>2334</v>
      </c>
      <c r="E27" s="416">
        <f>135/6</f>
        <v>22.5</v>
      </c>
      <c r="F27" s="416">
        <f>1250/6</f>
        <v>208.33333333333334</v>
      </c>
      <c r="G27" s="417" t="s">
        <v>2342</v>
      </c>
      <c r="H27" s="418" t="s">
        <v>2343</v>
      </c>
      <c r="I27" s="422" t="s">
        <v>2344</v>
      </c>
      <c r="J27" s="424">
        <v>14001000391</v>
      </c>
      <c r="K27" s="415"/>
    </row>
    <row r="28" spans="1:11" ht="30">
      <c r="A28" s="414">
        <v>20</v>
      </c>
      <c r="B28" s="415" t="s">
        <v>2345</v>
      </c>
      <c r="C28" s="415" t="s">
        <v>2286</v>
      </c>
      <c r="D28" s="415" t="s">
        <v>2291</v>
      </c>
      <c r="E28" s="416">
        <f>195.8/6</f>
        <v>32.633333333333333</v>
      </c>
      <c r="F28" s="416">
        <f>(1000*1.6625)/6</f>
        <v>277.08333333333331</v>
      </c>
      <c r="G28" s="417" t="s">
        <v>2346</v>
      </c>
      <c r="H28" s="418" t="s">
        <v>2347</v>
      </c>
      <c r="I28" s="418" t="s">
        <v>2348</v>
      </c>
      <c r="J28" s="419"/>
      <c r="K28" s="415"/>
    </row>
    <row r="29" spans="1:11" ht="30">
      <c r="A29" s="414">
        <v>21</v>
      </c>
      <c r="B29" s="415" t="s">
        <v>2349</v>
      </c>
      <c r="C29" s="415" t="s">
        <v>2286</v>
      </c>
      <c r="D29" s="415" t="s">
        <v>2334</v>
      </c>
      <c r="E29" s="416">
        <f>227.1/6</f>
        <v>37.85</v>
      </c>
      <c r="F29" s="416">
        <f>625/6</f>
        <v>104.16666666666667</v>
      </c>
      <c r="G29" s="417" t="s">
        <v>2350</v>
      </c>
      <c r="H29" s="418" t="s">
        <v>2351</v>
      </c>
      <c r="I29" s="418" t="s">
        <v>2352</v>
      </c>
      <c r="J29" s="419"/>
      <c r="K29" s="415"/>
    </row>
    <row r="30" spans="1:11" ht="30">
      <c r="A30" s="414">
        <v>22</v>
      </c>
      <c r="B30" s="415" t="s">
        <v>2353</v>
      </c>
      <c r="C30" s="415" t="s">
        <v>2286</v>
      </c>
      <c r="D30" s="415" t="s">
        <v>2291</v>
      </c>
      <c r="E30" s="416">
        <f>112/6</f>
        <v>18.666666666666668</v>
      </c>
      <c r="F30" s="416">
        <f>1200/6</f>
        <v>200</v>
      </c>
      <c r="G30" s="417"/>
      <c r="H30" s="418"/>
      <c r="I30" s="418"/>
      <c r="J30" s="419" t="s">
        <v>2263</v>
      </c>
      <c r="K30" s="415" t="s">
        <v>2354</v>
      </c>
    </row>
    <row r="31" spans="1:11" ht="30">
      <c r="A31" s="414">
        <v>23</v>
      </c>
      <c r="B31" s="415" t="s">
        <v>2355</v>
      </c>
      <c r="C31" s="415" t="s">
        <v>2286</v>
      </c>
      <c r="D31" s="415" t="s">
        <v>2291</v>
      </c>
      <c r="E31" s="416">
        <f>115/6</f>
        <v>19.166666666666668</v>
      </c>
      <c r="F31" s="416">
        <f>845/6</f>
        <v>140.83333333333334</v>
      </c>
      <c r="G31" s="417" t="s">
        <v>2356</v>
      </c>
      <c r="H31" s="418" t="s">
        <v>2357</v>
      </c>
      <c r="I31" s="418" t="s">
        <v>2358</v>
      </c>
      <c r="J31" s="419"/>
      <c r="K31" s="415"/>
    </row>
    <row r="32" spans="1:11" ht="30">
      <c r="A32" s="414">
        <v>24</v>
      </c>
      <c r="B32" s="415" t="s">
        <v>2359</v>
      </c>
      <c r="C32" s="415" t="s">
        <v>2286</v>
      </c>
      <c r="D32" s="415" t="s">
        <v>2334</v>
      </c>
      <c r="E32" s="425" t="s">
        <v>2360</v>
      </c>
      <c r="F32" s="416">
        <f>1250/6</f>
        <v>208.33333333333334</v>
      </c>
      <c r="G32" s="417" t="s">
        <v>2361</v>
      </c>
      <c r="H32" s="418" t="s">
        <v>2306</v>
      </c>
      <c r="I32" s="418" t="s">
        <v>2362</v>
      </c>
      <c r="J32" s="419"/>
      <c r="K32" s="415"/>
    </row>
    <row r="33" spans="1:11" ht="30">
      <c r="A33" s="414">
        <v>25</v>
      </c>
      <c r="B33" s="415" t="s">
        <v>2363</v>
      </c>
      <c r="C33" s="415" t="s">
        <v>2286</v>
      </c>
      <c r="D33" s="415" t="s">
        <v>2300</v>
      </c>
      <c r="E33" s="416">
        <f>50.75/6</f>
        <v>8.4583333333333339</v>
      </c>
      <c r="F33" s="416">
        <f>(1500*1.6625)/6</f>
        <v>415.625</v>
      </c>
      <c r="G33" s="417" t="s">
        <v>2364</v>
      </c>
      <c r="H33" s="418" t="s">
        <v>2365</v>
      </c>
      <c r="I33" s="418" t="s">
        <v>2366</v>
      </c>
      <c r="J33" s="419"/>
      <c r="K33" s="415"/>
    </row>
    <row r="34" spans="1:11" ht="30">
      <c r="A34" s="414">
        <v>26</v>
      </c>
      <c r="B34" s="415" t="s">
        <v>2367</v>
      </c>
      <c r="C34" s="415" t="s">
        <v>2286</v>
      </c>
      <c r="D34" s="415" t="s">
        <v>2297</v>
      </c>
      <c r="E34" s="416">
        <f>160/6</f>
        <v>26.666666666666668</v>
      </c>
      <c r="F34" s="416">
        <f>2000/6</f>
        <v>333.33333333333331</v>
      </c>
      <c r="G34" s="417"/>
      <c r="H34" s="418"/>
      <c r="I34" s="418"/>
      <c r="J34" s="419" t="s">
        <v>2368</v>
      </c>
      <c r="K34" s="415" t="s">
        <v>2369</v>
      </c>
    </row>
    <row r="35" spans="1:11" ht="30">
      <c r="A35" s="414">
        <v>27</v>
      </c>
      <c r="B35" s="415" t="s">
        <v>2370</v>
      </c>
      <c r="C35" s="415" t="s">
        <v>2286</v>
      </c>
      <c r="D35" s="415" t="s">
        <v>2291</v>
      </c>
      <c r="E35" s="416">
        <f>169.7/6</f>
        <v>28.283333333333331</v>
      </c>
      <c r="F35" s="416">
        <f>625/6</f>
        <v>104.16666666666667</v>
      </c>
      <c r="G35" s="417" t="s">
        <v>2371</v>
      </c>
      <c r="H35" s="418" t="s">
        <v>2372</v>
      </c>
      <c r="I35" s="418" t="s">
        <v>2373</v>
      </c>
      <c r="J35" s="419"/>
      <c r="K35" s="415"/>
    </row>
    <row r="36" spans="1:11" ht="30">
      <c r="A36" s="414">
        <v>28</v>
      </c>
      <c r="B36" s="415" t="s">
        <v>2374</v>
      </c>
      <c r="C36" s="415" t="s">
        <v>2286</v>
      </c>
      <c r="D36" s="415" t="s">
        <v>2334</v>
      </c>
      <c r="E36" s="416">
        <f>200/6</f>
        <v>33.333333333333336</v>
      </c>
      <c r="F36" s="416">
        <f>625/6</f>
        <v>104.16666666666667</v>
      </c>
      <c r="G36" s="417" t="s">
        <v>2375</v>
      </c>
      <c r="H36" s="418" t="s">
        <v>2327</v>
      </c>
      <c r="I36" s="418" t="s">
        <v>2376</v>
      </c>
      <c r="J36" s="419"/>
      <c r="K36" s="415"/>
    </row>
    <row r="37" spans="1:11" ht="30">
      <c r="A37" s="414">
        <v>29</v>
      </c>
      <c r="B37" s="415" t="s">
        <v>2377</v>
      </c>
      <c r="C37" s="415" t="s">
        <v>2286</v>
      </c>
      <c r="D37" s="415" t="s">
        <v>2291</v>
      </c>
      <c r="E37" s="416">
        <v>112</v>
      </c>
      <c r="F37" s="416">
        <f>625/6</f>
        <v>104.16666666666667</v>
      </c>
      <c r="G37" s="422" t="s">
        <v>2378</v>
      </c>
      <c r="H37" s="423" t="s">
        <v>2347</v>
      </c>
      <c r="I37" s="423" t="s">
        <v>2379</v>
      </c>
      <c r="J37" s="419"/>
      <c r="K37" s="415"/>
    </row>
    <row r="38" spans="1:11" ht="30">
      <c r="A38" s="414">
        <v>30</v>
      </c>
      <c r="B38" s="415" t="s">
        <v>2380</v>
      </c>
      <c r="C38" s="415" t="s">
        <v>2286</v>
      </c>
      <c r="D38" s="415" t="s">
        <v>2334</v>
      </c>
      <c r="E38" s="416">
        <f>660/6</f>
        <v>110</v>
      </c>
      <c r="F38" s="416">
        <f>1625/6</f>
        <v>270.83333333333331</v>
      </c>
      <c r="G38" s="417" t="s">
        <v>2381</v>
      </c>
      <c r="H38" s="418" t="s">
        <v>2382</v>
      </c>
      <c r="I38" s="418" t="s">
        <v>2383</v>
      </c>
      <c r="J38" s="419"/>
      <c r="K38" s="415"/>
    </row>
    <row r="39" spans="1:11" ht="30">
      <c r="A39" s="414">
        <v>31</v>
      </c>
      <c r="B39" s="415" t="s">
        <v>2384</v>
      </c>
      <c r="C39" s="415" t="s">
        <v>2286</v>
      </c>
      <c r="D39" s="415" t="s">
        <v>2334</v>
      </c>
      <c r="E39" s="416">
        <f>211/6</f>
        <v>35.166666666666664</v>
      </c>
      <c r="F39" s="416">
        <f>(1000*1.6625)/6</f>
        <v>277.08333333333331</v>
      </c>
      <c r="G39" s="417" t="s">
        <v>2385</v>
      </c>
      <c r="H39" s="418" t="s">
        <v>2386</v>
      </c>
      <c r="I39" s="418" t="s">
        <v>2387</v>
      </c>
      <c r="J39" s="419"/>
      <c r="K39" s="415"/>
    </row>
    <row r="40" spans="1:11" ht="30">
      <c r="A40" s="414">
        <v>32</v>
      </c>
      <c r="B40" s="415" t="s">
        <v>2388</v>
      </c>
      <c r="C40" s="415" t="s">
        <v>2286</v>
      </c>
      <c r="D40" s="415" t="s">
        <v>2291</v>
      </c>
      <c r="E40" s="416">
        <f>90/6</f>
        <v>15</v>
      </c>
      <c r="F40" s="416">
        <f>800/6</f>
        <v>133.33333333333334</v>
      </c>
      <c r="G40" s="417" t="s">
        <v>2389</v>
      </c>
      <c r="H40" s="418" t="s">
        <v>2390</v>
      </c>
      <c r="I40" s="418" t="s">
        <v>2391</v>
      </c>
      <c r="J40" s="419"/>
      <c r="K40" s="415"/>
    </row>
    <row r="41" spans="1:11" ht="15">
      <c r="A41" s="414">
        <v>33</v>
      </c>
      <c r="B41" s="415" t="s">
        <v>2392</v>
      </c>
      <c r="C41" s="415" t="s">
        <v>2286</v>
      </c>
      <c r="D41" s="415" t="s">
        <v>2334</v>
      </c>
      <c r="E41" s="416">
        <f>81.95/6</f>
        <v>13.658333333333333</v>
      </c>
      <c r="F41" s="416">
        <f>750/6</f>
        <v>125</v>
      </c>
      <c r="G41" s="417" t="s">
        <v>2393</v>
      </c>
      <c r="H41" s="418" t="s">
        <v>2394</v>
      </c>
      <c r="I41" s="418" t="s">
        <v>2395</v>
      </c>
      <c r="J41" s="419"/>
      <c r="K41" s="415"/>
    </row>
    <row r="42" spans="1:11" ht="30">
      <c r="A42" s="414">
        <v>34</v>
      </c>
      <c r="B42" s="415" t="s">
        <v>2396</v>
      </c>
      <c r="C42" s="415" t="s">
        <v>2286</v>
      </c>
      <c r="D42" s="415" t="s">
        <v>2291</v>
      </c>
      <c r="E42" s="416">
        <f>196/6</f>
        <v>32.666666666666664</v>
      </c>
      <c r="F42" s="416">
        <f>1200/6</f>
        <v>200</v>
      </c>
      <c r="G42" s="417"/>
      <c r="H42" s="418"/>
      <c r="I42" s="418"/>
      <c r="J42" s="419" t="s">
        <v>2397</v>
      </c>
      <c r="K42" s="415" t="s">
        <v>2398</v>
      </c>
    </row>
    <row r="43" spans="1:11" ht="30">
      <c r="A43" s="414">
        <v>35</v>
      </c>
      <c r="B43" s="415" t="s">
        <v>2399</v>
      </c>
      <c r="C43" s="415" t="s">
        <v>2286</v>
      </c>
      <c r="D43" s="415" t="s">
        <v>2334</v>
      </c>
      <c r="E43" s="416">
        <f>143/6</f>
        <v>23.833333333333332</v>
      </c>
      <c r="F43" s="416">
        <f>(752*1.6625)/6</f>
        <v>208.36666666666667</v>
      </c>
      <c r="G43" s="417" t="s">
        <v>2400</v>
      </c>
      <c r="H43" s="418" t="s">
        <v>2311</v>
      </c>
      <c r="I43" s="418" t="s">
        <v>2401</v>
      </c>
      <c r="J43" s="419"/>
      <c r="K43" s="415"/>
    </row>
    <row r="44" spans="1:11" ht="30">
      <c r="A44" s="414">
        <v>36</v>
      </c>
      <c r="B44" s="415" t="s">
        <v>2402</v>
      </c>
      <c r="C44" s="415" t="s">
        <v>2286</v>
      </c>
      <c r="D44" s="415" t="s">
        <v>2334</v>
      </c>
      <c r="E44" s="416">
        <f>223/6</f>
        <v>37.166666666666664</v>
      </c>
      <c r="F44" s="416">
        <f>(1500*1.6625)/6</f>
        <v>415.625</v>
      </c>
      <c r="G44" s="417"/>
      <c r="H44" s="418"/>
      <c r="I44" s="418"/>
      <c r="J44" s="420" t="s">
        <v>2403</v>
      </c>
      <c r="K44" s="421" t="s">
        <v>2404</v>
      </c>
    </row>
    <row r="45" spans="1:11" ht="30">
      <c r="A45" s="414">
        <v>37</v>
      </c>
      <c r="B45" s="415" t="s">
        <v>2405</v>
      </c>
      <c r="C45" s="415" t="s">
        <v>2286</v>
      </c>
      <c r="D45" s="415" t="s">
        <v>2406</v>
      </c>
      <c r="E45" s="416">
        <f>90/6</f>
        <v>15</v>
      </c>
      <c r="F45" s="416">
        <f>750/6</f>
        <v>125</v>
      </c>
      <c r="G45" s="417" t="s">
        <v>2407</v>
      </c>
      <c r="H45" s="418" t="s">
        <v>2408</v>
      </c>
      <c r="I45" s="418" t="s">
        <v>2409</v>
      </c>
      <c r="J45" s="419"/>
      <c r="K45" s="415"/>
    </row>
    <row r="46" spans="1:11" ht="30">
      <c r="A46" s="414">
        <v>38</v>
      </c>
      <c r="B46" s="415" t="s">
        <v>2410</v>
      </c>
      <c r="C46" s="415" t="s">
        <v>2286</v>
      </c>
      <c r="D46" s="415" t="s">
        <v>2406</v>
      </c>
      <c r="E46" s="426">
        <v>95</v>
      </c>
      <c r="F46" s="416">
        <f>300/6</f>
        <v>50</v>
      </c>
      <c r="G46" s="422" t="s">
        <v>2411</v>
      </c>
      <c r="H46" s="423" t="s">
        <v>2412</v>
      </c>
      <c r="I46" s="423" t="s">
        <v>2413</v>
      </c>
      <c r="J46" s="419"/>
      <c r="K46" s="415"/>
    </row>
    <row r="47" spans="1:11" ht="30">
      <c r="A47" s="414">
        <v>39</v>
      </c>
      <c r="B47" s="415" t="s">
        <v>2414</v>
      </c>
      <c r="C47" s="415" t="s">
        <v>2286</v>
      </c>
      <c r="D47" s="415" t="s">
        <v>2291</v>
      </c>
      <c r="E47" s="427" t="s">
        <v>2415</v>
      </c>
      <c r="F47" s="416">
        <f>400/6</f>
        <v>66.666666666666671</v>
      </c>
      <c r="G47" s="422" t="s">
        <v>2416</v>
      </c>
      <c r="H47" s="423" t="s">
        <v>2417</v>
      </c>
      <c r="I47" s="423" t="s">
        <v>2418</v>
      </c>
      <c r="J47" s="419"/>
      <c r="K47" s="415"/>
    </row>
    <row r="48" spans="1:11" ht="30">
      <c r="A48" s="414">
        <v>40</v>
      </c>
      <c r="B48" s="415" t="s">
        <v>2419</v>
      </c>
      <c r="C48" s="415" t="s">
        <v>2286</v>
      </c>
      <c r="D48" s="415" t="s">
        <v>2297</v>
      </c>
      <c r="E48" s="416">
        <f>150/6</f>
        <v>25</v>
      </c>
      <c r="F48" s="416">
        <f>2450/6</f>
        <v>408.33333333333331</v>
      </c>
      <c r="G48" s="417"/>
      <c r="H48" s="418"/>
      <c r="I48" s="418"/>
      <c r="J48" s="420" t="s">
        <v>2420</v>
      </c>
      <c r="K48" s="421" t="s">
        <v>2421</v>
      </c>
    </row>
    <row r="49" spans="1:11" ht="15">
      <c r="A49" s="414">
        <v>41</v>
      </c>
      <c r="B49" s="415" t="s">
        <v>2422</v>
      </c>
      <c r="C49" s="415" t="s">
        <v>2286</v>
      </c>
      <c r="D49" s="415" t="s">
        <v>2291</v>
      </c>
      <c r="E49" s="416">
        <f>137/6</f>
        <v>22.833333333333332</v>
      </c>
      <c r="F49" s="416">
        <f>500/6</f>
        <v>83.333333333333329</v>
      </c>
      <c r="G49" s="417" t="s">
        <v>2423</v>
      </c>
      <c r="H49" s="418" t="s">
        <v>2424</v>
      </c>
      <c r="I49" s="418" t="s">
        <v>2425</v>
      </c>
      <c r="J49" s="419"/>
      <c r="K49" s="415"/>
    </row>
    <row r="50" spans="1:11" ht="30">
      <c r="A50" s="414">
        <v>42</v>
      </c>
      <c r="B50" s="415" t="s">
        <v>2426</v>
      </c>
      <c r="C50" s="415" t="s">
        <v>2286</v>
      </c>
      <c r="D50" s="415" t="s">
        <v>2300</v>
      </c>
      <c r="E50" s="416">
        <f>75.48/6</f>
        <v>12.58</v>
      </c>
      <c r="F50" s="416">
        <f>625/6</f>
        <v>104.16666666666667</v>
      </c>
      <c r="G50" s="417" t="s">
        <v>2427</v>
      </c>
      <c r="H50" s="418" t="s">
        <v>2428</v>
      </c>
      <c r="I50" s="418" t="s">
        <v>2429</v>
      </c>
      <c r="J50" s="419"/>
      <c r="K50" s="415"/>
    </row>
    <row r="51" spans="1:11" ht="30">
      <c r="A51" s="414">
        <v>43</v>
      </c>
      <c r="B51" s="415" t="s">
        <v>2430</v>
      </c>
      <c r="C51" s="415" t="s">
        <v>2286</v>
      </c>
      <c r="D51" s="415" t="s">
        <v>2291</v>
      </c>
      <c r="E51" s="416">
        <f>162/6</f>
        <v>27</v>
      </c>
      <c r="F51" s="416">
        <f>625/6</f>
        <v>104.16666666666667</v>
      </c>
      <c r="G51" s="417" t="s">
        <v>2431</v>
      </c>
      <c r="H51" s="418" t="s">
        <v>2432</v>
      </c>
      <c r="I51" s="418" t="s">
        <v>2433</v>
      </c>
      <c r="J51" s="419"/>
      <c r="K51" s="415"/>
    </row>
    <row r="52" spans="1:11" ht="30">
      <c r="A52" s="414">
        <v>44</v>
      </c>
      <c r="B52" s="415" t="s">
        <v>2434</v>
      </c>
      <c r="C52" s="415" t="s">
        <v>2286</v>
      </c>
      <c r="D52" s="415" t="s">
        <v>2334</v>
      </c>
      <c r="E52" s="416">
        <f>(64.28+28.57)/6</f>
        <v>15.475</v>
      </c>
      <c r="F52" s="416">
        <f>1000/6</f>
        <v>166.66666666666666</v>
      </c>
      <c r="G52" s="417" t="s">
        <v>2435</v>
      </c>
      <c r="H52" s="418" t="s">
        <v>2436</v>
      </c>
      <c r="I52" s="418" t="s">
        <v>2437</v>
      </c>
      <c r="J52" s="419"/>
      <c r="K52" s="415"/>
    </row>
    <row r="53" spans="1:11" ht="30">
      <c r="A53" s="414">
        <v>45</v>
      </c>
      <c r="B53" s="415" t="s">
        <v>2438</v>
      </c>
      <c r="C53" s="415" t="s">
        <v>2286</v>
      </c>
      <c r="D53" s="415" t="s">
        <v>2291</v>
      </c>
      <c r="E53" s="416">
        <f>(54+55)/6</f>
        <v>18.166666666666668</v>
      </c>
      <c r="F53" s="416">
        <f>2500/6</f>
        <v>416.66666666666669</v>
      </c>
      <c r="G53" s="417" t="s">
        <v>2439</v>
      </c>
      <c r="H53" s="418" t="s">
        <v>2440</v>
      </c>
      <c r="I53" s="418" t="s">
        <v>2441</v>
      </c>
      <c r="J53" s="419"/>
      <c r="K53" s="415"/>
    </row>
    <row r="54" spans="1:11" ht="30">
      <c r="A54" s="414">
        <v>46</v>
      </c>
      <c r="B54" s="415" t="s">
        <v>2442</v>
      </c>
      <c r="C54" s="415" t="s">
        <v>2286</v>
      </c>
      <c r="D54" s="415" t="s">
        <v>2334</v>
      </c>
      <c r="E54" s="416">
        <f>60.8/6</f>
        <v>10.133333333333333</v>
      </c>
      <c r="F54" s="416">
        <f>500/6</f>
        <v>83.333333333333329</v>
      </c>
      <c r="G54" s="417" t="s">
        <v>2443</v>
      </c>
      <c r="H54" s="418" t="s">
        <v>2372</v>
      </c>
      <c r="I54" s="418" t="s">
        <v>2444</v>
      </c>
      <c r="J54" s="419"/>
      <c r="K54" s="415"/>
    </row>
    <row r="55" spans="1:11" ht="30">
      <c r="A55" s="414">
        <v>47</v>
      </c>
      <c r="B55" s="415" t="s">
        <v>2445</v>
      </c>
      <c r="C55" s="415" t="s">
        <v>2286</v>
      </c>
      <c r="D55" s="415" t="s">
        <v>2291</v>
      </c>
      <c r="E55" s="416">
        <f>80/6</f>
        <v>13.333333333333334</v>
      </c>
      <c r="F55" s="416">
        <f>1250/6</f>
        <v>208.33333333333334</v>
      </c>
      <c r="G55" s="417" t="s">
        <v>2446</v>
      </c>
      <c r="H55" s="418" t="s">
        <v>2447</v>
      </c>
      <c r="I55" s="418" t="s">
        <v>2448</v>
      </c>
      <c r="J55" s="419"/>
      <c r="K55" s="415"/>
    </row>
    <row r="56" spans="1:11" ht="30">
      <c r="A56" s="414">
        <v>48</v>
      </c>
      <c r="B56" s="415" t="s">
        <v>2449</v>
      </c>
      <c r="C56" s="415" t="s">
        <v>2286</v>
      </c>
      <c r="D56" s="415" t="s">
        <v>2291</v>
      </c>
      <c r="E56" s="416">
        <f>106.2/6</f>
        <v>17.7</v>
      </c>
      <c r="F56" s="416">
        <f>1250/6</f>
        <v>208.33333333333334</v>
      </c>
      <c r="G56" s="417" t="s">
        <v>2450</v>
      </c>
      <c r="H56" s="418" t="s">
        <v>2451</v>
      </c>
      <c r="I56" s="418" t="s">
        <v>2452</v>
      </c>
      <c r="J56" s="419"/>
      <c r="K56" s="415"/>
    </row>
    <row r="57" spans="1:11" ht="30">
      <c r="A57" s="414">
        <v>49</v>
      </c>
      <c r="B57" s="415" t="s">
        <v>2453</v>
      </c>
      <c r="C57" s="415" t="s">
        <v>2286</v>
      </c>
      <c r="D57" s="415" t="s">
        <v>2291</v>
      </c>
      <c r="E57" s="416">
        <f>280/6</f>
        <v>46.666666666666664</v>
      </c>
      <c r="F57" s="416">
        <f>2250/6</f>
        <v>375</v>
      </c>
      <c r="G57" s="417" t="s">
        <v>2454</v>
      </c>
      <c r="H57" s="418" t="s">
        <v>2455</v>
      </c>
      <c r="I57" s="418" t="s">
        <v>2456</v>
      </c>
      <c r="J57" s="419"/>
      <c r="K57" s="415"/>
    </row>
    <row r="58" spans="1:11" ht="30">
      <c r="A58" s="414">
        <v>50</v>
      </c>
      <c r="B58" s="415" t="s">
        <v>2457</v>
      </c>
      <c r="C58" s="415" t="s">
        <v>2286</v>
      </c>
      <c r="D58" s="415" t="s">
        <v>2291</v>
      </c>
      <c r="E58" s="416">
        <f>112/6</f>
        <v>18.666666666666668</v>
      </c>
      <c r="F58" s="416">
        <f>800/6</f>
        <v>133.33333333333334</v>
      </c>
      <c r="G58" s="417"/>
      <c r="H58" s="418"/>
      <c r="I58" s="418"/>
      <c r="J58" s="419" t="s">
        <v>2458</v>
      </c>
      <c r="K58" s="415" t="s">
        <v>2459</v>
      </c>
    </row>
    <row r="59" spans="1:11" ht="30">
      <c r="A59" s="414">
        <v>51</v>
      </c>
      <c r="B59" s="415" t="s">
        <v>2460</v>
      </c>
      <c r="C59" s="415" t="s">
        <v>2286</v>
      </c>
      <c r="D59" s="415" t="s">
        <v>2291</v>
      </c>
      <c r="E59" s="416">
        <f>90/6</f>
        <v>15</v>
      </c>
      <c r="F59" s="416">
        <f>875/6</f>
        <v>145.83333333333334</v>
      </c>
      <c r="G59" s="422" t="s">
        <v>2461</v>
      </c>
      <c r="H59" s="423" t="s">
        <v>2462</v>
      </c>
      <c r="I59" s="423" t="s">
        <v>2463</v>
      </c>
      <c r="J59" s="419"/>
      <c r="K59" s="415"/>
    </row>
    <row r="60" spans="1:11" ht="30">
      <c r="A60" s="414">
        <v>52</v>
      </c>
      <c r="B60" s="415" t="s">
        <v>2464</v>
      </c>
      <c r="C60" s="415" t="s">
        <v>2286</v>
      </c>
      <c r="D60" s="415" t="s">
        <v>2334</v>
      </c>
      <c r="E60" s="416">
        <f>214/6</f>
        <v>35.666666666666664</v>
      </c>
      <c r="F60" s="416">
        <f>(1500*1.6625)/6</f>
        <v>415.625</v>
      </c>
      <c r="G60" s="417" t="s">
        <v>2465</v>
      </c>
      <c r="H60" s="418" t="s">
        <v>2466</v>
      </c>
      <c r="I60" s="418" t="s">
        <v>2467</v>
      </c>
      <c r="J60" s="419"/>
      <c r="K60" s="415"/>
    </row>
    <row r="61" spans="1:11" ht="30">
      <c r="A61" s="414">
        <v>53</v>
      </c>
      <c r="B61" s="415" t="s">
        <v>2468</v>
      </c>
      <c r="C61" s="415" t="s">
        <v>2286</v>
      </c>
      <c r="D61" s="415" t="s">
        <v>2334</v>
      </c>
      <c r="E61" s="416">
        <f>99/6</f>
        <v>16.5</v>
      </c>
      <c r="F61" s="416">
        <f>(800*1.6625)/6</f>
        <v>221.66666666666666</v>
      </c>
      <c r="G61" s="417" t="s">
        <v>2469</v>
      </c>
      <c r="H61" s="418" t="s">
        <v>2470</v>
      </c>
      <c r="I61" s="418" t="s">
        <v>2471</v>
      </c>
      <c r="J61" s="419"/>
      <c r="K61" s="415"/>
    </row>
    <row r="62" spans="1:11" ht="30">
      <c r="A62" s="414">
        <v>54</v>
      </c>
      <c r="B62" s="415" t="s">
        <v>2472</v>
      </c>
      <c r="C62" s="415" t="s">
        <v>2286</v>
      </c>
      <c r="D62" s="415" t="s">
        <v>2334</v>
      </c>
      <c r="E62" s="416">
        <f>94.1/6</f>
        <v>15.683333333333332</v>
      </c>
      <c r="F62" s="416">
        <f>940/6</f>
        <v>156.66666666666666</v>
      </c>
      <c r="G62" s="417" t="s">
        <v>2473</v>
      </c>
      <c r="H62" s="418" t="s">
        <v>2474</v>
      </c>
      <c r="I62" s="418" t="s">
        <v>2475</v>
      </c>
      <c r="J62" s="419"/>
      <c r="K62" s="415"/>
    </row>
    <row r="63" spans="1:11" ht="30">
      <c r="A63" s="414">
        <v>55</v>
      </c>
      <c r="B63" s="415" t="s">
        <v>2476</v>
      </c>
      <c r="C63" s="415" t="s">
        <v>2286</v>
      </c>
      <c r="D63" s="415" t="s">
        <v>2300</v>
      </c>
      <c r="E63" s="416">
        <f>82.9/6</f>
        <v>13.816666666666668</v>
      </c>
      <c r="F63" s="416">
        <f>375/6</f>
        <v>62.5</v>
      </c>
      <c r="G63" s="417" t="s">
        <v>2477</v>
      </c>
      <c r="H63" s="418" t="s">
        <v>2478</v>
      </c>
      <c r="I63" s="418" t="s">
        <v>2479</v>
      </c>
      <c r="J63" s="419"/>
      <c r="K63" s="415"/>
    </row>
    <row r="64" spans="1:11" ht="30">
      <c r="A64" s="414">
        <v>56</v>
      </c>
      <c r="B64" s="415" t="s">
        <v>2480</v>
      </c>
      <c r="C64" s="415" t="s">
        <v>2286</v>
      </c>
      <c r="D64" s="415" t="s">
        <v>2334</v>
      </c>
      <c r="E64" s="416">
        <f>82/6</f>
        <v>13.666666666666666</v>
      </c>
      <c r="F64" s="416">
        <f>375/6</f>
        <v>62.5</v>
      </c>
      <c r="G64" s="422" t="s">
        <v>2481</v>
      </c>
      <c r="H64" s="423" t="s">
        <v>2482</v>
      </c>
      <c r="I64" s="423" t="s">
        <v>2483</v>
      </c>
      <c r="J64" s="419"/>
      <c r="K64" s="415"/>
    </row>
    <row r="65" spans="1:11" ht="30">
      <c r="A65" s="414">
        <v>57</v>
      </c>
      <c r="B65" s="415" t="s">
        <v>2484</v>
      </c>
      <c r="C65" s="415" t="s">
        <v>2286</v>
      </c>
      <c r="D65" s="415" t="s">
        <v>2300</v>
      </c>
      <c r="E65" s="416">
        <f>278.69/6</f>
        <v>46.448333333333331</v>
      </c>
      <c r="F65" s="416">
        <f>3468/6</f>
        <v>578</v>
      </c>
      <c r="G65" s="417" t="s">
        <v>2485</v>
      </c>
      <c r="H65" s="418" t="s">
        <v>2306</v>
      </c>
      <c r="I65" s="418" t="s">
        <v>2486</v>
      </c>
      <c r="J65" s="419"/>
      <c r="K65" s="415"/>
    </row>
    <row r="66" spans="1:11" ht="30">
      <c r="A66" s="414">
        <v>58</v>
      </c>
      <c r="B66" s="415" t="s">
        <v>2487</v>
      </c>
      <c r="C66" s="415" t="s">
        <v>2286</v>
      </c>
      <c r="D66" s="415" t="s">
        <v>2309</v>
      </c>
      <c r="E66" s="416">
        <f>240/6</f>
        <v>40</v>
      </c>
      <c r="F66" s="416">
        <f>1000/6</f>
        <v>166.66666666666666</v>
      </c>
      <c r="G66" s="417" t="s">
        <v>2488</v>
      </c>
      <c r="H66" s="418" t="s">
        <v>2489</v>
      </c>
      <c r="I66" s="418" t="s">
        <v>2490</v>
      </c>
      <c r="J66" s="419"/>
      <c r="K66" s="415"/>
    </row>
    <row r="67" spans="1:11" ht="30">
      <c r="A67" s="414">
        <v>59</v>
      </c>
      <c r="B67" s="415" t="s">
        <v>2491</v>
      </c>
      <c r="C67" s="415" t="s">
        <v>2286</v>
      </c>
      <c r="D67" s="415" t="s">
        <v>2334</v>
      </c>
      <c r="E67" s="416">
        <f>135.7/6</f>
        <v>22.616666666666664</v>
      </c>
      <c r="F67" s="416">
        <f>700/6</f>
        <v>116.66666666666667</v>
      </c>
      <c r="G67" s="417" t="s">
        <v>2492</v>
      </c>
      <c r="H67" s="418" t="s">
        <v>473</v>
      </c>
      <c r="I67" s="418" t="s">
        <v>2493</v>
      </c>
      <c r="J67" s="419"/>
      <c r="K67" s="415"/>
    </row>
    <row r="68" spans="1:11" ht="30">
      <c r="A68" s="414">
        <v>60</v>
      </c>
      <c r="B68" s="415" t="s">
        <v>2494</v>
      </c>
      <c r="C68" s="415" t="s">
        <v>2286</v>
      </c>
      <c r="D68" s="415" t="s">
        <v>2334</v>
      </c>
      <c r="E68" s="416">
        <f>90/6</f>
        <v>15</v>
      </c>
      <c r="F68" s="416">
        <f>315/6</f>
        <v>52.5</v>
      </c>
      <c r="G68" s="417" t="s">
        <v>2495</v>
      </c>
      <c r="H68" s="418" t="s">
        <v>2496</v>
      </c>
      <c r="I68" s="418" t="s">
        <v>469</v>
      </c>
      <c r="J68" s="419"/>
      <c r="K68" s="415"/>
    </row>
    <row r="69" spans="1:11" ht="30">
      <c r="A69" s="414">
        <v>61</v>
      </c>
      <c r="B69" s="415" t="s">
        <v>2497</v>
      </c>
      <c r="C69" s="415" t="s">
        <v>2286</v>
      </c>
      <c r="D69" s="415" t="s">
        <v>2334</v>
      </c>
      <c r="E69" s="416">
        <f>219.53/6</f>
        <v>36.588333333333331</v>
      </c>
      <c r="F69" s="416">
        <f>2250/6</f>
        <v>375</v>
      </c>
      <c r="G69" s="417" t="s">
        <v>2498</v>
      </c>
      <c r="H69" s="418" t="s">
        <v>2499</v>
      </c>
      <c r="I69" s="418" t="s">
        <v>2500</v>
      </c>
      <c r="J69" s="419"/>
      <c r="K69" s="415"/>
    </row>
    <row r="70" spans="1:11" ht="30">
      <c r="A70" s="414">
        <v>62</v>
      </c>
      <c r="B70" s="415" t="s">
        <v>2501</v>
      </c>
      <c r="C70" s="415" t="s">
        <v>2286</v>
      </c>
      <c r="D70" s="415" t="s">
        <v>2291</v>
      </c>
      <c r="E70" s="416">
        <f>122/6</f>
        <v>20.333333333333332</v>
      </c>
      <c r="F70" s="416">
        <f>500/6</f>
        <v>83.333333333333329</v>
      </c>
      <c r="G70" s="417" t="s">
        <v>2502</v>
      </c>
      <c r="H70" s="418" t="s">
        <v>2432</v>
      </c>
      <c r="I70" s="418" t="s">
        <v>2503</v>
      </c>
      <c r="J70" s="419"/>
      <c r="K70" s="415"/>
    </row>
    <row r="71" spans="1:11" ht="30">
      <c r="A71" s="414">
        <v>63</v>
      </c>
      <c r="B71" s="415" t="s">
        <v>2504</v>
      </c>
      <c r="C71" s="415" t="s">
        <v>2286</v>
      </c>
      <c r="D71" s="415" t="s">
        <v>2334</v>
      </c>
      <c r="E71" s="416">
        <f>300/6</f>
        <v>50</v>
      </c>
      <c r="F71" s="416">
        <f>(1500*1.6625)/6</f>
        <v>415.625</v>
      </c>
      <c r="G71" s="417" t="s">
        <v>2505</v>
      </c>
      <c r="H71" s="418" t="s">
        <v>2417</v>
      </c>
      <c r="I71" s="418" t="s">
        <v>2506</v>
      </c>
      <c r="J71" s="419"/>
      <c r="K71" s="415"/>
    </row>
    <row r="72" spans="1:11" ht="30">
      <c r="A72" s="414">
        <v>64</v>
      </c>
      <c r="B72" s="415" t="s">
        <v>2507</v>
      </c>
      <c r="C72" s="415" t="s">
        <v>2286</v>
      </c>
      <c r="D72" s="415" t="s">
        <v>2508</v>
      </c>
      <c r="E72" s="416">
        <f>188.8/6</f>
        <v>31.466666666666669</v>
      </c>
      <c r="F72" s="416">
        <f>4700/6</f>
        <v>783.33333333333337</v>
      </c>
      <c r="G72" s="417" t="s">
        <v>2509</v>
      </c>
      <c r="H72" s="418" t="s">
        <v>2510</v>
      </c>
      <c r="I72" s="418" t="s">
        <v>2511</v>
      </c>
      <c r="J72" s="419"/>
      <c r="K72" s="415"/>
    </row>
    <row r="73" spans="1:11" ht="30">
      <c r="A73" s="414">
        <v>65</v>
      </c>
      <c r="B73" s="415" t="s">
        <v>2512</v>
      </c>
      <c r="C73" s="415" t="s">
        <v>2286</v>
      </c>
      <c r="D73" s="415" t="s">
        <v>2291</v>
      </c>
      <c r="E73" s="416">
        <f>100/6</f>
        <v>16.666666666666668</v>
      </c>
      <c r="F73" s="416">
        <f>625/6</f>
        <v>104.16666666666667</v>
      </c>
      <c r="G73" s="417" t="s">
        <v>2513</v>
      </c>
      <c r="H73" s="418" t="s">
        <v>2514</v>
      </c>
      <c r="I73" s="418" t="s">
        <v>2515</v>
      </c>
      <c r="J73" s="419"/>
      <c r="K73" s="415"/>
    </row>
    <row r="74" spans="1:11" ht="45">
      <c r="A74" s="414">
        <v>66</v>
      </c>
      <c r="B74" s="415" t="s">
        <v>2516</v>
      </c>
      <c r="C74" s="415" t="s">
        <v>2286</v>
      </c>
      <c r="D74" s="415" t="s">
        <v>2334</v>
      </c>
      <c r="E74" s="416">
        <f>178/6</f>
        <v>29.666666666666668</v>
      </c>
      <c r="F74" s="416">
        <f>1250/6</f>
        <v>208.33333333333334</v>
      </c>
      <c r="G74" s="417" t="s">
        <v>2517</v>
      </c>
      <c r="H74" s="418" t="s">
        <v>2455</v>
      </c>
      <c r="I74" s="418" t="s">
        <v>2518</v>
      </c>
      <c r="J74" s="419"/>
      <c r="K74" s="415"/>
    </row>
    <row r="75" spans="1:11" ht="30">
      <c r="A75" s="414">
        <v>67</v>
      </c>
      <c r="B75" s="415" t="s">
        <v>2519</v>
      </c>
      <c r="C75" s="415" t="s">
        <v>2286</v>
      </c>
      <c r="D75" s="415" t="s">
        <v>2291</v>
      </c>
      <c r="E75" s="416">
        <f>372/6</f>
        <v>62</v>
      </c>
      <c r="F75" s="416">
        <f>(5750*1.6625)/6</f>
        <v>1593.2291666666667</v>
      </c>
      <c r="G75" s="417" t="s">
        <v>2520</v>
      </c>
      <c r="H75" s="418" t="s">
        <v>2306</v>
      </c>
      <c r="I75" s="418" t="s">
        <v>2521</v>
      </c>
      <c r="J75" s="419"/>
      <c r="K75" s="415"/>
    </row>
    <row r="76" spans="1:11" ht="30">
      <c r="A76" s="414">
        <v>68</v>
      </c>
      <c r="B76" s="415" t="s">
        <v>2522</v>
      </c>
      <c r="C76" s="415" t="s">
        <v>2286</v>
      </c>
      <c r="D76" s="415" t="s">
        <v>2291</v>
      </c>
      <c r="E76" s="416">
        <f>150/6</f>
        <v>25</v>
      </c>
      <c r="F76" s="416">
        <f>625/6</f>
        <v>104.16666666666667</v>
      </c>
      <c r="G76" s="417"/>
      <c r="H76" s="418"/>
      <c r="I76" s="418"/>
      <c r="J76" s="417" t="s">
        <v>2523</v>
      </c>
      <c r="K76" s="415" t="s">
        <v>2524</v>
      </c>
    </row>
    <row r="77" spans="1:11" ht="45">
      <c r="A77" s="414">
        <v>69</v>
      </c>
      <c r="B77" s="415" t="s">
        <v>2525</v>
      </c>
      <c r="C77" s="415" t="s">
        <v>2286</v>
      </c>
      <c r="D77" s="415" t="s">
        <v>2526</v>
      </c>
      <c r="E77" s="416">
        <f>192.5/6</f>
        <v>32.083333333333336</v>
      </c>
      <c r="F77" s="416">
        <f>(2000*1.6625)/6</f>
        <v>554.16666666666663</v>
      </c>
      <c r="G77" s="417" t="s">
        <v>2527</v>
      </c>
      <c r="H77" s="418" t="s">
        <v>2528</v>
      </c>
      <c r="I77" s="418" t="s">
        <v>2529</v>
      </c>
      <c r="J77" s="419"/>
      <c r="K77" s="415"/>
    </row>
    <row r="78" spans="1:11" ht="30">
      <c r="A78" s="414">
        <v>70</v>
      </c>
      <c r="B78" s="415" t="s">
        <v>2530</v>
      </c>
      <c r="C78" s="415" t="s">
        <v>2286</v>
      </c>
      <c r="D78" s="415" t="s">
        <v>2334</v>
      </c>
      <c r="E78" s="416">
        <f>60.7/6</f>
        <v>10.116666666666667</v>
      </c>
      <c r="F78" s="416">
        <f>800/6</f>
        <v>133.33333333333334</v>
      </c>
      <c r="G78" s="417" t="s">
        <v>2531</v>
      </c>
      <c r="H78" s="418" t="s">
        <v>2532</v>
      </c>
      <c r="I78" s="418" t="s">
        <v>2533</v>
      </c>
      <c r="J78" s="419"/>
      <c r="K78" s="415"/>
    </row>
    <row r="79" spans="1:11" ht="30">
      <c r="A79" s="414">
        <v>71</v>
      </c>
      <c r="B79" s="415" t="s">
        <v>2534</v>
      </c>
      <c r="C79" s="415" t="s">
        <v>2286</v>
      </c>
      <c r="D79" s="415" t="s">
        <v>2334</v>
      </c>
      <c r="E79" s="416">
        <f>356/6</f>
        <v>59.333333333333336</v>
      </c>
      <c r="F79" s="416">
        <f>(2500*1.6625)/6</f>
        <v>692.70833333333337</v>
      </c>
      <c r="G79" s="422" t="s">
        <v>2535</v>
      </c>
      <c r="H79" s="423" t="s">
        <v>2536</v>
      </c>
      <c r="I79" s="423" t="s">
        <v>2537</v>
      </c>
      <c r="J79" s="419"/>
      <c r="K79" s="415"/>
    </row>
    <row r="80" spans="1:11" ht="30">
      <c r="A80" s="414">
        <v>72</v>
      </c>
      <c r="B80" s="415" t="s">
        <v>2538</v>
      </c>
      <c r="C80" s="415" t="s">
        <v>2286</v>
      </c>
      <c r="D80" s="415" t="s">
        <v>2291</v>
      </c>
      <c r="E80" s="416">
        <f>168/6</f>
        <v>28</v>
      </c>
      <c r="F80" s="416">
        <f>800/6</f>
        <v>133.33333333333334</v>
      </c>
      <c r="G80" s="417" t="s">
        <v>2539</v>
      </c>
      <c r="H80" s="418" t="s">
        <v>2540</v>
      </c>
      <c r="I80" s="418" t="s">
        <v>2541</v>
      </c>
      <c r="J80" s="419"/>
      <c r="K80" s="415"/>
    </row>
    <row r="81" spans="1:11" ht="30">
      <c r="A81" s="414">
        <v>73</v>
      </c>
      <c r="B81" s="415" t="s">
        <v>2542</v>
      </c>
      <c r="C81" s="415" t="s">
        <v>2286</v>
      </c>
      <c r="D81" s="415" t="s">
        <v>2309</v>
      </c>
      <c r="E81" s="416">
        <f>136/6</f>
        <v>22.666666666666668</v>
      </c>
      <c r="F81" s="416">
        <f>2500/6</f>
        <v>416.66666666666669</v>
      </c>
      <c r="G81" s="417" t="s">
        <v>2543</v>
      </c>
      <c r="H81" s="418" t="s">
        <v>2544</v>
      </c>
      <c r="I81" s="418" t="s">
        <v>2545</v>
      </c>
      <c r="J81" s="419"/>
      <c r="K81" s="415"/>
    </row>
    <row r="82" spans="1:11" ht="30">
      <c r="A82" s="414">
        <v>74</v>
      </c>
      <c r="B82" s="415" t="s">
        <v>2546</v>
      </c>
      <c r="C82" s="415" t="s">
        <v>2286</v>
      </c>
      <c r="D82" s="415" t="s">
        <v>2547</v>
      </c>
      <c r="E82" s="416">
        <f>98.05/6</f>
        <v>16.341666666666665</v>
      </c>
      <c r="F82" s="416">
        <f>(1125*1.6625)/6</f>
        <v>311.71875</v>
      </c>
      <c r="G82" s="417" t="s">
        <v>2548</v>
      </c>
      <c r="H82" s="418" t="s">
        <v>2455</v>
      </c>
      <c r="I82" s="418" t="s">
        <v>2549</v>
      </c>
      <c r="J82" s="419"/>
      <c r="K82" s="415"/>
    </row>
    <row r="83" spans="1:11" ht="15">
      <c r="A83" s="414">
        <v>75</v>
      </c>
      <c r="B83" s="428" t="s">
        <v>2550</v>
      </c>
      <c r="C83" s="415" t="s">
        <v>2286</v>
      </c>
      <c r="D83" s="415" t="s">
        <v>2551</v>
      </c>
      <c r="E83" s="429" t="s">
        <v>2552</v>
      </c>
      <c r="F83" s="415">
        <v>373.33</v>
      </c>
      <c r="G83" s="415"/>
      <c r="H83" s="418"/>
      <c r="I83" s="418"/>
      <c r="J83" s="430">
        <v>209343657</v>
      </c>
      <c r="K83" s="415" t="s">
        <v>2553</v>
      </c>
    </row>
    <row r="84" spans="1:11" ht="15">
      <c r="A84" s="414"/>
      <c r="B84" s="431"/>
      <c r="C84" s="431"/>
      <c r="D84" s="431"/>
      <c r="E84" s="431"/>
      <c r="F84" s="431"/>
      <c r="G84" s="431"/>
      <c r="H84" s="431"/>
      <c r="I84" s="431"/>
      <c r="J84" s="431"/>
      <c r="K84" s="431"/>
    </row>
    <row r="85" spans="1:11" ht="15">
      <c r="A85" s="414"/>
      <c r="B85" s="431"/>
      <c r="C85" s="431"/>
      <c r="D85" s="431"/>
      <c r="E85" s="431"/>
      <c r="F85" s="431"/>
      <c r="G85" s="431"/>
      <c r="H85" s="431"/>
      <c r="I85" s="431"/>
      <c r="J85" s="431"/>
      <c r="K85" s="431"/>
    </row>
    <row r="86" spans="1:11">
      <c r="A86" s="431"/>
      <c r="B86" s="431"/>
      <c r="C86" s="431"/>
      <c r="D86" s="431"/>
      <c r="E86" s="431"/>
      <c r="F86" s="431"/>
      <c r="G86" s="431"/>
      <c r="H86" s="431"/>
      <c r="I86" s="431"/>
      <c r="J86" s="431"/>
      <c r="K86" s="431"/>
    </row>
    <row r="87" spans="1:11" ht="15">
      <c r="A87" s="2"/>
      <c r="B87" s="73" t="s">
        <v>107</v>
      </c>
      <c r="C87" s="2"/>
      <c r="D87" s="2"/>
      <c r="E87" s="5"/>
      <c r="F87" s="2"/>
      <c r="G87" s="2"/>
      <c r="H87" s="2"/>
      <c r="I87" s="2"/>
      <c r="J87" s="2"/>
      <c r="K87" s="2"/>
    </row>
    <row r="88" spans="1:11" ht="15">
      <c r="A88" s="2"/>
      <c r="B88" s="2"/>
      <c r="C88" s="587"/>
      <c r="D88" s="587"/>
      <c r="F88" s="72"/>
      <c r="G88" s="75"/>
    </row>
    <row r="89" spans="1:11" ht="15">
      <c r="B89" s="2"/>
      <c r="C89" s="71" t="s">
        <v>267</v>
      </c>
      <c r="D89" s="2"/>
      <c r="F89" s="12" t="s">
        <v>272</v>
      </c>
    </row>
    <row r="90" spans="1:11" ht="15">
      <c r="B90" s="2"/>
      <c r="C90" s="2"/>
      <c r="D90" s="2"/>
      <c r="F90" s="2" t="s">
        <v>268</v>
      </c>
    </row>
    <row r="91" spans="1:11" ht="15">
      <c r="B91" s="2"/>
      <c r="C91" s="66" t="s">
        <v>139</v>
      </c>
    </row>
  </sheetData>
  <mergeCells count="2">
    <mergeCell ref="C88:D88"/>
    <mergeCell ref="K2:L2"/>
  </mergeCells>
  <pageMargins left="0.7" right="0.7" top="0.75" bottom="0.75" header="0.3" footer="0.3"/>
  <pageSetup scale="2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D1" sqref="D1"/>
    </sheetView>
  </sheetViews>
  <sheetFormatPr defaultRowHeight="12.75"/>
  <cols>
    <col min="1" max="1" width="11.7109375" style="207" customWidth="1"/>
    <col min="2" max="2" width="17" style="207" customWidth="1"/>
    <col min="3" max="3" width="14.140625" style="207" customWidth="1"/>
    <col min="4" max="4" width="16.5703125" style="207" customWidth="1"/>
    <col min="5" max="5" width="12.85546875" style="207" customWidth="1"/>
    <col min="6" max="6" width="15.5703125" style="207" customWidth="1"/>
    <col min="7" max="7" width="23.85546875" style="207" customWidth="1"/>
    <col min="8" max="8" width="19" style="207" customWidth="1"/>
    <col min="9" max="9" width="20.5703125" style="207" customWidth="1"/>
    <col min="10" max="10" width="16.28515625" style="207" customWidth="1"/>
    <col min="11" max="11" width="20" style="207" customWidth="1"/>
    <col min="12" max="12" width="22.42578125" style="207" customWidth="1"/>
    <col min="13" max="16384" width="9.140625" style="207"/>
  </cols>
  <sheetData>
    <row r="1" spans="1:13" customFormat="1" ht="15">
      <c r="A1" s="151" t="s">
        <v>461</v>
      </c>
      <c r="B1" s="151"/>
      <c r="C1" s="152"/>
      <c r="D1" s="152"/>
      <c r="E1" s="152"/>
      <c r="F1" s="152"/>
      <c r="G1" s="152"/>
      <c r="H1" s="152"/>
      <c r="I1" s="152"/>
      <c r="J1" s="152"/>
      <c r="K1" s="158"/>
      <c r="L1" s="83" t="s">
        <v>110</v>
      </c>
    </row>
    <row r="2" spans="1:13" customFormat="1" ht="15">
      <c r="A2" s="125" t="s">
        <v>140</v>
      </c>
      <c r="B2" s="125"/>
      <c r="C2" s="152"/>
      <c r="D2" s="152"/>
      <c r="E2" s="152"/>
      <c r="F2" s="152"/>
      <c r="G2" s="152"/>
      <c r="H2" s="152"/>
      <c r="I2" s="152"/>
      <c r="J2" s="152"/>
      <c r="K2" s="158"/>
      <c r="L2" s="580" t="s">
        <v>2558</v>
      </c>
      <c r="M2" s="581"/>
    </row>
    <row r="3" spans="1:13" customFormat="1" ht="1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5"/>
      <c r="L3" s="155"/>
      <c r="M3" s="207"/>
    </row>
    <row r="4" spans="1:13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2"/>
      <c r="F4" s="160"/>
      <c r="G4" s="152"/>
      <c r="H4" s="152"/>
      <c r="I4" s="152"/>
      <c r="J4" s="152"/>
      <c r="K4" s="152"/>
      <c r="L4" s="152"/>
    </row>
    <row r="5" spans="1:13" ht="15">
      <c r="A5" s="244" t="s">
        <v>503</v>
      </c>
      <c r="B5" s="244"/>
      <c r="C5" s="244"/>
      <c r="D5" s="85"/>
      <c r="E5" s="85"/>
      <c r="F5" s="245"/>
      <c r="G5" s="246"/>
      <c r="H5" s="246"/>
      <c r="I5" s="246"/>
      <c r="J5" s="246"/>
      <c r="K5" s="246"/>
      <c r="L5" s="245"/>
    </row>
    <row r="6" spans="1:13" customFormat="1" ht="13.5">
      <c r="A6" s="156"/>
      <c r="B6" s="156"/>
      <c r="C6" s="157"/>
      <c r="D6" s="157"/>
      <c r="E6" s="157"/>
      <c r="F6" s="152"/>
      <c r="G6" s="152"/>
      <c r="H6" s="152"/>
      <c r="I6" s="152"/>
      <c r="J6" s="152"/>
      <c r="K6" s="152"/>
      <c r="L6" s="152"/>
    </row>
    <row r="7" spans="1:13" customFormat="1" ht="60">
      <c r="A7" s="163" t="s">
        <v>64</v>
      </c>
      <c r="B7" s="149" t="s">
        <v>249</v>
      </c>
      <c r="C7" s="150" t="s">
        <v>245</v>
      </c>
      <c r="D7" s="150" t="s">
        <v>246</v>
      </c>
      <c r="E7" s="150" t="s">
        <v>356</v>
      </c>
      <c r="F7" s="150" t="s">
        <v>248</v>
      </c>
      <c r="G7" s="150" t="s">
        <v>392</v>
      </c>
      <c r="H7" s="150" t="s">
        <v>394</v>
      </c>
      <c r="I7" s="150" t="s">
        <v>388</v>
      </c>
      <c r="J7" s="150" t="s">
        <v>389</v>
      </c>
      <c r="K7" s="150" t="s">
        <v>401</v>
      </c>
      <c r="L7" s="150" t="s">
        <v>390</v>
      </c>
    </row>
    <row r="8" spans="1:13" customFormat="1" ht="15">
      <c r="A8" s="149">
        <v>1</v>
      </c>
      <c r="B8" s="149">
        <v>2</v>
      </c>
      <c r="C8" s="150">
        <v>3</v>
      </c>
      <c r="D8" s="149">
        <v>4</v>
      </c>
      <c r="E8" s="150">
        <v>5</v>
      </c>
      <c r="F8" s="149">
        <v>6</v>
      </c>
      <c r="G8" s="150">
        <v>7</v>
      </c>
      <c r="H8" s="149">
        <v>8</v>
      </c>
      <c r="I8" s="149">
        <v>9</v>
      </c>
      <c r="J8" s="149">
        <v>10</v>
      </c>
      <c r="K8" s="150">
        <v>11</v>
      </c>
      <c r="L8" s="150">
        <v>12</v>
      </c>
    </row>
    <row r="9" spans="1:13" customFormat="1" ht="15">
      <c r="A9" s="69">
        <v>1</v>
      </c>
      <c r="B9" s="69"/>
      <c r="C9" s="24"/>
      <c r="D9" s="24"/>
      <c r="E9" s="24"/>
      <c r="F9" s="24"/>
      <c r="G9" s="24"/>
      <c r="H9" s="24"/>
      <c r="I9" s="242"/>
      <c r="J9" s="242"/>
      <c r="K9" s="242"/>
      <c r="L9" s="24"/>
    </row>
    <row r="10" spans="1:13" customFormat="1" ht="15">
      <c r="A10" s="69">
        <v>2</v>
      </c>
      <c r="B10" s="69"/>
      <c r="C10" s="24"/>
      <c r="D10" s="24"/>
      <c r="E10" s="24"/>
      <c r="F10" s="24"/>
      <c r="G10" s="24"/>
      <c r="H10" s="24"/>
      <c r="I10" s="242"/>
      <c r="J10" s="242"/>
      <c r="K10" s="242"/>
      <c r="L10" s="24"/>
    </row>
    <row r="11" spans="1:13" customFormat="1" ht="15">
      <c r="A11" s="69">
        <v>3</v>
      </c>
      <c r="B11" s="69"/>
      <c r="C11" s="24"/>
      <c r="D11" s="24"/>
      <c r="E11" s="24"/>
      <c r="F11" s="24"/>
      <c r="G11" s="24"/>
      <c r="H11" s="24"/>
      <c r="I11" s="242"/>
      <c r="J11" s="242"/>
      <c r="K11" s="242"/>
      <c r="L11" s="24"/>
    </row>
    <row r="12" spans="1:13" customFormat="1" ht="15">
      <c r="A12" s="69">
        <v>4</v>
      </c>
      <c r="B12" s="69"/>
      <c r="C12" s="24"/>
      <c r="D12" s="24"/>
      <c r="E12" s="24"/>
      <c r="F12" s="24"/>
      <c r="G12" s="24"/>
      <c r="H12" s="24"/>
      <c r="I12" s="242"/>
      <c r="J12" s="242"/>
      <c r="K12" s="242"/>
      <c r="L12" s="24"/>
    </row>
    <row r="13" spans="1:13" customFormat="1" ht="15">
      <c r="A13" s="69">
        <v>5</v>
      </c>
      <c r="B13" s="69"/>
      <c r="C13" s="24"/>
      <c r="D13" s="24"/>
      <c r="E13" s="24"/>
      <c r="F13" s="24"/>
      <c r="G13" s="24"/>
      <c r="H13" s="24"/>
      <c r="I13" s="242"/>
      <c r="J13" s="242"/>
      <c r="K13" s="242"/>
      <c r="L13" s="24"/>
    </row>
    <row r="14" spans="1:13" customFormat="1" ht="15">
      <c r="A14" s="69">
        <v>6</v>
      </c>
      <c r="B14" s="69"/>
      <c r="C14" s="24"/>
      <c r="D14" s="24"/>
      <c r="E14" s="24"/>
      <c r="F14" s="24"/>
      <c r="G14" s="24"/>
      <c r="H14" s="24"/>
      <c r="I14" s="242"/>
      <c r="J14" s="242"/>
      <c r="K14" s="242"/>
      <c r="L14" s="24"/>
    </row>
    <row r="15" spans="1:13" customFormat="1" ht="15">
      <c r="A15" s="69">
        <v>7</v>
      </c>
      <c r="B15" s="69"/>
      <c r="C15" s="24"/>
      <c r="D15" s="24"/>
      <c r="E15" s="24"/>
      <c r="F15" s="24"/>
      <c r="G15" s="24"/>
      <c r="H15" s="24"/>
      <c r="I15" s="242"/>
      <c r="J15" s="242"/>
      <c r="K15" s="242"/>
      <c r="L15" s="24"/>
    </row>
    <row r="16" spans="1:13" customFormat="1" ht="15">
      <c r="A16" s="69">
        <v>8</v>
      </c>
      <c r="B16" s="69"/>
      <c r="C16" s="24"/>
      <c r="D16" s="24"/>
      <c r="E16" s="24"/>
      <c r="F16" s="24"/>
      <c r="G16" s="24"/>
      <c r="H16" s="24"/>
      <c r="I16" s="242"/>
      <c r="J16" s="242"/>
      <c r="K16" s="242"/>
      <c r="L16" s="24"/>
    </row>
    <row r="17" spans="1:12" customFormat="1" ht="15">
      <c r="A17" s="69">
        <v>9</v>
      </c>
      <c r="B17" s="69"/>
      <c r="C17" s="24"/>
      <c r="D17" s="24"/>
      <c r="E17" s="24"/>
      <c r="F17" s="24"/>
      <c r="G17" s="24"/>
      <c r="H17" s="24"/>
      <c r="I17" s="242"/>
      <c r="J17" s="242"/>
      <c r="K17" s="242"/>
      <c r="L17" s="24"/>
    </row>
    <row r="18" spans="1:12" customFormat="1" ht="15">
      <c r="A18" s="69">
        <v>10</v>
      </c>
      <c r="B18" s="69"/>
      <c r="C18" s="24"/>
      <c r="D18" s="24"/>
      <c r="E18" s="24"/>
      <c r="F18" s="24"/>
      <c r="G18" s="24"/>
      <c r="H18" s="24"/>
      <c r="I18" s="242"/>
      <c r="J18" s="242"/>
      <c r="K18" s="242"/>
      <c r="L18" s="24"/>
    </row>
    <row r="19" spans="1:12" customFormat="1" ht="15">
      <c r="A19" s="69">
        <v>11</v>
      </c>
      <c r="B19" s="69"/>
      <c r="C19" s="24"/>
      <c r="D19" s="24"/>
      <c r="E19" s="24"/>
      <c r="F19" s="24"/>
      <c r="G19" s="24"/>
      <c r="H19" s="24"/>
      <c r="I19" s="242"/>
      <c r="J19" s="242"/>
      <c r="K19" s="242"/>
      <c r="L19" s="24"/>
    </row>
    <row r="20" spans="1:12" customFormat="1" ht="15">
      <c r="A20" s="69">
        <v>12</v>
      </c>
      <c r="B20" s="69"/>
      <c r="C20" s="24"/>
      <c r="D20" s="24"/>
      <c r="E20" s="24"/>
      <c r="F20" s="24"/>
      <c r="G20" s="24"/>
      <c r="H20" s="24"/>
      <c r="I20" s="242"/>
      <c r="J20" s="242"/>
      <c r="K20" s="242"/>
      <c r="L20" s="24"/>
    </row>
    <row r="21" spans="1:12" customFormat="1" ht="15">
      <c r="A21" s="69">
        <v>13</v>
      </c>
      <c r="B21" s="69"/>
      <c r="C21" s="24"/>
      <c r="D21" s="24"/>
      <c r="E21" s="24"/>
      <c r="F21" s="24"/>
      <c r="G21" s="24"/>
      <c r="H21" s="24"/>
      <c r="I21" s="242"/>
      <c r="J21" s="242"/>
      <c r="K21" s="242"/>
      <c r="L21" s="24"/>
    </row>
    <row r="22" spans="1:12" customFormat="1" ht="15">
      <c r="A22" s="69">
        <v>14</v>
      </c>
      <c r="B22" s="69"/>
      <c r="C22" s="24"/>
      <c r="D22" s="24"/>
      <c r="E22" s="24"/>
      <c r="F22" s="24"/>
      <c r="G22" s="24"/>
      <c r="H22" s="24"/>
      <c r="I22" s="242"/>
      <c r="J22" s="242"/>
      <c r="K22" s="242"/>
      <c r="L22" s="24"/>
    </row>
    <row r="23" spans="1:12" customFormat="1" ht="15">
      <c r="A23" s="69">
        <v>15</v>
      </c>
      <c r="B23" s="69"/>
      <c r="C23" s="24"/>
      <c r="D23" s="24"/>
      <c r="E23" s="24"/>
      <c r="F23" s="24"/>
      <c r="G23" s="24"/>
      <c r="H23" s="24"/>
      <c r="I23" s="242"/>
      <c r="J23" s="242"/>
      <c r="K23" s="242"/>
      <c r="L23" s="24"/>
    </row>
    <row r="24" spans="1:12" customFormat="1" ht="15">
      <c r="A24" s="69">
        <v>16</v>
      </c>
      <c r="B24" s="69"/>
      <c r="C24" s="24"/>
      <c r="D24" s="24"/>
      <c r="E24" s="24"/>
      <c r="F24" s="24"/>
      <c r="G24" s="24"/>
      <c r="H24" s="24"/>
      <c r="I24" s="242"/>
      <c r="J24" s="242"/>
      <c r="K24" s="242"/>
      <c r="L24" s="24"/>
    </row>
    <row r="25" spans="1:12" customFormat="1" ht="15">
      <c r="A25" s="69">
        <v>17</v>
      </c>
      <c r="B25" s="69"/>
      <c r="C25" s="24"/>
      <c r="D25" s="24"/>
      <c r="E25" s="24"/>
      <c r="F25" s="24"/>
      <c r="G25" s="24"/>
      <c r="H25" s="24"/>
      <c r="I25" s="242"/>
      <c r="J25" s="242"/>
      <c r="K25" s="242"/>
      <c r="L25" s="24"/>
    </row>
    <row r="26" spans="1:12" customFormat="1" ht="15">
      <c r="A26" s="69">
        <v>18</v>
      </c>
      <c r="B26" s="69"/>
      <c r="C26" s="24"/>
      <c r="D26" s="24"/>
      <c r="E26" s="24"/>
      <c r="F26" s="24"/>
      <c r="G26" s="24"/>
      <c r="H26" s="24"/>
      <c r="I26" s="242"/>
      <c r="J26" s="242"/>
      <c r="K26" s="242"/>
      <c r="L26" s="24"/>
    </row>
    <row r="27" spans="1:12" customFormat="1" ht="15">
      <c r="A27" s="69" t="s">
        <v>280</v>
      </c>
      <c r="B27" s="69"/>
      <c r="C27" s="24"/>
      <c r="D27" s="24"/>
      <c r="E27" s="24"/>
      <c r="F27" s="24"/>
      <c r="G27" s="24"/>
      <c r="H27" s="24"/>
      <c r="I27" s="242"/>
      <c r="J27" s="242"/>
      <c r="K27" s="242"/>
      <c r="L27" s="24"/>
    </row>
    <row r="28" spans="1:12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</row>
    <row r="29" spans="1:12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</row>
    <row r="30" spans="1:12">
      <c r="A30" s="248"/>
      <c r="B30" s="248"/>
      <c r="C30" s="247"/>
      <c r="D30" s="247"/>
      <c r="E30" s="247"/>
      <c r="F30" s="247"/>
      <c r="G30" s="247"/>
      <c r="H30" s="247"/>
      <c r="I30" s="247"/>
      <c r="J30" s="247"/>
      <c r="K30" s="247"/>
      <c r="L30" s="247"/>
    </row>
    <row r="31" spans="1:12" ht="15">
      <c r="A31" s="206"/>
      <c r="B31" s="206"/>
      <c r="C31" s="208" t="s">
        <v>107</v>
      </c>
      <c r="D31" s="206"/>
      <c r="E31" s="206"/>
      <c r="F31" s="209"/>
      <c r="G31" s="206"/>
      <c r="H31" s="206"/>
      <c r="I31" s="206"/>
      <c r="J31" s="206"/>
      <c r="K31" s="206"/>
      <c r="L31" s="206"/>
    </row>
    <row r="32" spans="1:12" ht="15">
      <c r="A32" s="206"/>
      <c r="B32" s="206"/>
      <c r="C32" s="206"/>
      <c r="D32" s="210"/>
      <c r="E32" s="206"/>
      <c r="G32" s="210"/>
      <c r="H32" s="253"/>
    </row>
    <row r="33" spans="3:7" ht="15">
      <c r="C33" s="206"/>
      <c r="D33" s="212" t="s">
        <v>267</v>
      </c>
      <c r="E33" s="206"/>
      <c r="G33" s="213" t="s">
        <v>272</v>
      </c>
    </row>
    <row r="34" spans="3:7" ht="15">
      <c r="C34" s="206"/>
      <c r="D34" s="214" t="s">
        <v>139</v>
      </c>
      <c r="E34" s="206"/>
      <c r="G34" s="206" t="s">
        <v>268</v>
      </c>
    </row>
    <row r="35" spans="3:7" ht="15">
      <c r="C35" s="206"/>
      <c r="D35" s="214"/>
    </row>
  </sheetData>
  <mergeCells count="1">
    <mergeCell ref="L2:M2"/>
  </mergeCells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C1" sqref="C1"/>
    </sheetView>
  </sheetViews>
  <sheetFormatPr defaultRowHeight="12.75"/>
  <cols>
    <col min="1" max="1" width="11.7109375" style="207" customWidth="1"/>
    <col min="2" max="2" width="21.5703125" style="207" customWidth="1"/>
    <col min="3" max="3" width="19.140625" style="207" customWidth="1"/>
    <col min="4" max="4" width="23.7109375" style="207" customWidth="1"/>
    <col min="5" max="6" width="16.5703125" style="207" bestFit="1" customWidth="1"/>
    <col min="7" max="7" width="17" style="207" customWidth="1"/>
    <col min="8" max="8" width="19" style="207" customWidth="1"/>
    <col min="9" max="9" width="24.42578125" style="207" customWidth="1"/>
    <col min="10" max="16384" width="9.140625" style="207"/>
  </cols>
  <sheetData>
    <row r="1" spans="1:13" customFormat="1" ht="15">
      <c r="A1" s="151" t="s">
        <v>462</v>
      </c>
      <c r="B1" s="152"/>
      <c r="C1" s="152"/>
      <c r="D1" s="152"/>
      <c r="E1" s="152"/>
      <c r="F1" s="152"/>
      <c r="G1" s="152"/>
      <c r="H1" s="158"/>
      <c r="I1" s="83" t="s">
        <v>110</v>
      </c>
    </row>
    <row r="2" spans="1:13" customFormat="1" ht="15">
      <c r="A2" s="125" t="s">
        <v>140</v>
      </c>
      <c r="B2" s="152"/>
      <c r="C2" s="152"/>
      <c r="D2" s="152"/>
      <c r="E2" s="152"/>
      <c r="F2" s="152"/>
      <c r="G2" s="152"/>
      <c r="H2" s="158"/>
      <c r="I2" s="580" t="s">
        <v>2558</v>
      </c>
      <c r="J2" s="581"/>
    </row>
    <row r="3" spans="1:13" customFormat="1" ht="15">
      <c r="A3" s="152"/>
      <c r="B3" s="152"/>
      <c r="C3" s="152"/>
      <c r="D3" s="152"/>
      <c r="E3" s="152"/>
      <c r="F3" s="152"/>
      <c r="G3" s="152"/>
      <c r="H3" s="155"/>
      <c r="I3" s="155"/>
      <c r="M3" s="207"/>
    </row>
    <row r="4" spans="1:13" customFormat="1" ht="15">
      <c r="A4" s="81" t="str">
        <f>'ფორმა N2'!A4</f>
        <v>ანგარიშვალდებული პირის დასახელება:</v>
      </c>
      <c r="B4" s="81"/>
      <c r="C4" s="81"/>
      <c r="D4" s="152"/>
      <c r="E4" s="152"/>
      <c r="F4" s="152"/>
      <c r="G4" s="152"/>
      <c r="H4" s="152"/>
      <c r="I4" s="160"/>
    </row>
    <row r="5" spans="1:13" ht="15">
      <c r="A5" s="244" t="s">
        <v>503</v>
      </c>
      <c r="B5" s="244"/>
      <c r="C5" s="244"/>
      <c r="D5" s="246"/>
      <c r="E5" s="246"/>
      <c r="F5" s="246"/>
      <c r="G5" s="246"/>
      <c r="H5" s="246"/>
      <c r="I5" s="245"/>
    </row>
    <row r="6" spans="1:13" customFormat="1" ht="13.5">
      <c r="A6" s="156"/>
      <c r="B6" s="157"/>
      <c r="C6" s="157"/>
      <c r="D6" s="152"/>
      <c r="E6" s="152"/>
      <c r="F6" s="152"/>
      <c r="G6" s="152"/>
      <c r="H6" s="152"/>
      <c r="I6" s="152"/>
    </row>
    <row r="7" spans="1:13" customFormat="1" ht="60">
      <c r="A7" s="163" t="s">
        <v>64</v>
      </c>
      <c r="B7" s="150" t="s">
        <v>386</v>
      </c>
      <c r="C7" s="150" t="s">
        <v>387</v>
      </c>
      <c r="D7" s="150" t="s">
        <v>392</v>
      </c>
      <c r="E7" s="150" t="s">
        <v>394</v>
      </c>
      <c r="F7" s="150" t="s">
        <v>388</v>
      </c>
      <c r="G7" s="150" t="s">
        <v>389</v>
      </c>
      <c r="H7" s="150" t="s">
        <v>401</v>
      </c>
      <c r="I7" s="150" t="s">
        <v>390</v>
      </c>
    </row>
    <row r="8" spans="1:13" customFormat="1" ht="15">
      <c r="A8" s="149">
        <v>1</v>
      </c>
      <c r="B8" s="149">
        <v>2</v>
      </c>
      <c r="C8" s="150">
        <v>3</v>
      </c>
      <c r="D8" s="149">
        <v>6</v>
      </c>
      <c r="E8" s="150">
        <v>7</v>
      </c>
      <c r="F8" s="149">
        <v>8</v>
      </c>
      <c r="G8" s="149">
        <v>9</v>
      </c>
      <c r="H8" s="149">
        <v>10</v>
      </c>
      <c r="I8" s="150">
        <v>11</v>
      </c>
    </row>
    <row r="9" spans="1:13" customFormat="1" ht="15">
      <c r="A9" s="69">
        <v>1</v>
      </c>
      <c r="B9" s="24"/>
      <c r="C9" s="24"/>
      <c r="D9" s="24"/>
      <c r="E9" s="24"/>
      <c r="F9" s="242"/>
      <c r="G9" s="242"/>
      <c r="H9" s="242"/>
      <c r="I9" s="24"/>
    </row>
    <row r="10" spans="1:13" customFormat="1" ht="15">
      <c r="A10" s="69">
        <v>2</v>
      </c>
      <c r="B10" s="24"/>
      <c r="C10" s="24"/>
      <c r="D10" s="24"/>
      <c r="E10" s="24"/>
      <c r="F10" s="242"/>
      <c r="G10" s="242"/>
      <c r="H10" s="242"/>
      <c r="I10" s="24"/>
    </row>
    <row r="11" spans="1:13" customFormat="1" ht="15">
      <c r="A11" s="69">
        <v>3</v>
      </c>
      <c r="B11" s="24"/>
      <c r="C11" s="24"/>
      <c r="D11" s="24"/>
      <c r="E11" s="24"/>
      <c r="F11" s="242"/>
      <c r="G11" s="242"/>
      <c r="H11" s="242"/>
      <c r="I11" s="24"/>
    </row>
    <row r="12" spans="1:13" customFormat="1" ht="15">
      <c r="A12" s="69">
        <v>4</v>
      </c>
      <c r="B12" s="24"/>
      <c r="C12" s="24"/>
      <c r="D12" s="24"/>
      <c r="E12" s="24"/>
      <c r="F12" s="242"/>
      <c r="G12" s="242"/>
      <c r="H12" s="242"/>
      <c r="I12" s="24"/>
    </row>
    <row r="13" spans="1:13" customFormat="1" ht="15">
      <c r="A13" s="69">
        <v>5</v>
      </c>
      <c r="B13" s="24"/>
      <c r="C13" s="24"/>
      <c r="D13" s="24"/>
      <c r="E13" s="24"/>
      <c r="F13" s="242"/>
      <c r="G13" s="242"/>
      <c r="H13" s="242"/>
      <c r="I13" s="24"/>
    </row>
    <row r="14" spans="1:13" customFormat="1" ht="15">
      <c r="A14" s="69">
        <v>6</v>
      </c>
      <c r="B14" s="24"/>
      <c r="C14" s="24"/>
      <c r="D14" s="24"/>
      <c r="E14" s="24"/>
      <c r="F14" s="242"/>
      <c r="G14" s="242"/>
      <c r="H14" s="242"/>
      <c r="I14" s="24"/>
    </row>
    <row r="15" spans="1:13" customFormat="1" ht="15">
      <c r="A15" s="69">
        <v>7</v>
      </c>
      <c r="B15" s="24"/>
      <c r="C15" s="24"/>
      <c r="D15" s="24"/>
      <c r="E15" s="24"/>
      <c r="F15" s="242"/>
      <c r="G15" s="242"/>
      <c r="H15" s="242"/>
      <c r="I15" s="24"/>
    </row>
    <row r="16" spans="1:13" customFormat="1" ht="15">
      <c r="A16" s="69">
        <v>8</v>
      </c>
      <c r="B16" s="24"/>
      <c r="C16" s="24"/>
      <c r="D16" s="24"/>
      <c r="E16" s="24"/>
      <c r="F16" s="242"/>
      <c r="G16" s="242"/>
      <c r="H16" s="242"/>
      <c r="I16" s="24"/>
    </row>
    <row r="17" spans="1:9" customFormat="1" ht="15">
      <c r="A17" s="69">
        <v>9</v>
      </c>
      <c r="B17" s="24"/>
      <c r="C17" s="24"/>
      <c r="D17" s="24"/>
      <c r="E17" s="24"/>
      <c r="F17" s="242"/>
      <c r="G17" s="242"/>
      <c r="H17" s="242"/>
      <c r="I17" s="24"/>
    </row>
    <row r="18" spans="1:9" customFormat="1" ht="15">
      <c r="A18" s="69">
        <v>10</v>
      </c>
      <c r="B18" s="24"/>
      <c r="C18" s="24"/>
      <c r="D18" s="24"/>
      <c r="E18" s="24"/>
      <c r="F18" s="242"/>
      <c r="G18" s="242"/>
      <c r="H18" s="242"/>
      <c r="I18" s="24"/>
    </row>
    <row r="19" spans="1:9" customFormat="1" ht="15">
      <c r="A19" s="69">
        <v>11</v>
      </c>
      <c r="B19" s="24"/>
      <c r="C19" s="24"/>
      <c r="D19" s="24"/>
      <c r="E19" s="24"/>
      <c r="F19" s="242"/>
      <c r="G19" s="242"/>
      <c r="H19" s="242"/>
      <c r="I19" s="24"/>
    </row>
    <row r="20" spans="1:9" customFormat="1" ht="15">
      <c r="A20" s="69">
        <v>12</v>
      </c>
      <c r="B20" s="24"/>
      <c r="C20" s="24"/>
      <c r="D20" s="24"/>
      <c r="E20" s="24"/>
      <c r="F20" s="242"/>
      <c r="G20" s="242"/>
      <c r="H20" s="242"/>
      <c r="I20" s="24"/>
    </row>
    <row r="21" spans="1:9" customFormat="1" ht="15">
      <c r="A21" s="69">
        <v>13</v>
      </c>
      <c r="B21" s="24"/>
      <c r="C21" s="24"/>
      <c r="D21" s="24"/>
      <c r="E21" s="24"/>
      <c r="F21" s="242"/>
      <c r="G21" s="242"/>
      <c r="H21" s="242"/>
      <c r="I21" s="24"/>
    </row>
    <row r="22" spans="1:9" customFormat="1" ht="15">
      <c r="A22" s="69">
        <v>14</v>
      </c>
      <c r="B22" s="24"/>
      <c r="C22" s="24"/>
      <c r="D22" s="24"/>
      <c r="E22" s="24"/>
      <c r="F22" s="242"/>
      <c r="G22" s="242"/>
      <c r="H22" s="242"/>
      <c r="I22" s="24"/>
    </row>
    <row r="23" spans="1:9" customFormat="1" ht="15">
      <c r="A23" s="69">
        <v>15</v>
      </c>
      <c r="B23" s="24"/>
      <c r="C23" s="24"/>
      <c r="D23" s="24"/>
      <c r="E23" s="24"/>
      <c r="F23" s="242"/>
      <c r="G23" s="242"/>
      <c r="H23" s="242"/>
      <c r="I23" s="24"/>
    </row>
    <row r="24" spans="1:9" customFormat="1" ht="15">
      <c r="A24" s="69">
        <v>16</v>
      </c>
      <c r="B24" s="24"/>
      <c r="C24" s="24"/>
      <c r="D24" s="24"/>
      <c r="E24" s="24"/>
      <c r="F24" s="242"/>
      <c r="G24" s="242"/>
      <c r="H24" s="242"/>
      <c r="I24" s="24"/>
    </row>
    <row r="25" spans="1:9" customFormat="1" ht="15">
      <c r="A25" s="69">
        <v>17</v>
      </c>
      <c r="B25" s="24"/>
      <c r="C25" s="24"/>
      <c r="D25" s="24"/>
      <c r="E25" s="24"/>
      <c r="F25" s="242"/>
      <c r="G25" s="242"/>
      <c r="H25" s="242"/>
      <c r="I25" s="24"/>
    </row>
    <row r="26" spans="1:9" customFormat="1" ht="15">
      <c r="A26" s="69">
        <v>18</v>
      </c>
      <c r="B26" s="24"/>
      <c r="C26" s="24"/>
      <c r="D26" s="24"/>
      <c r="E26" s="24"/>
      <c r="F26" s="242"/>
      <c r="G26" s="242"/>
      <c r="H26" s="242"/>
      <c r="I26" s="24"/>
    </row>
    <row r="27" spans="1:9" customFormat="1" ht="15">
      <c r="A27" s="69" t="s">
        <v>280</v>
      </c>
      <c r="B27" s="24"/>
      <c r="C27" s="24"/>
      <c r="D27" s="24"/>
      <c r="E27" s="24"/>
      <c r="F27" s="242"/>
      <c r="G27" s="242"/>
      <c r="H27" s="242"/>
      <c r="I27" s="24"/>
    </row>
    <row r="28" spans="1:9">
      <c r="A28" s="247"/>
      <c r="B28" s="247"/>
      <c r="C28" s="247"/>
      <c r="D28" s="247"/>
      <c r="E28" s="247"/>
      <c r="F28" s="247"/>
      <c r="G28" s="247"/>
      <c r="H28" s="247"/>
      <c r="I28" s="247"/>
    </row>
    <row r="29" spans="1:9">
      <c r="A29" s="247"/>
      <c r="B29" s="247"/>
      <c r="C29" s="247"/>
      <c r="D29" s="247"/>
      <c r="E29" s="247"/>
      <c r="F29" s="247"/>
      <c r="G29" s="247"/>
      <c r="H29" s="247"/>
      <c r="I29" s="247"/>
    </row>
    <row r="30" spans="1:9">
      <c r="A30" s="248"/>
      <c r="B30" s="247"/>
      <c r="C30" s="247"/>
      <c r="D30" s="247"/>
      <c r="E30" s="247"/>
      <c r="F30" s="247"/>
      <c r="G30" s="247"/>
      <c r="H30" s="247"/>
      <c r="I30" s="247"/>
    </row>
    <row r="31" spans="1:9" ht="15">
      <c r="A31" s="206"/>
      <c r="B31" s="208" t="s">
        <v>107</v>
      </c>
      <c r="C31" s="206"/>
      <c r="D31" s="206"/>
      <c r="E31" s="209"/>
      <c r="F31" s="206"/>
      <c r="G31" s="206"/>
      <c r="H31" s="206"/>
      <c r="I31" s="206"/>
    </row>
    <row r="32" spans="1:9" ht="15">
      <c r="A32" s="206"/>
      <c r="B32" s="206"/>
      <c r="C32" s="210"/>
      <c r="D32" s="206"/>
      <c r="F32" s="210"/>
      <c r="G32" s="253"/>
    </row>
    <row r="33" spans="2:6" ht="15">
      <c r="B33" s="206"/>
      <c r="C33" s="212" t="s">
        <v>267</v>
      </c>
      <c r="D33" s="206"/>
      <c r="F33" s="213" t="s">
        <v>272</v>
      </c>
    </row>
    <row r="34" spans="2:6" ht="15">
      <c r="B34" s="206"/>
      <c r="C34" s="214" t="s">
        <v>139</v>
      </c>
      <c r="D34" s="206"/>
      <c r="F34" s="206" t="s">
        <v>268</v>
      </c>
    </row>
    <row r="35" spans="2:6" ht="15">
      <c r="B35" s="206"/>
      <c r="C35" s="214"/>
    </row>
  </sheetData>
  <mergeCells count="1">
    <mergeCell ref="I2:J2"/>
  </mergeCells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0"/>
  <sheetViews>
    <sheetView topLeftCell="A10" workbookViewId="0">
      <selection activeCell="F1" sqref="F1:F65536"/>
    </sheetView>
  </sheetViews>
  <sheetFormatPr defaultRowHeight="12.75"/>
  <cols>
    <col min="1" max="1" width="9.140625" style="132"/>
    <col min="2" max="2" width="23.5703125" style="541" customWidth="1"/>
    <col min="3" max="3" width="29.85546875" style="132" customWidth="1"/>
    <col min="4" max="4" width="20" style="132" customWidth="1"/>
    <col min="5" max="5" width="33.5703125" style="132" customWidth="1"/>
    <col min="6" max="9" width="13.140625" style="132" customWidth="1"/>
    <col min="10" max="16384" width="9.140625" style="132"/>
  </cols>
  <sheetData>
    <row r="1" spans="1:10" ht="15">
      <c r="A1" s="310" t="s">
        <v>406</v>
      </c>
      <c r="B1" s="506"/>
      <c r="C1" s="311"/>
      <c r="D1" s="311"/>
      <c r="E1" s="311"/>
      <c r="F1" s="312"/>
      <c r="G1" s="312"/>
      <c r="H1" s="312"/>
      <c r="I1" s="313" t="s">
        <v>197</v>
      </c>
      <c r="J1" s="314"/>
    </row>
    <row r="2" spans="1:10" ht="15">
      <c r="A2" s="311" t="s">
        <v>140</v>
      </c>
      <c r="B2" s="506"/>
      <c r="C2" s="311"/>
      <c r="D2" s="311"/>
      <c r="E2" s="311"/>
      <c r="F2" s="312"/>
      <c r="G2" s="312"/>
      <c r="H2" s="312"/>
      <c r="I2" s="580" t="s">
        <v>2558</v>
      </c>
      <c r="J2" s="581"/>
    </row>
    <row r="3" spans="1:10" ht="15">
      <c r="A3" s="311"/>
      <c r="B3" s="506"/>
      <c r="C3" s="311"/>
      <c r="D3" s="311"/>
      <c r="E3" s="311"/>
      <c r="F3" s="312"/>
      <c r="G3" s="312"/>
      <c r="H3" s="312"/>
      <c r="I3" s="298"/>
      <c r="J3" s="314"/>
    </row>
    <row r="4" spans="1:10" ht="15">
      <c r="A4" s="315" t="str">
        <f>'[3]ფორმა N2'!A4</f>
        <v>ანგარიშვალდებული პირის დასახელება:</v>
      </c>
      <c r="B4" s="506"/>
      <c r="C4" s="311"/>
      <c r="D4" s="311"/>
      <c r="E4" s="311"/>
      <c r="F4" s="312"/>
      <c r="G4" s="312"/>
      <c r="H4" s="312"/>
      <c r="I4" s="312"/>
      <c r="J4" s="314"/>
    </row>
    <row r="5" spans="1:10" ht="15">
      <c r="A5" s="316" t="s">
        <v>503</v>
      </c>
      <c r="B5" s="507"/>
      <c r="C5" s="316"/>
      <c r="D5" s="316"/>
      <c r="E5" s="316"/>
      <c r="F5" s="317"/>
      <c r="G5" s="317"/>
      <c r="H5" s="317"/>
      <c r="I5" s="317"/>
      <c r="J5" s="314"/>
    </row>
    <row r="6" spans="1:10" ht="15">
      <c r="A6" s="315"/>
      <c r="B6" s="506"/>
      <c r="C6" s="311"/>
      <c r="D6" s="311"/>
      <c r="E6" s="311"/>
      <c r="F6" s="312"/>
      <c r="G6" s="312"/>
      <c r="H6" s="312"/>
      <c r="I6" s="312"/>
      <c r="J6" s="314"/>
    </row>
    <row r="7" spans="1:10" ht="15">
      <c r="A7" s="311"/>
      <c r="B7" s="506"/>
      <c r="C7" s="311"/>
      <c r="D7" s="311"/>
      <c r="E7" s="311"/>
      <c r="F7" s="312"/>
      <c r="G7" s="312"/>
      <c r="H7" s="312"/>
      <c r="I7" s="312"/>
      <c r="J7" s="314"/>
    </row>
    <row r="8" spans="1:10" ht="105">
      <c r="A8" s="318" t="s">
        <v>64</v>
      </c>
      <c r="B8" s="508" t="s">
        <v>378</v>
      </c>
      <c r="C8" s="319" t="s">
        <v>504</v>
      </c>
      <c r="D8" s="319" t="s">
        <v>505</v>
      </c>
      <c r="E8" s="319" t="s">
        <v>379</v>
      </c>
      <c r="F8" s="319" t="s">
        <v>398</v>
      </c>
      <c r="G8" s="319" t="s">
        <v>399</v>
      </c>
      <c r="H8" s="432" t="s">
        <v>2557</v>
      </c>
      <c r="I8" s="433" t="s">
        <v>400</v>
      </c>
      <c r="J8" s="314"/>
    </row>
    <row r="9" spans="1:10" ht="15">
      <c r="A9" s="194">
        <v>1</v>
      </c>
      <c r="B9" s="509">
        <v>41083</v>
      </c>
      <c r="C9" s="199" t="s">
        <v>507</v>
      </c>
      <c r="D9" s="321" t="s">
        <v>508</v>
      </c>
      <c r="E9" s="198" t="s">
        <v>506</v>
      </c>
      <c r="F9" s="194">
        <v>125</v>
      </c>
      <c r="G9" s="194">
        <v>125</v>
      </c>
      <c r="H9" s="299">
        <v>0</v>
      </c>
      <c r="I9" s="434">
        <v>125</v>
      </c>
      <c r="J9" s="314"/>
    </row>
    <row r="10" spans="1:10" ht="15">
      <c r="A10" s="194">
        <v>2</v>
      </c>
      <c r="B10" s="509">
        <v>41083</v>
      </c>
      <c r="C10" s="199" t="s">
        <v>509</v>
      </c>
      <c r="D10" s="321" t="s">
        <v>510</v>
      </c>
      <c r="E10" s="198" t="s">
        <v>506</v>
      </c>
      <c r="F10" s="194">
        <v>125</v>
      </c>
      <c r="G10" s="194">
        <v>125</v>
      </c>
      <c r="H10" s="299">
        <v>0</v>
      </c>
      <c r="I10" s="434">
        <v>125</v>
      </c>
      <c r="J10" s="314"/>
    </row>
    <row r="11" spans="1:10" ht="15">
      <c r="A11" s="194">
        <v>3</v>
      </c>
      <c r="B11" s="509">
        <v>41083</v>
      </c>
      <c r="C11" s="199" t="s">
        <v>511</v>
      </c>
      <c r="D11" s="321" t="s">
        <v>512</v>
      </c>
      <c r="E11" s="198" t="s">
        <v>506</v>
      </c>
      <c r="F11" s="194">
        <v>100</v>
      </c>
      <c r="G11" s="194">
        <v>100</v>
      </c>
      <c r="H11" s="299">
        <v>0</v>
      </c>
      <c r="I11" s="434">
        <v>100</v>
      </c>
      <c r="J11" s="314"/>
    </row>
    <row r="12" spans="1:10" ht="15">
      <c r="A12" s="194">
        <v>4</v>
      </c>
      <c r="B12" s="509">
        <v>41083</v>
      </c>
      <c r="C12" s="199" t="s">
        <v>513</v>
      </c>
      <c r="D12" s="321" t="s">
        <v>514</v>
      </c>
      <c r="E12" s="198" t="s">
        <v>506</v>
      </c>
      <c r="F12" s="194">
        <v>125</v>
      </c>
      <c r="G12" s="194">
        <v>125</v>
      </c>
      <c r="H12" s="299">
        <v>0</v>
      </c>
      <c r="I12" s="434">
        <v>125</v>
      </c>
      <c r="J12" s="314"/>
    </row>
    <row r="13" spans="1:10" ht="15">
      <c r="A13" s="194">
        <v>5</v>
      </c>
      <c r="B13" s="509">
        <v>41083</v>
      </c>
      <c r="C13" s="199" t="s">
        <v>515</v>
      </c>
      <c r="D13" s="321" t="s">
        <v>516</v>
      </c>
      <c r="E13" s="198" t="s">
        <v>506</v>
      </c>
      <c r="F13" s="194">
        <v>162.5</v>
      </c>
      <c r="G13" s="194">
        <v>162.5</v>
      </c>
      <c r="H13" s="299">
        <v>0</v>
      </c>
      <c r="I13" s="434">
        <v>162.5</v>
      </c>
      <c r="J13" s="314"/>
    </row>
    <row r="14" spans="1:10" ht="15">
      <c r="A14" s="194">
        <v>6</v>
      </c>
      <c r="B14" s="509">
        <v>41083</v>
      </c>
      <c r="C14" s="199" t="s">
        <v>517</v>
      </c>
      <c r="D14" s="321" t="s">
        <v>518</v>
      </c>
      <c r="E14" s="198" t="s">
        <v>506</v>
      </c>
      <c r="F14" s="194">
        <v>162.5</v>
      </c>
      <c r="G14" s="194">
        <v>162.5</v>
      </c>
      <c r="H14" s="299">
        <v>0</v>
      </c>
      <c r="I14" s="434">
        <v>162.5</v>
      </c>
      <c r="J14" s="314"/>
    </row>
    <row r="15" spans="1:10" ht="15">
      <c r="A15" s="194">
        <v>7</v>
      </c>
      <c r="B15" s="509">
        <v>41083</v>
      </c>
      <c r="C15" s="199" t="s">
        <v>519</v>
      </c>
      <c r="D15" s="321" t="s">
        <v>520</v>
      </c>
      <c r="E15" s="198" t="s">
        <v>506</v>
      </c>
      <c r="F15" s="194">
        <v>162.5</v>
      </c>
      <c r="G15" s="194">
        <v>162.5</v>
      </c>
      <c r="H15" s="299">
        <v>0</v>
      </c>
      <c r="I15" s="434">
        <v>162.5</v>
      </c>
      <c r="J15" s="314"/>
    </row>
    <row r="16" spans="1:10" ht="15">
      <c r="A16" s="194">
        <v>8</v>
      </c>
      <c r="B16" s="509">
        <v>41083</v>
      </c>
      <c r="C16" s="199" t="s">
        <v>521</v>
      </c>
      <c r="D16" s="321" t="s">
        <v>522</v>
      </c>
      <c r="E16" s="198" t="s">
        <v>506</v>
      </c>
      <c r="F16" s="194">
        <v>162.5</v>
      </c>
      <c r="G16" s="194">
        <v>162.5</v>
      </c>
      <c r="H16" s="299">
        <v>0</v>
      </c>
      <c r="I16" s="434">
        <v>162.5</v>
      </c>
      <c r="J16" s="314"/>
    </row>
    <row r="17" spans="1:10" ht="15">
      <c r="A17" s="194">
        <v>9</v>
      </c>
      <c r="B17" s="509">
        <v>41083</v>
      </c>
      <c r="C17" s="199" t="s">
        <v>523</v>
      </c>
      <c r="D17" s="321" t="s">
        <v>524</v>
      </c>
      <c r="E17" s="198" t="s">
        <v>506</v>
      </c>
      <c r="F17" s="194">
        <v>162.5</v>
      </c>
      <c r="G17" s="194">
        <v>162.5</v>
      </c>
      <c r="H17" s="299">
        <v>0</v>
      </c>
      <c r="I17" s="434">
        <v>162.5</v>
      </c>
      <c r="J17" s="314"/>
    </row>
    <row r="18" spans="1:10" ht="15">
      <c r="A18" s="194">
        <v>10</v>
      </c>
      <c r="B18" s="509">
        <v>41083</v>
      </c>
      <c r="C18" s="199" t="s">
        <v>525</v>
      </c>
      <c r="D18" s="321" t="s">
        <v>526</v>
      </c>
      <c r="E18" s="198" t="s">
        <v>506</v>
      </c>
      <c r="F18" s="194">
        <v>125</v>
      </c>
      <c r="G18" s="194">
        <v>125</v>
      </c>
      <c r="H18" s="299">
        <v>0</v>
      </c>
      <c r="I18" s="434">
        <v>125</v>
      </c>
      <c r="J18" s="314"/>
    </row>
    <row r="19" spans="1:10" ht="15">
      <c r="A19" s="194">
        <v>11</v>
      </c>
      <c r="B19" s="509">
        <v>41083</v>
      </c>
      <c r="C19" s="199" t="s">
        <v>527</v>
      </c>
      <c r="D19" s="321" t="s">
        <v>528</v>
      </c>
      <c r="E19" s="198" t="s">
        <v>506</v>
      </c>
      <c r="F19" s="194">
        <v>125</v>
      </c>
      <c r="G19" s="194">
        <v>125</v>
      </c>
      <c r="H19" s="299">
        <v>0</v>
      </c>
      <c r="I19" s="434">
        <v>125</v>
      </c>
      <c r="J19" s="314"/>
    </row>
    <row r="20" spans="1:10" ht="15">
      <c r="A20" s="194">
        <v>12</v>
      </c>
      <c r="B20" s="509">
        <v>41083</v>
      </c>
      <c r="C20" s="200" t="s">
        <v>529</v>
      </c>
      <c r="D20" s="322" t="s">
        <v>530</v>
      </c>
      <c r="E20" s="198" t="s">
        <v>506</v>
      </c>
      <c r="F20" s="323">
        <v>100</v>
      </c>
      <c r="G20" s="323">
        <v>100</v>
      </c>
      <c r="H20" s="299">
        <v>0</v>
      </c>
      <c r="I20" s="434">
        <v>100</v>
      </c>
      <c r="J20" s="314"/>
    </row>
    <row r="21" spans="1:10" ht="15">
      <c r="A21" s="194">
        <v>13</v>
      </c>
      <c r="B21" s="509">
        <v>41083</v>
      </c>
      <c r="C21" s="200" t="s">
        <v>531</v>
      </c>
      <c r="D21" s="322" t="s">
        <v>532</v>
      </c>
      <c r="E21" s="198" t="s">
        <v>506</v>
      </c>
      <c r="F21" s="323">
        <v>100</v>
      </c>
      <c r="G21" s="323">
        <v>100</v>
      </c>
      <c r="H21" s="299">
        <v>0</v>
      </c>
      <c r="I21" s="434">
        <v>100</v>
      </c>
      <c r="J21" s="314"/>
    </row>
    <row r="22" spans="1:10" ht="15">
      <c r="A22" s="194">
        <v>14</v>
      </c>
      <c r="B22" s="509">
        <v>41083</v>
      </c>
      <c r="C22" s="200" t="s">
        <v>533</v>
      </c>
      <c r="D22" s="322" t="s">
        <v>534</v>
      </c>
      <c r="E22" s="198" t="s">
        <v>506</v>
      </c>
      <c r="F22" s="323">
        <v>125</v>
      </c>
      <c r="G22" s="323">
        <v>125</v>
      </c>
      <c r="H22" s="299">
        <v>0</v>
      </c>
      <c r="I22" s="434">
        <v>125</v>
      </c>
      <c r="J22" s="314"/>
    </row>
    <row r="23" spans="1:10" ht="15">
      <c r="A23" s="194">
        <v>15</v>
      </c>
      <c r="B23" s="509">
        <v>41083</v>
      </c>
      <c r="C23" s="200" t="s">
        <v>535</v>
      </c>
      <c r="D23" s="322" t="s">
        <v>536</v>
      </c>
      <c r="E23" s="198" t="s">
        <v>506</v>
      </c>
      <c r="F23" s="323">
        <v>125</v>
      </c>
      <c r="G23" s="323">
        <v>125</v>
      </c>
      <c r="H23" s="299">
        <v>0</v>
      </c>
      <c r="I23" s="434">
        <v>125</v>
      </c>
      <c r="J23" s="314"/>
    </row>
    <row r="24" spans="1:10" ht="15">
      <c r="A24" s="194">
        <v>16</v>
      </c>
      <c r="B24" s="509">
        <v>41083</v>
      </c>
      <c r="C24" s="200" t="s">
        <v>537</v>
      </c>
      <c r="D24" s="322" t="s">
        <v>538</v>
      </c>
      <c r="E24" s="198" t="s">
        <v>506</v>
      </c>
      <c r="F24" s="323">
        <v>125</v>
      </c>
      <c r="G24" s="323">
        <v>125</v>
      </c>
      <c r="H24" s="299">
        <v>0</v>
      </c>
      <c r="I24" s="434">
        <v>125</v>
      </c>
      <c r="J24" s="314"/>
    </row>
    <row r="25" spans="1:10" ht="15">
      <c r="A25" s="194">
        <v>17</v>
      </c>
      <c r="B25" s="509">
        <v>41083</v>
      </c>
      <c r="C25" s="200" t="s">
        <v>541</v>
      </c>
      <c r="D25" s="322" t="s">
        <v>542</v>
      </c>
      <c r="E25" s="198" t="s">
        <v>506</v>
      </c>
      <c r="F25" s="323">
        <v>100</v>
      </c>
      <c r="G25" s="323">
        <v>100</v>
      </c>
      <c r="H25" s="299">
        <v>0</v>
      </c>
      <c r="I25" s="434">
        <v>100</v>
      </c>
      <c r="J25" s="314"/>
    </row>
    <row r="26" spans="1:10" ht="15">
      <c r="A26" s="194">
        <v>18</v>
      </c>
      <c r="B26" s="509">
        <v>41083</v>
      </c>
      <c r="C26" s="200" t="s">
        <v>543</v>
      </c>
      <c r="D26" s="322" t="s">
        <v>544</v>
      </c>
      <c r="E26" s="198" t="s">
        <v>506</v>
      </c>
      <c r="F26" s="324">
        <v>162.5</v>
      </c>
      <c r="G26" s="324">
        <v>162.5</v>
      </c>
      <c r="H26" s="299">
        <v>0</v>
      </c>
      <c r="I26" s="434">
        <v>162.5</v>
      </c>
      <c r="J26" s="314"/>
    </row>
    <row r="27" spans="1:10" ht="15">
      <c r="A27" s="194">
        <v>19</v>
      </c>
      <c r="B27" s="509">
        <v>41083</v>
      </c>
      <c r="C27" s="200" t="s">
        <v>545</v>
      </c>
      <c r="D27" s="322" t="s">
        <v>546</v>
      </c>
      <c r="E27" s="198" t="s">
        <v>506</v>
      </c>
      <c r="F27" s="325">
        <v>162.5</v>
      </c>
      <c r="G27" s="325">
        <v>162.5</v>
      </c>
      <c r="H27" s="299">
        <v>0</v>
      </c>
      <c r="I27" s="325">
        <v>162.5</v>
      </c>
      <c r="J27" s="314"/>
    </row>
    <row r="28" spans="1:10" ht="15">
      <c r="A28" s="194">
        <v>20</v>
      </c>
      <c r="B28" s="509">
        <v>41083</v>
      </c>
      <c r="C28" s="200" t="s">
        <v>549</v>
      </c>
      <c r="D28" s="322" t="s">
        <v>550</v>
      </c>
      <c r="E28" s="198" t="s">
        <v>506</v>
      </c>
      <c r="F28" s="325">
        <v>162.5</v>
      </c>
      <c r="G28" s="325">
        <v>162.5</v>
      </c>
      <c r="H28" s="299">
        <v>0</v>
      </c>
      <c r="I28" s="325">
        <v>162.5</v>
      </c>
      <c r="J28" s="314"/>
    </row>
    <row r="29" spans="1:10" ht="15">
      <c r="A29" s="194">
        <v>21</v>
      </c>
      <c r="B29" s="509">
        <v>41083</v>
      </c>
      <c r="C29" s="200" t="s">
        <v>557</v>
      </c>
      <c r="D29" s="322" t="s">
        <v>558</v>
      </c>
      <c r="E29" s="198" t="s">
        <v>506</v>
      </c>
      <c r="F29" s="325">
        <v>100</v>
      </c>
      <c r="G29" s="325">
        <v>100</v>
      </c>
      <c r="H29" s="299">
        <v>0</v>
      </c>
      <c r="I29" s="325">
        <v>100</v>
      </c>
      <c r="J29" s="314"/>
    </row>
    <row r="30" spans="1:10" ht="15">
      <c r="A30" s="194">
        <v>22</v>
      </c>
      <c r="B30" s="509">
        <v>41083</v>
      </c>
      <c r="C30" s="200" t="s">
        <v>559</v>
      </c>
      <c r="D30" s="322" t="s">
        <v>560</v>
      </c>
      <c r="E30" s="198" t="s">
        <v>506</v>
      </c>
      <c r="F30" s="325">
        <v>100</v>
      </c>
      <c r="G30" s="325">
        <v>100</v>
      </c>
      <c r="H30" s="299">
        <v>0</v>
      </c>
      <c r="I30" s="325">
        <v>100</v>
      </c>
      <c r="J30" s="314"/>
    </row>
    <row r="31" spans="1:10" ht="15">
      <c r="A31" s="194">
        <v>23</v>
      </c>
      <c r="B31" s="509">
        <v>41083</v>
      </c>
      <c r="C31" s="200" t="s">
        <v>561</v>
      </c>
      <c r="D31" s="322" t="s">
        <v>562</v>
      </c>
      <c r="E31" s="198" t="s">
        <v>506</v>
      </c>
      <c r="F31" s="326">
        <v>125</v>
      </c>
      <c r="G31" s="326">
        <v>125</v>
      </c>
      <c r="H31" s="299">
        <v>0</v>
      </c>
      <c r="I31" s="326">
        <v>125</v>
      </c>
      <c r="J31" s="327"/>
    </row>
    <row r="32" spans="1:10" ht="15">
      <c r="A32" s="194">
        <v>24</v>
      </c>
      <c r="B32" s="509">
        <v>41083</v>
      </c>
      <c r="C32" s="200" t="s">
        <v>563</v>
      </c>
      <c r="D32" s="322" t="s">
        <v>564</v>
      </c>
      <c r="E32" s="198" t="s">
        <v>506</v>
      </c>
      <c r="F32" s="326">
        <v>125</v>
      </c>
      <c r="G32" s="326">
        <v>125</v>
      </c>
      <c r="H32" s="299">
        <v>0</v>
      </c>
      <c r="I32" s="326">
        <v>125</v>
      </c>
      <c r="J32" s="327"/>
    </row>
    <row r="33" spans="1:10" ht="15">
      <c r="A33" s="194">
        <v>25</v>
      </c>
      <c r="B33" s="509">
        <v>41083</v>
      </c>
      <c r="C33" s="200" t="s">
        <v>565</v>
      </c>
      <c r="D33" s="322" t="s">
        <v>566</v>
      </c>
      <c r="E33" s="198" t="s">
        <v>506</v>
      </c>
      <c r="F33" s="326">
        <v>162.5</v>
      </c>
      <c r="G33" s="326">
        <v>162.5</v>
      </c>
      <c r="H33" s="299">
        <v>0</v>
      </c>
      <c r="I33" s="326">
        <v>162.5</v>
      </c>
      <c r="J33" s="327"/>
    </row>
    <row r="34" spans="1:10" ht="15">
      <c r="A34" s="194">
        <v>26</v>
      </c>
      <c r="B34" s="509">
        <v>41083</v>
      </c>
      <c r="C34" s="200" t="s">
        <v>567</v>
      </c>
      <c r="D34" s="322" t="s">
        <v>568</v>
      </c>
      <c r="E34" s="198" t="s">
        <v>506</v>
      </c>
      <c r="F34" s="326">
        <v>100</v>
      </c>
      <c r="G34" s="326">
        <v>100</v>
      </c>
      <c r="H34" s="299">
        <v>0</v>
      </c>
      <c r="I34" s="326">
        <v>100</v>
      </c>
      <c r="J34" s="327"/>
    </row>
    <row r="35" spans="1:10" ht="15">
      <c r="A35" s="194">
        <v>27</v>
      </c>
      <c r="B35" s="509">
        <v>41083</v>
      </c>
      <c r="C35" s="200" t="s">
        <v>569</v>
      </c>
      <c r="D35" s="322" t="s">
        <v>570</v>
      </c>
      <c r="E35" s="198" t="s">
        <v>506</v>
      </c>
      <c r="F35" s="325">
        <v>100</v>
      </c>
      <c r="G35" s="325">
        <v>100</v>
      </c>
      <c r="H35" s="299">
        <v>0</v>
      </c>
      <c r="I35" s="325">
        <v>100</v>
      </c>
      <c r="J35" s="314"/>
    </row>
    <row r="36" spans="1:10" ht="15">
      <c r="A36" s="194">
        <v>28</v>
      </c>
      <c r="B36" s="509">
        <v>41083</v>
      </c>
      <c r="C36" s="314" t="s">
        <v>571</v>
      </c>
      <c r="D36" s="322" t="s">
        <v>572</v>
      </c>
      <c r="E36" s="198" t="s">
        <v>506</v>
      </c>
      <c r="F36" s="325">
        <v>100</v>
      </c>
      <c r="G36" s="325">
        <v>100</v>
      </c>
      <c r="H36" s="299">
        <v>0</v>
      </c>
      <c r="I36" s="325">
        <v>100</v>
      </c>
      <c r="J36" s="314"/>
    </row>
    <row r="37" spans="1:10" ht="15">
      <c r="A37" s="194">
        <v>29</v>
      </c>
      <c r="B37" s="509">
        <v>41083</v>
      </c>
      <c r="C37" s="200" t="s">
        <v>573</v>
      </c>
      <c r="D37" s="322" t="s">
        <v>574</v>
      </c>
      <c r="E37" s="198" t="s">
        <v>506</v>
      </c>
      <c r="F37" s="325">
        <v>100</v>
      </c>
      <c r="G37" s="325">
        <v>100</v>
      </c>
      <c r="H37" s="299">
        <v>0</v>
      </c>
      <c r="I37" s="325">
        <v>100</v>
      </c>
      <c r="J37" s="314"/>
    </row>
    <row r="38" spans="1:10" ht="15">
      <c r="A38" s="194">
        <v>30</v>
      </c>
      <c r="B38" s="509">
        <v>41083</v>
      </c>
      <c r="C38" s="200" t="s">
        <v>575</v>
      </c>
      <c r="D38" s="322" t="s">
        <v>576</v>
      </c>
      <c r="E38" s="198" t="s">
        <v>506</v>
      </c>
      <c r="F38" s="325">
        <v>100</v>
      </c>
      <c r="G38" s="325">
        <v>100</v>
      </c>
      <c r="H38" s="299">
        <v>0</v>
      </c>
      <c r="I38" s="325">
        <v>100</v>
      </c>
      <c r="J38" s="314"/>
    </row>
    <row r="39" spans="1:10" ht="15">
      <c r="A39" s="194">
        <v>31</v>
      </c>
      <c r="B39" s="509">
        <v>41083</v>
      </c>
      <c r="C39" s="200" t="s">
        <v>577</v>
      </c>
      <c r="D39" s="322" t="s">
        <v>578</v>
      </c>
      <c r="E39" s="198" t="s">
        <v>506</v>
      </c>
      <c r="F39" s="325">
        <v>125</v>
      </c>
      <c r="G39" s="325">
        <v>125</v>
      </c>
      <c r="H39" s="299">
        <v>0</v>
      </c>
      <c r="I39" s="325">
        <v>125</v>
      </c>
      <c r="J39" s="314"/>
    </row>
    <row r="40" spans="1:10" ht="15">
      <c r="A40" s="194">
        <v>32</v>
      </c>
      <c r="B40" s="509">
        <v>41083</v>
      </c>
      <c r="C40" s="200" t="s">
        <v>579</v>
      </c>
      <c r="D40" s="322" t="s">
        <v>580</v>
      </c>
      <c r="E40" s="198" t="s">
        <v>506</v>
      </c>
      <c r="F40" s="325">
        <v>125</v>
      </c>
      <c r="G40" s="325">
        <v>125</v>
      </c>
      <c r="H40" s="299">
        <v>0</v>
      </c>
      <c r="I40" s="325">
        <v>125</v>
      </c>
      <c r="J40" s="314"/>
    </row>
    <row r="41" spans="1:10" ht="15">
      <c r="A41" s="194">
        <v>33</v>
      </c>
      <c r="B41" s="509">
        <v>41083</v>
      </c>
      <c r="C41" s="200" t="s">
        <v>581</v>
      </c>
      <c r="D41" s="322" t="s">
        <v>582</v>
      </c>
      <c r="E41" s="198" t="s">
        <v>506</v>
      </c>
      <c r="F41" s="325">
        <v>100</v>
      </c>
      <c r="G41" s="325">
        <v>100</v>
      </c>
      <c r="H41" s="299">
        <v>0</v>
      </c>
      <c r="I41" s="325">
        <v>100</v>
      </c>
      <c r="J41" s="314"/>
    </row>
    <row r="42" spans="1:10" ht="15">
      <c r="A42" s="194">
        <v>34</v>
      </c>
      <c r="B42" s="509">
        <v>41083</v>
      </c>
      <c r="C42" s="200" t="s">
        <v>583</v>
      </c>
      <c r="D42" s="322" t="s">
        <v>584</v>
      </c>
      <c r="E42" s="198" t="s">
        <v>506</v>
      </c>
      <c r="F42" s="325">
        <v>100</v>
      </c>
      <c r="G42" s="325">
        <v>100</v>
      </c>
      <c r="H42" s="299">
        <v>0</v>
      </c>
      <c r="I42" s="325">
        <v>100</v>
      </c>
      <c r="J42" s="314"/>
    </row>
    <row r="43" spans="1:10" ht="15">
      <c r="A43" s="194">
        <v>35</v>
      </c>
      <c r="B43" s="509">
        <v>41083</v>
      </c>
      <c r="C43" s="200" t="s">
        <v>585</v>
      </c>
      <c r="D43" s="322" t="s">
        <v>586</v>
      </c>
      <c r="E43" s="198" t="s">
        <v>506</v>
      </c>
      <c r="F43" s="325">
        <v>100</v>
      </c>
      <c r="G43" s="325">
        <v>100</v>
      </c>
      <c r="H43" s="299">
        <v>0</v>
      </c>
      <c r="I43" s="325">
        <v>100</v>
      </c>
      <c r="J43" s="314"/>
    </row>
    <row r="44" spans="1:10" ht="15">
      <c r="A44" s="194">
        <v>36</v>
      </c>
      <c r="B44" s="509">
        <v>41083</v>
      </c>
      <c r="C44" s="200" t="s">
        <v>587</v>
      </c>
      <c r="D44" s="322" t="s">
        <v>588</v>
      </c>
      <c r="E44" s="198" t="s">
        <v>506</v>
      </c>
      <c r="F44" s="325">
        <v>100</v>
      </c>
      <c r="G44" s="325">
        <v>100</v>
      </c>
      <c r="H44" s="299">
        <v>0</v>
      </c>
      <c r="I44" s="325">
        <v>100</v>
      </c>
      <c r="J44" s="314"/>
    </row>
    <row r="45" spans="1:10" ht="15">
      <c r="A45" s="194">
        <v>37</v>
      </c>
      <c r="B45" s="509">
        <v>41083</v>
      </c>
      <c r="C45" s="200" t="s">
        <v>589</v>
      </c>
      <c r="D45" s="322" t="s">
        <v>590</v>
      </c>
      <c r="E45" s="198" t="s">
        <v>506</v>
      </c>
      <c r="F45" s="325">
        <v>100</v>
      </c>
      <c r="G45" s="325">
        <v>100</v>
      </c>
      <c r="H45" s="299">
        <v>0</v>
      </c>
      <c r="I45" s="325">
        <v>100</v>
      </c>
      <c r="J45" s="314"/>
    </row>
    <row r="46" spans="1:10" ht="15">
      <c r="A46" s="194">
        <v>38</v>
      </c>
      <c r="B46" s="509">
        <v>41083</v>
      </c>
      <c r="C46" s="200" t="s">
        <v>591</v>
      </c>
      <c r="D46" s="322" t="s">
        <v>592</v>
      </c>
      <c r="E46" s="198" t="s">
        <v>506</v>
      </c>
      <c r="F46" s="325">
        <v>100</v>
      </c>
      <c r="G46" s="325">
        <v>100</v>
      </c>
      <c r="H46" s="299">
        <v>0</v>
      </c>
      <c r="I46" s="325">
        <v>100</v>
      </c>
      <c r="J46" s="314"/>
    </row>
    <row r="47" spans="1:10" ht="15">
      <c r="A47" s="194">
        <v>39</v>
      </c>
      <c r="B47" s="509">
        <v>41093</v>
      </c>
      <c r="C47" s="200" t="s">
        <v>593</v>
      </c>
      <c r="D47" s="322" t="s">
        <v>594</v>
      </c>
      <c r="E47" s="198" t="s">
        <v>506</v>
      </c>
      <c r="F47" s="325">
        <v>250</v>
      </c>
      <c r="G47" s="325">
        <v>250</v>
      </c>
      <c r="H47" s="299">
        <v>0</v>
      </c>
      <c r="I47" s="325">
        <v>250</v>
      </c>
      <c r="J47" s="314"/>
    </row>
    <row r="48" spans="1:10" ht="15">
      <c r="A48" s="194">
        <v>40</v>
      </c>
      <c r="B48" s="509">
        <v>41085</v>
      </c>
      <c r="C48" s="200" t="s">
        <v>595</v>
      </c>
      <c r="D48" s="322" t="s">
        <v>596</v>
      </c>
      <c r="E48" s="198" t="s">
        <v>506</v>
      </c>
      <c r="F48" s="325">
        <v>100</v>
      </c>
      <c r="G48" s="325">
        <v>100</v>
      </c>
      <c r="H48" s="299">
        <v>0</v>
      </c>
      <c r="I48" s="325">
        <v>100</v>
      </c>
      <c r="J48" s="314"/>
    </row>
    <row r="49" spans="1:10" ht="15">
      <c r="A49" s="194">
        <v>41</v>
      </c>
      <c r="B49" s="509">
        <v>41085</v>
      </c>
      <c r="C49" s="200" t="s">
        <v>597</v>
      </c>
      <c r="D49" s="322" t="s">
        <v>598</v>
      </c>
      <c r="E49" s="198" t="s">
        <v>506</v>
      </c>
      <c r="F49" s="325">
        <v>200</v>
      </c>
      <c r="G49" s="325">
        <v>200</v>
      </c>
      <c r="H49" s="299">
        <v>0</v>
      </c>
      <c r="I49" s="325">
        <v>200</v>
      </c>
      <c r="J49" s="314"/>
    </row>
    <row r="50" spans="1:10" ht="15">
      <c r="A50" s="194">
        <v>42</v>
      </c>
      <c r="B50" s="509">
        <v>41085</v>
      </c>
      <c r="C50" s="200" t="s">
        <v>599</v>
      </c>
      <c r="D50" s="322" t="s">
        <v>600</v>
      </c>
      <c r="E50" s="198" t="s">
        <v>506</v>
      </c>
      <c r="F50" s="325">
        <v>200</v>
      </c>
      <c r="G50" s="325">
        <v>200</v>
      </c>
      <c r="H50" s="299">
        <v>0</v>
      </c>
      <c r="I50" s="325">
        <v>200</v>
      </c>
      <c r="J50" s="314"/>
    </row>
    <row r="51" spans="1:10" ht="15">
      <c r="A51" s="194">
        <v>43</v>
      </c>
      <c r="B51" s="509">
        <v>41085</v>
      </c>
      <c r="C51" s="200" t="s">
        <v>601</v>
      </c>
      <c r="D51" s="322" t="s">
        <v>602</v>
      </c>
      <c r="E51" s="198" t="s">
        <v>506</v>
      </c>
      <c r="F51" s="325">
        <v>125</v>
      </c>
      <c r="G51" s="325">
        <v>125</v>
      </c>
      <c r="H51" s="299">
        <v>0</v>
      </c>
      <c r="I51" s="325">
        <v>125</v>
      </c>
      <c r="J51" s="314"/>
    </row>
    <row r="52" spans="1:10" ht="15">
      <c r="A52" s="194">
        <v>44</v>
      </c>
      <c r="B52" s="509">
        <v>41094</v>
      </c>
      <c r="C52" s="200" t="s">
        <v>603</v>
      </c>
      <c r="D52" s="322" t="s">
        <v>604</v>
      </c>
      <c r="E52" s="198" t="s">
        <v>506</v>
      </c>
      <c r="F52" s="325">
        <v>100</v>
      </c>
      <c r="G52" s="325">
        <v>100</v>
      </c>
      <c r="H52" s="299">
        <v>0</v>
      </c>
      <c r="I52" s="325">
        <v>100</v>
      </c>
      <c r="J52" s="314"/>
    </row>
    <row r="53" spans="1:10" ht="15">
      <c r="A53" s="194">
        <v>45</v>
      </c>
      <c r="B53" s="509">
        <v>41086</v>
      </c>
      <c r="C53" s="200" t="s">
        <v>605</v>
      </c>
      <c r="D53" s="322" t="s">
        <v>606</v>
      </c>
      <c r="E53" s="198" t="s">
        <v>506</v>
      </c>
      <c r="F53" s="325">
        <v>162.5</v>
      </c>
      <c r="G53" s="325">
        <v>162.5</v>
      </c>
      <c r="H53" s="299">
        <v>0</v>
      </c>
      <c r="I53" s="325">
        <v>162.5</v>
      </c>
      <c r="J53" s="314"/>
    </row>
    <row r="54" spans="1:10" ht="15">
      <c r="A54" s="194">
        <v>46</v>
      </c>
      <c r="B54" s="509">
        <v>41089</v>
      </c>
      <c r="C54" s="200" t="s">
        <v>607</v>
      </c>
      <c r="D54" s="322" t="s">
        <v>608</v>
      </c>
      <c r="E54" s="198" t="s">
        <v>506</v>
      </c>
      <c r="F54" s="325">
        <v>100</v>
      </c>
      <c r="G54" s="325">
        <v>100</v>
      </c>
      <c r="H54" s="299">
        <v>0</v>
      </c>
      <c r="I54" s="325">
        <v>100</v>
      </c>
      <c r="J54" s="314"/>
    </row>
    <row r="55" spans="1:10" ht="15">
      <c r="A55" s="194">
        <v>47</v>
      </c>
      <c r="B55" s="509">
        <v>41087</v>
      </c>
      <c r="C55" s="200" t="s">
        <v>609</v>
      </c>
      <c r="D55" s="322" t="s">
        <v>610</v>
      </c>
      <c r="E55" s="198" t="s">
        <v>506</v>
      </c>
      <c r="F55" s="325">
        <v>125</v>
      </c>
      <c r="G55" s="325">
        <v>125</v>
      </c>
      <c r="H55" s="299">
        <v>0</v>
      </c>
      <c r="I55" s="325">
        <v>125</v>
      </c>
      <c r="J55" s="314"/>
    </row>
    <row r="56" spans="1:10" ht="15">
      <c r="A56" s="194">
        <v>48</v>
      </c>
      <c r="B56" s="509">
        <v>41085</v>
      </c>
      <c r="C56" s="200" t="s">
        <v>611</v>
      </c>
      <c r="D56" s="322" t="s">
        <v>612</v>
      </c>
      <c r="E56" s="198" t="s">
        <v>506</v>
      </c>
      <c r="F56" s="325">
        <v>100</v>
      </c>
      <c r="G56" s="325">
        <v>100</v>
      </c>
      <c r="H56" s="299">
        <v>0</v>
      </c>
      <c r="I56" s="325">
        <v>100</v>
      </c>
      <c r="J56" s="314"/>
    </row>
    <row r="57" spans="1:10" ht="15">
      <c r="A57" s="194">
        <v>49</v>
      </c>
      <c r="B57" s="509">
        <v>41085</v>
      </c>
      <c r="C57" s="200" t="s">
        <v>613</v>
      </c>
      <c r="D57" s="322" t="s">
        <v>614</v>
      </c>
      <c r="E57" s="198" t="s">
        <v>506</v>
      </c>
      <c r="F57" s="325">
        <v>162.5</v>
      </c>
      <c r="G57" s="325">
        <v>162.5</v>
      </c>
      <c r="H57" s="299">
        <v>0</v>
      </c>
      <c r="I57" s="325">
        <v>162.5</v>
      </c>
      <c r="J57" s="314"/>
    </row>
    <row r="58" spans="1:10" ht="15">
      <c r="A58" s="194">
        <v>50</v>
      </c>
      <c r="B58" s="509">
        <v>41087</v>
      </c>
      <c r="C58" s="200" t="s">
        <v>615</v>
      </c>
      <c r="D58" s="322" t="s">
        <v>616</v>
      </c>
      <c r="E58" s="198" t="s">
        <v>506</v>
      </c>
      <c r="F58" s="325">
        <v>162.5</v>
      </c>
      <c r="G58" s="325">
        <v>162.5</v>
      </c>
      <c r="H58" s="299">
        <v>0</v>
      </c>
      <c r="I58" s="325">
        <v>162.5</v>
      </c>
      <c r="J58" s="314"/>
    </row>
    <row r="59" spans="1:10" ht="15">
      <c r="A59" s="194">
        <v>51</v>
      </c>
      <c r="B59" s="509">
        <v>41055</v>
      </c>
      <c r="C59" s="200" t="s">
        <v>617</v>
      </c>
      <c r="D59" s="322" t="s">
        <v>618</v>
      </c>
      <c r="E59" s="198" t="s">
        <v>506</v>
      </c>
      <c r="F59" s="325">
        <v>125</v>
      </c>
      <c r="G59" s="325">
        <v>125</v>
      </c>
      <c r="H59" s="299">
        <v>0</v>
      </c>
      <c r="I59" s="325">
        <v>125</v>
      </c>
      <c r="J59" s="314"/>
    </row>
    <row r="60" spans="1:10" ht="15">
      <c r="A60" s="194">
        <v>52</v>
      </c>
      <c r="B60" s="509">
        <v>41087</v>
      </c>
      <c r="C60" s="200" t="s">
        <v>619</v>
      </c>
      <c r="D60" s="322" t="s">
        <v>620</v>
      </c>
      <c r="E60" s="198" t="s">
        <v>506</v>
      </c>
      <c r="F60" s="325">
        <v>100</v>
      </c>
      <c r="G60" s="325">
        <v>100</v>
      </c>
      <c r="H60" s="299">
        <v>0</v>
      </c>
      <c r="I60" s="325">
        <v>100</v>
      </c>
      <c r="J60" s="314"/>
    </row>
    <row r="61" spans="1:10" ht="15">
      <c r="A61" s="194">
        <v>53</v>
      </c>
      <c r="B61" s="509">
        <v>41093</v>
      </c>
      <c r="C61" s="200" t="s">
        <v>621</v>
      </c>
      <c r="D61" s="322" t="s">
        <v>622</v>
      </c>
      <c r="E61" s="198" t="s">
        <v>506</v>
      </c>
      <c r="F61" s="325">
        <v>262.5</v>
      </c>
      <c r="G61" s="325">
        <v>262.5</v>
      </c>
      <c r="H61" s="299">
        <v>0</v>
      </c>
      <c r="I61" s="325">
        <v>262.5</v>
      </c>
      <c r="J61" s="314"/>
    </row>
    <row r="62" spans="1:10" ht="15">
      <c r="A62" s="194">
        <v>54</v>
      </c>
      <c r="B62" s="509">
        <v>41085</v>
      </c>
      <c r="C62" s="200" t="s">
        <v>623</v>
      </c>
      <c r="D62" s="322" t="s">
        <v>624</v>
      </c>
      <c r="E62" s="198" t="s">
        <v>506</v>
      </c>
      <c r="F62" s="325">
        <v>200</v>
      </c>
      <c r="G62" s="325">
        <v>200</v>
      </c>
      <c r="H62" s="299">
        <v>0</v>
      </c>
      <c r="I62" s="325">
        <v>200</v>
      </c>
      <c r="J62" s="314"/>
    </row>
    <row r="63" spans="1:10" ht="15">
      <c r="A63" s="194">
        <v>55</v>
      </c>
      <c r="B63" s="509">
        <v>41087</v>
      </c>
      <c r="C63" s="200" t="s">
        <v>625</v>
      </c>
      <c r="D63" s="322" t="s">
        <v>626</v>
      </c>
      <c r="E63" s="198" t="s">
        <v>506</v>
      </c>
      <c r="F63" s="325">
        <v>125</v>
      </c>
      <c r="G63" s="325">
        <v>125</v>
      </c>
      <c r="H63" s="299">
        <v>0</v>
      </c>
      <c r="I63" s="325">
        <v>125</v>
      </c>
      <c r="J63" s="314"/>
    </row>
    <row r="64" spans="1:10" ht="15">
      <c r="A64" s="194">
        <v>56</v>
      </c>
      <c r="B64" s="509">
        <v>41085</v>
      </c>
      <c r="C64" s="200" t="s">
        <v>627</v>
      </c>
      <c r="D64" s="322" t="s">
        <v>628</v>
      </c>
      <c r="E64" s="198" t="s">
        <v>506</v>
      </c>
      <c r="F64" s="325">
        <v>225</v>
      </c>
      <c r="G64" s="325">
        <v>225</v>
      </c>
      <c r="H64" s="299">
        <v>0</v>
      </c>
      <c r="I64" s="325">
        <v>225</v>
      </c>
      <c r="J64" s="314"/>
    </row>
    <row r="65" spans="1:10" ht="15">
      <c r="A65" s="194">
        <v>57</v>
      </c>
      <c r="B65" s="509">
        <v>41087</v>
      </c>
      <c r="C65" s="200" t="s">
        <v>629</v>
      </c>
      <c r="D65" s="322" t="s">
        <v>630</v>
      </c>
      <c r="E65" s="198" t="s">
        <v>506</v>
      </c>
      <c r="F65" s="325">
        <v>100</v>
      </c>
      <c r="G65" s="325">
        <v>100</v>
      </c>
      <c r="H65" s="299">
        <v>0</v>
      </c>
      <c r="I65" s="325">
        <v>100</v>
      </c>
      <c r="J65" s="314"/>
    </row>
    <row r="66" spans="1:10" ht="15">
      <c r="A66" s="194">
        <v>58</v>
      </c>
      <c r="B66" s="509">
        <v>41086</v>
      </c>
      <c r="C66" s="200" t="s">
        <v>631</v>
      </c>
      <c r="D66" s="322" t="s">
        <v>632</v>
      </c>
      <c r="E66" s="198" t="s">
        <v>506</v>
      </c>
      <c r="F66" s="325">
        <v>100</v>
      </c>
      <c r="G66" s="325">
        <v>100</v>
      </c>
      <c r="H66" s="299">
        <v>0</v>
      </c>
      <c r="I66" s="325">
        <v>100</v>
      </c>
      <c r="J66" s="314"/>
    </row>
    <row r="67" spans="1:10" ht="15">
      <c r="A67" s="194">
        <v>59</v>
      </c>
      <c r="B67" s="509">
        <v>41085</v>
      </c>
      <c r="C67" s="200" t="s">
        <v>633</v>
      </c>
      <c r="D67" s="322" t="s">
        <v>634</v>
      </c>
      <c r="E67" s="198" t="s">
        <v>506</v>
      </c>
      <c r="F67" s="325">
        <v>162.5</v>
      </c>
      <c r="G67" s="325">
        <v>162.5</v>
      </c>
      <c r="H67" s="299">
        <v>0</v>
      </c>
      <c r="I67" s="325">
        <v>162.5</v>
      </c>
      <c r="J67" s="314"/>
    </row>
    <row r="68" spans="1:10" ht="15">
      <c r="A68" s="194">
        <v>60</v>
      </c>
      <c r="B68" s="509">
        <v>41085</v>
      </c>
      <c r="C68" s="200" t="s">
        <v>635</v>
      </c>
      <c r="D68" s="322" t="s">
        <v>636</v>
      </c>
      <c r="E68" s="198" t="s">
        <v>506</v>
      </c>
      <c r="F68" s="325">
        <v>100</v>
      </c>
      <c r="G68" s="325">
        <v>100</v>
      </c>
      <c r="H68" s="299">
        <v>0</v>
      </c>
      <c r="I68" s="325">
        <v>100</v>
      </c>
      <c r="J68" s="314"/>
    </row>
    <row r="69" spans="1:10" ht="15">
      <c r="A69" s="194">
        <v>61</v>
      </c>
      <c r="B69" s="509">
        <v>41086</v>
      </c>
      <c r="C69" s="200" t="s">
        <v>637</v>
      </c>
      <c r="D69" s="322" t="s">
        <v>638</v>
      </c>
      <c r="E69" s="198" t="s">
        <v>506</v>
      </c>
      <c r="F69" s="325">
        <v>100</v>
      </c>
      <c r="G69" s="325">
        <v>100</v>
      </c>
      <c r="H69" s="299">
        <v>0</v>
      </c>
      <c r="I69" s="325">
        <v>100</v>
      </c>
      <c r="J69" s="314"/>
    </row>
    <row r="70" spans="1:10" ht="15">
      <c r="A70" s="194">
        <v>62</v>
      </c>
      <c r="B70" s="509">
        <v>41085</v>
      </c>
      <c r="C70" s="200" t="s">
        <v>639</v>
      </c>
      <c r="D70" s="322" t="s">
        <v>640</v>
      </c>
      <c r="E70" s="198" t="s">
        <v>506</v>
      </c>
      <c r="F70" s="325">
        <v>125</v>
      </c>
      <c r="G70" s="325">
        <v>125</v>
      </c>
      <c r="H70" s="299">
        <v>0</v>
      </c>
      <c r="I70" s="325">
        <v>125</v>
      </c>
      <c r="J70" s="314"/>
    </row>
    <row r="71" spans="1:10" ht="15">
      <c r="A71" s="194">
        <v>63</v>
      </c>
      <c r="B71" s="509">
        <v>41087</v>
      </c>
      <c r="C71" s="200" t="s">
        <v>641</v>
      </c>
      <c r="D71" s="322" t="s">
        <v>642</v>
      </c>
      <c r="E71" s="198" t="s">
        <v>506</v>
      </c>
      <c r="F71" s="325">
        <v>125</v>
      </c>
      <c r="G71" s="325">
        <v>125</v>
      </c>
      <c r="H71" s="299">
        <v>0</v>
      </c>
      <c r="I71" s="325">
        <v>125</v>
      </c>
      <c r="J71" s="314"/>
    </row>
    <row r="72" spans="1:10" ht="15">
      <c r="A72" s="194">
        <v>64</v>
      </c>
      <c r="B72" s="509">
        <v>41119</v>
      </c>
      <c r="C72" s="200" t="s">
        <v>643</v>
      </c>
      <c r="D72" s="322" t="s">
        <v>644</v>
      </c>
      <c r="E72" s="198" t="s">
        <v>506</v>
      </c>
      <c r="F72" s="325">
        <v>100</v>
      </c>
      <c r="G72" s="325">
        <v>100</v>
      </c>
      <c r="H72" s="299">
        <v>0</v>
      </c>
      <c r="I72" s="325">
        <v>100</v>
      </c>
      <c r="J72" s="314"/>
    </row>
    <row r="73" spans="1:10" ht="15">
      <c r="A73" s="194">
        <v>65</v>
      </c>
      <c r="B73" s="509">
        <v>41087</v>
      </c>
      <c r="C73" s="200" t="s">
        <v>645</v>
      </c>
      <c r="D73" s="322" t="s">
        <v>646</v>
      </c>
      <c r="E73" s="198" t="s">
        <v>506</v>
      </c>
      <c r="F73" s="325">
        <v>125</v>
      </c>
      <c r="G73" s="325">
        <v>125</v>
      </c>
      <c r="H73" s="299">
        <v>0</v>
      </c>
      <c r="I73" s="325">
        <v>125</v>
      </c>
      <c r="J73" s="314"/>
    </row>
    <row r="74" spans="1:10" ht="15">
      <c r="A74" s="194">
        <v>66</v>
      </c>
      <c r="B74" s="509">
        <v>41087</v>
      </c>
      <c r="C74" s="200" t="s">
        <v>647</v>
      </c>
      <c r="D74" s="322" t="s">
        <v>648</v>
      </c>
      <c r="E74" s="198" t="s">
        <v>506</v>
      </c>
      <c r="F74" s="325">
        <v>125</v>
      </c>
      <c r="G74" s="325">
        <v>125</v>
      </c>
      <c r="H74" s="299">
        <v>0</v>
      </c>
      <c r="I74" s="325">
        <v>125</v>
      </c>
      <c r="J74" s="314"/>
    </row>
    <row r="75" spans="1:10" ht="15">
      <c r="A75" s="194">
        <v>67</v>
      </c>
      <c r="B75" s="509">
        <v>41093</v>
      </c>
      <c r="C75" s="200" t="s">
        <v>649</v>
      </c>
      <c r="D75" s="322" t="s">
        <v>650</v>
      </c>
      <c r="E75" s="198" t="s">
        <v>506</v>
      </c>
      <c r="F75" s="325">
        <v>100</v>
      </c>
      <c r="G75" s="325">
        <v>100</v>
      </c>
      <c r="H75" s="299">
        <v>0</v>
      </c>
      <c r="I75" s="325">
        <v>100</v>
      </c>
      <c r="J75" s="314"/>
    </row>
    <row r="76" spans="1:10" ht="15">
      <c r="A76" s="194">
        <v>68</v>
      </c>
      <c r="B76" s="509">
        <v>41088</v>
      </c>
      <c r="C76" s="200" t="s">
        <v>651</v>
      </c>
      <c r="D76" s="322" t="s">
        <v>652</v>
      </c>
      <c r="E76" s="198" t="s">
        <v>506</v>
      </c>
      <c r="F76" s="325">
        <v>100</v>
      </c>
      <c r="G76" s="325">
        <v>100</v>
      </c>
      <c r="H76" s="299">
        <v>0</v>
      </c>
      <c r="I76" s="325">
        <v>100</v>
      </c>
      <c r="J76" s="314"/>
    </row>
    <row r="77" spans="1:10" ht="15">
      <c r="A77" s="194">
        <v>69</v>
      </c>
      <c r="B77" s="509">
        <v>41084</v>
      </c>
      <c r="C77" s="200" t="s">
        <v>653</v>
      </c>
      <c r="D77" s="322" t="s">
        <v>654</v>
      </c>
      <c r="E77" s="198" t="s">
        <v>506</v>
      </c>
      <c r="F77" s="325">
        <v>100</v>
      </c>
      <c r="G77" s="325">
        <v>100</v>
      </c>
      <c r="H77" s="299">
        <v>0</v>
      </c>
      <c r="I77" s="325">
        <v>100</v>
      </c>
      <c r="J77" s="314"/>
    </row>
    <row r="78" spans="1:10" ht="15">
      <c r="A78" s="194">
        <v>70</v>
      </c>
      <c r="B78" s="509">
        <v>41084</v>
      </c>
      <c r="C78" s="200" t="s">
        <v>655</v>
      </c>
      <c r="D78" s="322" t="s">
        <v>656</v>
      </c>
      <c r="E78" s="198" t="s">
        <v>506</v>
      </c>
      <c r="F78" s="325">
        <v>125</v>
      </c>
      <c r="G78" s="325">
        <v>125</v>
      </c>
      <c r="H78" s="299">
        <v>0</v>
      </c>
      <c r="I78" s="325">
        <v>125</v>
      </c>
      <c r="J78" s="314"/>
    </row>
    <row r="79" spans="1:10" ht="15">
      <c r="A79" s="194">
        <v>71</v>
      </c>
      <c r="B79" s="509">
        <v>41084</v>
      </c>
      <c r="C79" s="200" t="s">
        <v>657</v>
      </c>
      <c r="D79" s="322" t="s">
        <v>658</v>
      </c>
      <c r="E79" s="198" t="s">
        <v>506</v>
      </c>
      <c r="F79" s="325">
        <v>125</v>
      </c>
      <c r="G79" s="325">
        <v>125</v>
      </c>
      <c r="H79" s="299">
        <v>0</v>
      </c>
      <c r="I79" s="325">
        <v>125</v>
      </c>
      <c r="J79" s="314"/>
    </row>
    <row r="80" spans="1:10" ht="15">
      <c r="A80" s="194">
        <v>72</v>
      </c>
      <c r="B80" s="509">
        <v>41084</v>
      </c>
      <c r="C80" s="200" t="s">
        <v>659</v>
      </c>
      <c r="D80" s="322" t="s">
        <v>660</v>
      </c>
      <c r="E80" s="198" t="s">
        <v>506</v>
      </c>
      <c r="F80" s="325">
        <v>162.5</v>
      </c>
      <c r="G80" s="325">
        <v>162.5</v>
      </c>
      <c r="H80" s="299">
        <v>0</v>
      </c>
      <c r="I80" s="325">
        <v>162.5</v>
      </c>
      <c r="J80" s="314"/>
    </row>
    <row r="81" spans="1:10" ht="15">
      <c r="A81" s="194">
        <v>73</v>
      </c>
      <c r="B81" s="509">
        <v>41084</v>
      </c>
      <c r="C81" s="200" t="s">
        <v>661</v>
      </c>
      <c r="D81" s="322" t="s">
        <v>662</v>
      </c>
      <c r="E81" s="198" t="s">
        <v>506</v>
      </c>
      <c r="F81" s="325">
        <v>162.5</v>
      </c>
      <c r="G81" s="325">
        <v>162.5</v>
      </c>
      <c r="H81" s="299">
        <v>0</v>
      </c>
      <c r="I81" s="325">
        <v>162.5</v>
      </c>
      <c r="J81" s="314"/>
    </row>
    <row r="82" spans="1:10" ht="15">
      <c r="A82" s="194">
        <v>74</v>
      </c>
      <c r="B82" s="509">
        <v>41083</v>
      </c>
      <c r="C82" s="200" t="s">
        <v>663</v>
      </c>
      <c r="D82" s="322" t="s">
        <v>664</v>
      </c>
      <c r="E82" s="198" t="s">
        <v>506</v>
      </c>
      <c r="F82" s="325">
        <v>162.5</v>
      </c>
      <c r="G82" s="325">
        <v>162.5</v>
      </c>
      <c r="H82" s="299">
        <v>0</v>
      </c>
      <c r="I82" s="325">
        <v>162.5</v>
      </c>
      <c r="J82" s="314"/>
    </row>
    <row r="83" spans="1:10" ht="15">
      <c r="A83" s="194">
        <v>75</v>
      </c>
      <c r="B83" s="509">
        <v>41083</v>
      </c>
      <c r="C83" s="200" t="s">
        <v>665</v>
      </c>
      <c r="D83" s="322" t="s">
        <v>666</v>
      </c>
      <c r="E83" s="198" t="s">
        <v>506</v>
      </c>
      <c r="F83" s="325">
        <v>100</v>
      </c>
      <c r="G83" s="325">
        <v>100</v>
      </c>
      <c r="H83" s="299">
        <v>0</v>
      </c>
      <c r="I83" s="325">
        <v>100</v>
      </c>
      <c r="J83" s="314"/>
    </row>
    <row r="84" spans="1:10" ht="15">
      <c r="A84" s="194">
        <v>76</v>
      </c>
      <c r="B84" s="509">
        <v>41083</v>
      </c>
      <c r="C84" s="200" t="s">
        <v>668</v>
      </c>
      <c r="D84" s="322" t="s">
        <v>669</v>
      </c>
      <c r="E84" s="198" t="s">
        <v>506</v>
      </c>
      <c r="F84" s="325">
        <v>125</v>
      </c>
      <c r="G84" s="325">
        <v>125</v>
      </c>
      <c r="H84" s="299">
        <v>0</v>
      </c>
      <c r="I84" s="325">
        <v>125</v>
      </c>
      <c r="J84" s="314"/>
    </row>
    <row r="85" spans="1:10" ht="15">
      <c r="A85" s="194">
        <v>77</v>
      </c>
      <c r="B85" s="509">
        <v>41083</v>
      </c>
      <c r="C85" s="200" t="s">
        <v>670</v>
      </c>
      <c r="D85" s="322" t="s">
        <v>671</v>
      </c>
      <c r="E85" s="198" t="s">
        <v>506</v>
      </c>
      <c r="F85" s="325">
        <v>162.5</v>
      </c>
      <c r="G85" s="325">
        <v>162.5</v>
      </c>
      <c r="H85" s="299">
        <v>0</v>
      </c>
      <c r="I85" s="325">
        <v>162.5</v>
      </c>
      <c r="J85" s="314"/>
    </row>
    <row r="86" spans="1:10" ht="15">
      <c r="A86" s="194">
        <v>78</v>
      </c>
      <c r="B86" s="509">
        <v>41083</v>
      </c>
      <c r="C86" s="200" t="s">
        <v>672</v>
      </c>
      <c r="D86" s="322" t="s">
        <v>673</v>
      </c>
      <c r="E86" s="198" t="s">
        <v>506</v>
      </c>
      <c r="F86" s="325">
        <v>100</v>
      </c>
      <c r="G86" s="325">
        <v>100</v>
      </c>
      <c r="H86" s="299">
        <v>0</v>
      </c>
      <c r="I86" s="325">
        <v>100</v>
      </c>
      <c r="J86" s="314"/>
    </row>
    <row r="87" spans="1:10" ht="15">
      <c r="A87" s="194">
        <v>79</v>
      </c>
      <c r="B87" s="509">
        <v>41083</v>
      </c>
      <c r="C87" s="200" t="s">
        <v>674</v>
      </c>
      <c r="D87" s="322" t="s">
        <v>675</v>
      </c>
      <c r="E87" s="198" t="s">
        <v>506</v>
      </c>
      <c r="F87" s="325">
        <v>162.5</v>
      </c>
      <c r="G87" s="325">
        <v>162.5</v>
      </c>
      <c r="H87" s="299">
        <v>0</v>
      </c>
      <c r="I87" s="325">
        <v>162.5</v>
      </c>
      <c r="J87" s="314"/>
    </row>
    <row r="88" spans="1:10" ht="15">
      <c r="A88" s="194">
        <v>80</v>
      </c>
      <c r="B88" s="509">
        <v>41083</v>
      </c>
      <c r="C88" s="200" t="s">
        <v>678</v>
      </c>
      <c r="D88" s="322" t="s">
        <v>679</v>
      </c>
      <c r="E88" s="198" t="s">
        <v>506</v>
      </c>
      <c r="F88" s="325">
        <v>100</v>
      </c>
      <c r="G88" s="325">
        <v>100</v>
      </c>
      <c r="H88" s="299">
        <v>0</v>
      </c>
      <c r="I88" s="325">
        <v>100</v>
      </c>
      <c r="J88" s="314"/>
    </row>
    <row r="89" spans="1:10" ht="15">
      <c r="A89" s="194">
        <v>81</v>
      </c>
      <c r="B89" s="509">
        <v>41083</v>
      </c>
      <c r="C89" s="200" t="s">
        <v>680</v>
      </c>
      <c r="D89" s="322" t="s">
        <v>681</v>
      </c>
      <c r="E89" s="198" t="s">
        <v>506</v>
      </c>
      <c r="F89" s="325">
        <v>162.5</v>
      </c>
      <c r="G89" s="325">
        <v>162.5</v>
      </c>
      <c r="H89" s="299">
        <v>0</v>
      </c>
      <c r="I89" s="325">
        <v>162.5</v>
      </c>
      <c r="J89" s="314"/>
    </row>
    <row r="90" spans="1:10" ht="15">
      <c r="A90" s="194">
        <v>82</v>
      </c>
      <c r="B90" s="509">
        <v>41083</v>
      </c>
      <c r="C90" s="200" t="s">
        <v>686</v>
      </c>
      <c r="D90" s="322" t="s">
        <v>687</v>
      </c>
      <c r="E90" s="198" t="s">
        <v>506</v>
      </c>
      <c r="F90" s="325">
        <v>162.5</v>
      </c>
      <c r="G90" s="325">
        <v>162.5</v>
      </c>
      <c r="H90" s="299">
        <v>0</v>
      </c>
      <c r="I90" s="325">
        <v>162.5</v>
      </c>
      <c r="J90" s="314"/>
    </row>
    <row r="91" spans="1:10" ht="15">
      <c r="A91" s="194">
        <v>83</v>
      </c>
      <c r="B91" s="509">
        <v>41083</v>
      </c>
      <c r="C91" s="200" t="s">
        <v>688</v>
      </c>
      <c r="D91" s="322" t="s">
        <v>689</v>
      </c>
      <c r="E91" s="198" t="s">
        <v>506</v>
      </c>
      <c r="F91" s="325">
        <v>162.5</v>
      </c>
      <c r="G91" s="325">
        <v>162.5</v>
      </c>
      <c r="H91" s="299">
        <v>0</v>
      </c>
      <c r="I91" s="325">
        <v>162.5</v>
      </c>
      <c r="J91" s="314"/>
    </row>
    <row r="92" spans="1:10" ht="15">
      <c r="A92" s="194">
        <v>84</v>
      </c>
      <c r="B92" s="509">
        <v>41083</v>
      </c>
      <c r="C92" s="200" t="s">
        <v>690</v>
      </c>
      <c r="D92" s="322" t="s">
        <v>691</v>
      </c>
      <c r="E92" s="198" t="s">
        <v>506</v>
      </c>
      <c r="F92" s="325">
        <v>100</v>
      </c>
      <c r="G92" s="325">
        <v>100</v>
      </c>
      <c r="H92" s="299">
        <v>0</v>
      </c>
      <c r="I92" s="325">
        <v>100</v>
      </c>
      <c r="J92" s="314"/>
    </row>
    <row r="93" spans="1:10" ht="15">
      <c r="A93" s="194">
        <v>85</v>
      </c>
      <c r="B93" s="509">
        <v>41083</v>
      </c>
      <c r="C93" s="200" t="s">
        <v>692</v>
      </c>
      <c r="D93" s="322" t="s">
        <v>693</v>
      </c>
      <c r="E93" s="198" t="s">
        <v>506</v>
      </c>
      <c r="F93" s="325">
        <v>100</v>
      </c>
      <c r="G93" s="325">
        <v>100</v>
      </c>
      <c r="H93" s="299">
        <v>0</v>
      </c>
      <c r="I93" s="325">
        <v>100</v>
      </c>
      <c r="J93" s="314"/>
    </row>
    <row r="94" spans="1:10" ht="15">
      <c r="A94" s="194">
        <v>86</v>
      </c>
      <c r="B94" s="509">
        <v>41083</v>
      </c>
      <c r="C94" s="200" t="s">
        <v>698</v>
      </c>
      <c r="D94" s="322" t="s">
        <v>699</v>
      </c>
      <c r="E94" s="198" t="s">
        <v>506</v>
      </c>
      <c r="F94" s="325">
        <v>162.5</v>
      </c>
      <c r="G94" s="325">
        <v>162.5</v>
      </c>
      <c r="H94" s="299">
        <v>0</v>
      </c>
      <c r="I94" s="325">
        <v>162.5</v>
      </c>
      <c r="J94" s="314"/>
    </row>
    <row r="95" spans="1:10" ht="15">
      <c r="A95" s="194">
        <v>87</v>
      </c>
      <c r="B95" s="509">
        <v>41065</v>
      </c>
      <c r="C95" s="200" t="s">
        <v>706</v>
      </c>
      <c r="D95" s="322" t="s">
        <v>707</v>
      </c>
      <c r="E95" s="198" t="s">
        <v>506</v>
      </c>
      <c r="F95" s="325">
        <v>162.5</v>
      </c>
      <c r="G95" s="325">
        <v>162.5</v>
      </c>
      <c r="H95" s="299">
        <v>0</v>
      </c>
      <c r="I95" s="325">
        <v>162.5</v>
      </c>
      <c r="J95" s="314"/>
    </row>
    <row r="96" spans="1:10" ht="15">
      <c r="A96" s="194">
        <v>88</v>
      </c>
      <c r="B96" s="509">
        <v>41065</v>
      </c>
      <c r="C96" s="200" t="s">
        <v>708</v>
      </c>
      <c r="D96" s="322" t="s">
        <v>709</v>
      </c>
      <c r="E96" s="198" t="s">
        <v>506</v>
      </c>
      <c r="F96" s="325">
        <v>162.5</v>
      </c>
      <c r="G96" s="325">
        <v>162.5</v>
      </c>
      <c r="H96" s="299">
        <v>0</v>
      </c>
      <c r="I96" s="325">
        <v>162.5</v>
      </c>
      <c r="J96" s="314"/>
    </row>
    <row r="97" spans="1:10" ht="15">
      <c r="A97" s="194">
        <v>89</v>
      </c>
      <c r="B97" s="509">
        <v>41065</v>
      </c>
      <c r="C97" s="200" t="s">
        <v>710</v>
      </c>
      <c r="D97" s="322" t="s">
        <v>711</v>
      </c>
      <c r="E97" s="198" t="s">
        <v>506</v>
      </c>
      <c r="F97" s="325">
        <v>162.5</v>
      </c>
      <c r="G97" s="325">
        <v>162.5</v>
      </c>
      <c r="H97" s="299">
        <v>0</v>
      </c>
      <c r="I97" s="325">
        <v>162.5</v>
      </c>
      <c r="J97" s="314"/>
    </row>
    <row r="98" spans="1:10" ht="15">
      <c r="A98" s="194">
        <v>90</v>
      </c>
      <c r="B98" s="509">
        <v>41065</v>
      </c>
      <c r="C98" s="200" t="s">
        <v>712</v>
      </c>
      <c r="D98" s="322" t="s">
        <v>713</v>
      </c>
      <c r="E98" s="198" t="s">
        <v>506</v>
      </c>
      <c r="F98" s="325">
        <v>125</v>
      </c>
      <c r="G98" s="325">
        <v>125</v>
      </c>
      <c r="H98" s="299">
        <v>0</v>
      </c>
      <c r="I98" s="325">
        <v>125</v>
      </c>
      <c r="J98" s="314"/>
    </row>
    <row r="99" spans="1:10" ht="15">
      <c r="A99" s="194">
        <v>91</v>
      </c>
      <c r="B99" s="509">
        <v>41065</v>
      </c>
      <c r="C99" s="200" t="s">
        <v>714</v>
      </c>
      <c r="D99" s="322" t="s">
        <v>715</v>
      </c>
      <c r="E99" s="198" t="s">
        <v>506</v>
      </c>
      <c r="F99" s="325">
        <v>125</v>
      </c>
      <c r="G99" s="325">
        <v>125</v>
      </c>
      <c r="H99" s="299">
        <v>0</v>
      </c>
      <c r="I99" s="325">
        <v>125</v>
      </c>
      <c r="J99" s="314"/>
    </row>
    <row r="100" spans="1:10" ht="15">
      <c r="A100" s="194">
        <v>92</v>
      </c>
      <c r="B100" s="509">
        <v>41065</v>
      </c>
      <c r="C100" s="200" t="s">
        <v>716</v>
      </c>
      <c r="D100" s="322" t="s">
        <v>717</v>
      </c>
      <c r="E100" s="198" t="s">
        <v>506</v>
      </c>
      <c r="F100" s="325">
        <v>125</v>
      </c>
      <c r="G100" s="325">
        <v>125</v>
      </c>
      <c r="H100" s="299">
        <v>0</v>
      </c>
      <c r="I100" s="325">
        <v>125</v>
      </c>
      <c r="J100" s="314"/>
    </row>
    <row r="101" spans="1:10" ht="15">
      <c r="A101" s="194">
        <v>93</v>
      </c>
      <c r="B101" s="509">
        <v>41065</v>
      </c>
      <c r="C101" s="200" t="s">
        <v>718</v>
      </c>
      <c r="D101" s="322" t="s">
        <v>719</v>
      </c>
      <c r="E101" s="198" t="s">
        <v>506</v>
      </c>
      <c r="F101" s="325">
        <v>125</v>
      </c>
      <c r="G101" s="325">
        <v>125</v>
      </c>
      <c r="H101" s="299">
        <v>0</v>
      </c>
      <c r="I101" s="325">
        <v>125</v>
      </c>
      <c r="J101" s="314"/>
    </row>
    <row r="102" spans="1:10" ht="15">
      <c r="A102" s="194">
        <v>94</v>
      </c>
      <c r="B102" s="509">
        <v>41065</v>
      </c>
      <c r="C102" s="200" t="s">
        <v>720</v>
      </c>
      <c r="D102" s="322" t="s">
        <v>721</v>
      </c>
      <c r="E102" s="198" t="s">
        <v>506</v>
      </c>
      <c r="F102" s="325">
        <v>125</v>
      </c>
      <c r="G102" s="325">
        <v>125</v>
      </c>
      <c r="H102" s="299">
        <v>0</v>
      </c>
      <c r="I102" s="325">
        <v>125</v>
      </c>
      <c r="J102" s="314"/>
    </row>
    <row r="103" spans="1:10" ht="15">
      <c r="A103" s="194">
        <v>95</v>
      </c>
      <c r="B103" s="509">
        <v>41065</v>
      </c>
      <c r="C103" s="200" t="s">
        <v>722</v>
      </c>
      <c r="D103" s="322" t="s">
        <v>723</v>
      </c>
      <c r="E103" s="198" t="s">
        <v>506</v>
      </c>
      <c r="F103" s="325">
        <v>162.5</v>
      </c>
      <c r="G103" s="325">
        <v>162.5</v>
      </c>
      <c r="H103" s="299">
        <v>0</v>
      </c>
      <c r="I103" s="325">
        <v>162.5</v>
      </c>
      <c r="J103" s="314"/>
    </row>
    <row r="104" spans="1:10" ht="15">
      <c r="A104" s="194">
        <v>96</v>
      </c>
      <c r="B104" s="509">
        <v>41065</v>
      </c>
      <c r="C104" s="200" t="s">
        <v>724</v>
      </c>
      <c r="D104" s="322" t="s">
        <v>725</v>
      </c>
      <c r="E104" s="198" t="s">
        <v>506</v>
      </c>
      <c r="F104" s="325">
        <v>162.5</v>
      </c>
      <c r="G104" s="325">
        <v>162.5</v>
      </c>
      <c r="H104" s="299">
        <v>0</v>
      </c>
      <c r="I104" s="325">
        <v>162.5</v>
      </c>
      <c r="J104" s="314"/>
    </row>
    <row r="105" spans="1:10" ht="15">
      <c r="A105" s="194">
        <v>97</v>
      </c>
      <c r="B105" s="509">
        <v>41065</v>
      </c>
      <c r="C105" s="200" t="s">
        <v>726</v>
      </c>
      <c r="D105" s="322" t="s">
        <v>727</v>
      </c>
      <c r="E105" s="198" t="s">
        <v>506</v>
      </c>
      <c r="F105" s="325">
        <v>125</v>
      </c>
      <c r="G105" s="325">
        <v>125</v>
      </c>
      <c r="H105" s="299">
        <v>0</v>
      </c>
      <c r="I105" s="325">
        <v>125</v>
      </c>
      <c r="J105" s="314"/>
    </row>
    <row r="106" spans="1:10" ht="15">
      <c r="A106" s="194">
        <v>98</v>
      </c>
      <c r="B106" s="509">
        <v>41065</v>
      </c>
      <c r="C106" s="200" t="s">
        <v>728</v>
      </c>
      <c r="D106" s="322" t="s">
        <v>729</v>
      </c>
      <c r="E106" s="198" t="s">
        <v>506</v>
      </c>
      <c r="F106" s="325">
        <v>125</v>
      </c>
      <c r="G106" s="325">
        <v>125</v>
      </c>
      <c r="H106" s="299">
        <v>0</v>
      </c>
      <c r="I106" s="325">
        <v>125</v>
      </c>
      <c r="J106" s="314"/>
    </row>
    <row r="107" spans="1:10" ht="15">
      <c r="A107" s="194">
        <v>99</v>
      </c>
      <c r="B107" s="509">
        <v>41065</v>
      </c>
      <c r="C107" s="200" t="s">
        <v>730</v>
      </c>
      <c r="D107" s="322" t="s">
        <v>731</v>
      </c>
      <c r="E107" s="198" t="s">
        <v>506</v>
      </c>
      <c r="F107" s="325">
        <v>125</v>
      </c>
      <c r="G107" s="325">
        <v>125</v>
      </c>
      <c r="H107" s="299">
        <v>0</v>
      </c>
      <c r="I107" s="325">
        <v>125</v>
      </c>
      <c r="J107" s="314"/>
    </row>
    <row r="108" spans="1:10" ht="15">
      <c r="A108" s="194">
        <v>100</v>
      </c>
      <c r="B108" s="509">
        <v>41065</v>
      </c>
      <c r="C108" s="200" t="s">
        <v>732</v>
      </c>
      <c r="D108" s="322" t="s">
        <v>733</v>
      </c>
      <c r="E108" s="198" t="s">
        <v>506</v>
      </c>
      <c r="F108" s="325">
        <v>125</v>
      </c>
      <c r="G108" s="325">
        <v>125</v>
      </c>
      <c r="H108" s="299">
        <v>0</v>
      </c>
      <c r="I108" s="325">
        <v>125</v>
      </c>
      <c r="J108" s="314"/>
    </row>
    <row r="109" spans="1:10" ht="15">
      <c r="A109" s="194">
        <v>101</v>
      </c>
      <c r="B109" s="509">
        <v>41065</v>
      </c>
      <c r="C109" s="200" t="s">
        <v>734</v>
      </c>
      <c r="D109" s="322" t="s">
        <v>735</v>
      </c>
      <c r="E109" s="198" t="s">
        <v>506</v>
      </c>
      <c r="F109" s="325">
        <v>162.5</v>
      </c>
      <c r="G109" s="325">
        <v>162.5</v>
      </c>
      <c r="H109" s="299">
        <v>0</v>
      </c>
      <c r="I109" s="325">
        <v>162.5</v>
      </c>
      <c r="J109" s="314"/>
    </row>
    <row r="110" spans="1:10" ht="15">
      <c r="A110" s="194">
        <v>102</v>
      </c>
      <c r="B110" s="509">
        <v>41065</v>
      </c>
      <c r="C110" s="200" t="s">
        <v>736</v>
      </c>
      <c r="D110" s="322" t="s">
        <v>737</v>
      </c>
      <c r="E110" s="198" t="s">
        <v>506</v>
      </c>
      <c r="F110" s="325">
        <v>162.5</v>
      </c>
      <c r="G110" s="325">
        <v>162.5</v>
      </c>
      <c r="H110" s="299">
        <v>0</v>
      </c>
      <c r="I110" s="325">
        <v>162.5</v>
      </c>
      <c r="J110" s="314"/>
    </row>
    <row r="111" spans="1:10" ht="15">
      <c r="A111" s="194">
        <v>103</v>
      </c>
      <c r="B111" s="509">
        <v>41065</v>
      </c>
      <c r="C111" s="200" t="s">
        <v>738</v>
      </c>
      <c r="D111" s="322" t="s">
        <v>739</v>
      </c>
      <c r="E111" s="198" t="s">
        <v>506</v>
      </c>
      <c r="F111" s="325">
        <v>125</v>
      </c>
      <c r="G111" s="325">
        <v>125</v>
      </c>
      <c r="H111" s="299">
        <v>0</v>
      </c>
      <c r="I111" s="325">
        <v>125</v>
      </c>
      <c r="J111" s="314"/>
    </row>
    <row r="112" spans="1:10" ht="15">
      <c r="A112" s="194">
        <v>104</v>
      </c>
      <c r="B112" s="509">
        <v>41065</v>
      </c>
      <c r="C112" s="200" t="s">
        <v>740</v>
      </c>
      <c r="D112" s="322" t="s">
        <v>741</v>
      </c>
      <c r="E112" s="198" t="s">
        <v>506</v>
      </c>
      <c r="F112" s="325">
        <v>162.5</v>
      </c>
      <c r="G112" s="325">
        <v>162.5</v>
      </c>
      <c r="H112" s="299">
        <v>0</v>
      </c>
      <c r="I112" s="325">
        <v>162.5</v>
      </c>
      <c r="J112" s="314"/>
    </row>
    <row r="113" spans="1:10" ht="15">
      <c r="A113" s="194">
        <v>105</v>
      </c>
      <c r="B113" s="509">
        <v>41065</v>
      </c>
      <c r="C113" s="200" t="s">
        <v>742</v>
      </c>
      <c r="D113" s="322" t="s">
        <v>743</v>
      </c>
      <c r="E113" s="198" t="s">
        <v>506</v>
      </c>
      <c r="F113" s="325">
        <v>162.5</v>
      </c>
      <c r="G113" s="325">
        <v>162.5</v>
      </c>
      <c r="H113" s="299">
        <v>0</v>
      </c>
      <c r="I113" s="325">
        <v>162.5</v>
      </c>
      <c r="J113" s="314"/>
    </row>
    <row r="114" spans="1:10" ht="15">
      <c r="A114" s="194">
        <v>106</v>
      </c>
      <c r="B114" s="509">
        <v>41065</v>
      </c>
      <c r="C114" s="200" t="s">
        <v>744</v>
      </c>
      <c r="D114" s="322" t="s">
        <v>745</v>
      </c>
      <c r="E114" s="198" t="s">
        <v>506</v>
      </c>
      <c r="F114" s="325">
        <v>162.5</v>
      </c>
      <c r="G114" s="325">
        <v>162.5</v>
      </c>
      <c r="H114" s="299">
        <v>0</v>
      </c>
      <c r="I114" s="325">
        <v>162.5</v>
      </c>
      <c r="J114" s="314"/>
    </row>
    <row r="115" spans="1:10" ht="15">
      <c r="A115" s="194">
        <v>107</v>
      </c>
      <c r="B115" s="509">
        <v>41065</v>
      </c>
      <c r="C115" s="200" t="s">
        <v>746</v>
      </c>
      <c r="D115" s="322" t="s">
        <v>747</v>
      </c>
      <c r="E115" s="198" t="s">
        <v>506</v>
      </c>
      <c r="F115" s="325">
        <v>162.5</v>
      </c>
      <c r="G115" s="325">
        <v>162.5</v>
      </c>
      <c r="H115" s="299">
        <v>0</v>
      </c>
      <c r="I115" s="325">
        <v>162.5</v>
      </c>
      <c r="J115" s="314"/>
    </row>
    <row r="116" spans="1:10" ht="15">
      <c r="A116" s="194">
        <v>108</v>
      </c>
      <c r="B116" s="509">
        <v>41065</v>
      </c>
      <c r="C116" s="200" t="s">
        <v>748</v>
      </c>
      <c r="D116" s="322" t="s">
        <v>749</v>
      </c>
      <c r="E116" s="198" t="s">
        <v>506</v>
      </c>
      <c r="F116" s="325">
        <v>125</v>
      </c>
      <c r="G116" s="325">
        <v>125</v>
      </c>
      <c r="H116" s="299">
        <v>0</v>
      </c>
      <c r="I116" s="325">
        <v>125</v>
      </c>
      <c r="J116" s="314"/>
    </row>
    <row r="117" spans="1:10" ht="15">
      <c r="A117" s="194">
        <v>109</v>
      </c>
      <c r="B117" s="509">
        <v>41065</v>
      </c>
      <c r="C117" s="200" t="s">
        <v>750</v>
      </c>
      <c r="D117" s="322" t="s">
        <v>751</v>
      </c>
      <c r="E117" s="198" t="s">
        <v>506</v>
      </c>
      <c r="F117" s="325">
        <v>125</v>
      </c>
      <c r="G117" s="325">
        <v>125</v>
      </c>
      <c r="H117" s="299">
        <v>0</v>
      </c>
      <c r="I117" s="325">
        <v>125</v>
      </c>
      <c r="J117" s="314"/>
    </row>
    <row r="118" spans="1:10" ht="15">
      <c r="A118" s="194">
        <v>110</v>
      </c>
      <c r="B118" s="509">
        <v>41065</v>
      </c>
      <c r="C118" s="200" t="s">
        <v>752</v>
      </c>
      <c r="D118" s="322" t="s">
        <v>753</v>
      </c>
      <c r="E118" s="198" t="s">
        <v>506</v>
      </c>
      <c r="F118" s="325">
        <v>162.5</v>
      </c>
      <c r="G118" s="325">
        <v>162.5</v>
      </c>
      <c r="H118" s="299">
        <v>0</v>
      </c>
      <c r="I118" s="325">
        <v>162.5</v>
      </c>
      <c r="J118" s="314"/>
    </row>
    <row r="119" spans="1:10" ht="15">
      <c r="A119" s="194">
        <v>111</v>
      </c>
      <c r="B119" s="509">
        <v>41065</v>
      </c>
      <c r="C119" s="200" t="s">
        <v>754</v>
      </c>
      <c r="D119" s="322" t="s">
        <v>755</v>
      </c>
      <c r="E119" s="198" t="s">
        <v>506</v>
      </c>
      <c r="F119" s="325">
        <v>125</v>
      </c>
      <c r="G119" s="325">
        <v>125</v>
      </c>
      <c r="H119" s="299">
        <v>0</v>
      </c>
      <c r="I119" s="325">
        <v>125</v>
      </c>
      <c r="J119" s="314"/>
    </row>
    <row r="120" spans="1:10" ht="15">
      <c r="A120" s="194">
        <v>112</v>
      </c>
      <c r="B120" s="509">
        <v>41065</v>
      </c>
      <c r="C120" s="200" t="s">
        <v>756</v>
      </c>
      <c r="D120" s="322" t="s">
        <v>757</v>
      </c>
      <c r="E120" s="198" t="s">
        <v>506</v>
      </c>
      <c r="F120" s="325">
        <v>125</v>
      </c>
      <c r="G120" s="325">
        <v>125</v>
      </c>
      <c r="H120" s="299">
        <v>0</v>
      </c>
      <c r="I120" s="325">
        <v>125</v>
      </c>
      <c r="J120" s="314"/>
    </row>
    <row r="121" spans="1:10" ht="15">
      <c r="A121" s="194">
        <v>113</v>
      </c>
      <c r="B121" s="509">
        <v>41065</v>
      </c>
      <c r="C121" s="200" t="s">
        <v>758</v>
      </c>
      <c r="D121" s="322" t="s">
        <v>759</v>
      </c>
      <c r="E121" s="198" t="s">
        <v>506</v>
      </c>
      <c r="F121" s="325">
        <v>125</v>
      </c>
      <c r="G121" s="325">
        <v>125</v>
      </c>
      <c r="H121" s="299">
        <v>0</v>
      </c>
      <c r="I121" s="325">
        <v>125</v>
      </c>
      <c r="J121" s="314"/>
    </row>
    <row r="122" spans="1:10" ht="15">
      <c r="A122" s="194">
        <v>114</v>
      </c>
      <c r="B122" s="509">
        <v>41065</v>
      </c>
      <c r="C122" s="200" t="s">
        <v>760</v>
      </c>
      <c r="D122" s="322" t="s">
        <v>761</v>
      </c>
      <c r="E122" s="198" t="s">
        <v>506</v>
      </c>
      <c r="F122" s="325">
        <v>162.5</v>
      </c>
      <c r="G122" s="325">
        <v>162.5</v>
      </c>
      <c r="H122" s="299">
        <v>0</v>
      </c>
      <c r="I122" s="325">
        <v>162.5</v>
      </c>
      <c r="J122" s="314"/>
    </row>
    <row r="123" spans="1:10" ht="15">
      <c r="A123" s="194">
        <v>115</v>
      </c>
      <c r="B123" s="509">
        <v>41065</v>
      </c>
      <c r="C123" s="200" t="s">
        <v>762</v>
      </c>
      <c r="D123" s="322" t="s">
        <v>763</v>
      </c>
      <c r="E123" s="198" t="s">
        <v>506</v>
      </c>
      <c r="F123" s="325">
        <v>125</v>
      </c>
      <c r="G123" s="325">
        <v>125</v>
      </c>
      <c r="H123" s="299">
        <v>0</v>
      </c>
      <c r="I123" s="325">
        <v>125</v>
      </c>
      <c r="J123" s="314"/>
    </row>
    <row r="124" spans="1:10" ht="15">
      <c r="A124" s="194">
        <v>116</v>
      </c>
      <c r="B124" s="509">
        <v>41065</v>
      </c>
      <c r="C124" s="200" t="s">
        <v>764</v>
      </c>
      <c r="D124" s="322" t="s">
        <v>765</v>
      </c>
      <c r="E124" s="198" t="s">
        <v>506</v>
      </c>
      <c r="F124" s="325">
        <v>125</v>
      </c>
      <c r="G124" s="325">
        <v>125</v>
      </c>
      <c r="H124" s="299">
        <v>0</v>
      </c>
      <c r="I124" s="325">
        <v>125</v>
      </c>
      <c r="J124" s="314"/>
    </row>
    <row r="125" spans="1:10" ht="15">
      <c r="A125" s="194">
        <v>117</v>
      </c>
      <c r="B125" s="509">
        <v>41065</v>
      </c>
      <c r="C125" s="200" t="s">
        <v>766</v>
      </c>
      <c r="D125" s="322" t="s">
        <v>767</v>
      </c>
      <c r="E125" s="198" t="s">
        <v>506</v>
      </c>
      <c r="F125" s="325">
        <v>162.5</v>
      </c>
      <c r="G125" s="325">
        <v>162.5</v>
      </c>
      <c r="H125" s="299">
        <v>0</v>
      </c>
      <c r="I125" s="325">
        <v>162.5</v>
      </c>
      <c r="J125" s="314"/>
    </row>
    <row r="126" spans="1:10" ht="15">
      <c r="A126" s="194">
        <v>118</v>
      </c>
      <c r="B126" s="509">
        <v>41065</v>
      </c>
      <c r="C126" s="200" t="s">
        <v>768</v>
      </c>
      <c r="D126" s="322" t="s">
        <v>769</v>
      </c>
      <c r="E126" s="198" t="s">
        <v>506</v>
      </c>
      <c r="F126" s="325">
        <v>125</v>
      </c>
      <c r="G126" s="325">
        <v>125</v>
      </c>
      <c r="H126" s="299">
        <v>0</v>
      </c>
      <c r="I126" s="325">
        <v>125</v>
      </c>
      <c r="J126" s="314"/>
    </row>
    <row r="127" spans="1:10" ht="15">
      <c r="A127" s="194">
        <v>119</v>
      </c>
      <c r="B127" s="509">
        <v>41065</v>
      </c>
      <c r="C127" s="200" t="s">
        <v>770</v>
      </c>
      <c r="D127" s="322" t="s">
        <v>771</v>
      </c>
      <c r="E127" s="198" t="s">
        <v>506</v>
      </c>
      <c r="F127" s="325">
        <v>125</v>
      </c>
      <c r="G127" s="325">
        <v>125</v>
      </c>
      <c r="H127" s="299">
        <v>0</v>
      </c>
      <c r="I127" s="325">
        <v>125</v>
      </c>
      <c r="J127" s="314"/>
    </row>
    <row r="128" spans="1:10" ht="15">
      <c r="A128" s="194">
        <v>120</v>
      </c>
      <c r="B128" s="509">
        <v>41065</v>
      </c>
      <c r="C128" s="200" t="s">
        <v>772</v>
      </c>
      <c r="D128" s="322" t="s">
        <v>773</v>
      </c>
      <c r="E128" s="198" t="s">
        <v>506</v>
      </c>
      <c r="F128" s="325">
        <v>162.5</v>
      </c>
      <c r="G128" s="325">
        <v>162.5</v>
      </c>
      <c r="H128" s="299">
        <v>0</v>
      </c>
      <c r="I128" s="325">
        <v>162.5</v>
      </c>
      <c r="J128" s="314"/>
    </row>
    <row r="129" spans="1:10" ht="15">
      <c r="A129" s="194">
        <v>121</v>
      </c>
      <c r="B129" s="509">
        <v>41065</v>
      </c>
      <c r="C129" s="200" t="s">
        <v>774</v>
      </c>
      <c r="D129" s="322" t="s">
        <v>775</v>
      </c>
      <c r="E129" s="198" t="s">
        <v>506</v>
      </c>
      <c r="F129" s="325">
        <v>125</v>
      </c>
      <c r="G129" s="325">
        <v>125</v>
      </c>
      <c r="H129" s="299">
        <v>0</v>
      </c>
      <c r="I129" s="325">
        <v>125</v>
      </c>
      <c r="J129" s="314"/>
    </row>
    <row r="130" spans="1:10" ht="15">
      <c r="A130" s="194">
        <v>122</v>
      </c>
      <c r="B130" s="509">
        <v>41065</v>
      </c>
      <c r="C130" s="200" t="s">
        <v>776</v>
      </c>
      <c r="D130" s="322" t="s">
        <v>777</v>
      </c>
      <c r="E130" s="198" t="s">
        <v>506</v>
      </c>
      <c r="F130" s="325">
        <v>125</v>
      </c>
      <c r="G130" s="325">
        <v>125</v>
      </c>
      <c r="H130" s="299">
        <v>0</v>
      </c>
      <c r="I130" s="325">
        <v>125</v>
      </c>
      <c r="J130" s="314"/>
    </row>
    <row r="131" spans="1:10" ht="15">
      <c r="A131" s="194">
        <v>123</v>
      </c>
      <c r="B131" s="509">
        <v>41065</v>
      </c>
      <c r="C131" s="200" t="s">
        <v>778</v>
      </c>
      <c r="D131" s="322" t="s">
        <v>779</v>
      </c>
      <c r="E131" s="198" t="s">
        <v>506</v>
      </c>
      <c r="F131" s="325">
        <v>162.5</v>
      </c>
      <c r="G131" s="325">
        <v>162.5</v>
      </c>
      <c r="H131" s="299">
        <v>0</v>
      </c>
      <c r="I131" s="325">
        <v>162.5</v>
      </c>
      <c r="J131" s="314"/>
    </row>
    <row r="132" spans="1:10" ht="15">
      <c r="A132" s="194">
        <v>124</v>
      </c>
      <c r="B132" s="509">
        <v>41065</v>
      </c>
      <c r="C132" s="200" t="s">
        <v>780</v>
      </c>
      <c r="D132" s="322" t="s">
        <v>781</v>
      </c>
      <c r="E132" s="198" t="s">
        <v>506</v>
      </c>
      <c r="F132" s="325">
        <v>162.5</v>
      </c>
      <c r="G132" s="325">
        <v>162.5</v>
      </c>
      <c r="H132" s="299">
        <v>0</v>
      </c>
      <c r="I132" s="325">
        <v>162.5</v>
      </c>
      <c r="J132" s="314"/>
    </row>
    <row r="133" spans="1:10" ht="15">
      <c r="A133" s="194">
        <v>125</v>
      </c>
      <c r="B133" s="509">
        <v>41065</v>
      </c>
      <c r="C133" s="200" t="s">
        <v>782</v>
      </c>
      <c r="D133" s="322" t="s">
        <v>783</v>
      </c>
      <c r="E133" s="198" t="s">
        <v>506</v>
      </c>
      <c r="F133" s="325">
        <v>162.5</v>
      </c>
      <c r="G133" s="325">
        <v>162.5</v>
      </c>
      <c r="H133" s="299">
        <v>0</v>
      </c>
      <c r="I133" s="325">
        <v>162.5</v>
      </c>
      <c r="J133" s="314"/>
    </row>
    <row r="134" spans="1:10" ht="15">
      <c r="A134" s="194">
        <v>126</v>
      </c>
      <c r="B134" s="509">
        <v>41065</v>
      </c>
      <c r="C134" s="200" t="s">
        <v>784</v>
      </c>
      <c r="D134" s="322" t="s">
        <v>785</v>
      </c>
      <c r="E134" s="198" t="s">
        <v>506</v>
      </c>
      <c r="F134" s="325">
        <v>162.5</v>
      </c>
      <c r="G134" s="325">
        <v>162.5</v>
      </c>
      <c r="H134" s="299">
        <v>0</v>
      </c>
      <c r="I134" s="325">
        <v>162.5</v>
      </c>
      <c r="J134" s="314"/>
    </row>
    <row r="135" spans="1:10" ht="15">
      <c r="A135" s="194">
        <v>127</v>
      </c>
      <c r="B135" s="509">
        <v>41065</v>
      </c>
      <c r="C135" s="200" t="s">
        <v>786</v>
      </c>
      <c r="D135" s="322" t="s">
        <v>787</v>
      </c>
      <c r="E135" s="198" t="s">
        <v>506</v>
      </c>
      <c r="F135" s="325">
        <v>162.5</v>
      </c>
      <c r="G135" s="325">
        <v>162.5</v>
      </c>
      <c r="H135" s="299">
        <v>0</v>
      </c>
      <c r="I135" s="325">
        <v>162.5</v>
      </c>
      <c r="J135" s="314"/>
    </row>
    <row r="136" spans="1:10" ht="15">
      <c r="A136" s="194">
        <v>128</v>
      </c>
      <c r="B136" s="509">
        <v>41065</v>
      </c>
      <c r="C136" s="200" t="s">
        <v>788</v>
      </c>
      <c r="D136" s="322" t="s">
        <v>789</v>
      </c>
      <c r="E136" s="198" t="s">
        <v>506</v>
      </c>
      <c r="F136" s="325">
        <v>125</v>
      </c>
      <c r="G136" s="325">
        <v>125</v>
      </c>
      <c r="H136" s="299">
        <v>0</v>
      </c>
      <c r="I136" s="325">
        <v>125</v>
      </c>
      <c r="J136" s="314"/>
    </row>
    <row r="137" spans="1:10" ht="15">
      <c r="A137" s="194">
        <v>129</v>
      </c>
      <c r="B137" s="509">
        <v>41065</v>
      </c>
      <c r="C137" s="200" t="s">
        <v>790</v>
      </c>
      <c r="D137" s="322" t="s">
        <v>791</v>
      </c>
      <c r="E137" s="198" t="s">
        <v>506</v>
      </c>
      <c r="F137" s="325">
        <v>125</v>
      </c>
      <c r="G137" s="325">
        <v>125</v>
      </c>
      <c r="H137" s="299">
        <v>0</v>
      </c>
      <c r="I137" s="325">
        <v>125</v>
      </c>
      <c r="J137" s="314"/>
    </row>
    <row r="138" spans="1:10" ht="15">
      <c r="A138" s="194">
        <v>130</v>
      </c>
      <c r="B138" s="509">
        <v>41065</v>
      </c>
      <c r="C138" s="200" t="s">
        <v>792</v>
      </c>
      <c r="D138" s="322" t="s">
        <v>793</v>
      </c>
      <c r="E138" s="198" t="s">
        <v>506</v>
      </c>
      <c r="F138" s="325">
        <v>125</v>
      </c>
      <c r="G138" s="325">
        <v>125</v>
      </c>
      <c r="H138" s="299">
        <v>0</v>
      </c>
      <c r="I138" s="325">
        <v>125</v>
      </c>
      <c r="J138" s="314"/>
    </row>
    <row r="139" spans="1:10" ht="15">
      <c r="A139" s="194">
        <v>131</v>
      </c>
      <c r="B139" s="509">
        <v>41065</v>
      </c>
      <c r="C139" s="200" t="s">
        <v>794</v>
      </c>
      <c r="D139" s="322" t="s">
        <v>795</v>
      </c>
      <c r="E139" s="198" t="s">
        <v>506</v>
      </c>
      <c r="F139" s="325">
        <v>162.5</v>
      </c>
      <c r="G139" s="325">
        <v>162.5</v>
      </c>
      <c r="H139" s="299">
        <v>0</v>
      </c>
      <c r="I139" s="325">
        <v>162.5</v>
      </c>
      <c r="J139" s="314"/>
    </row>
    <row r="140" spans="1:10" ht="15">
      <c r="A140" s="194">
        <v>132</v>
      </c>
      <c r="B140" s="509">
        <v>41065</v>
      </c>
      <c r="C140" s="200" t="s">
        <v>796</v>
      </c>
      <c r="D140" s="322" t="s">
        <v>797</v>
      </c>
      <c r="E140" s="198" t="s">
        <v>506</v>
      </c>
      <c r="F140" s="325">
        <v>125</v>
      </c>
      <c r="G140" s="325">
        <v>125</v>
      </c>
      <c r="H140" s="299">
        <v>0</v>
      </c>
      <c r="I140" s="325">
        <v>125</v>
      </c>
      <c r="J140" s="314"/>
    </row>
    <row r="141" spans="1:10" ht="15">
      <c r="A141" s="194">
        <v>133</v>
      </c>
      <c r="B141" s="509">
        <v>41065</v>
      </c>
      <c r="C141" s="200" t="s">
        <v>798</v>
      </c>
      <c r="D141" s="322" t="s">
        <v>799</v>
      </c>
      <c r="E141" s="198" t="s">
        <v>506</v>
      </c>
      <c r="F141" s="325">
        <v>162.5</v>
      </c>
      <c r="G141" s="325">
        <v>162.5</v>
      </c>
      <c r="H141" s="299">
        <v>0</v>
      </c>
      <c r="I141" s="325">
        <v>162.5</v>
      </c>
      <c r="J141" s="314"/>
    </row>
    <row r="142" spans="1:10" ht="15">
      <c r="A142" s="194">
        <v>134</v>
      </c>
      <c r="B142" s="509">
        <v>41065</v>
      </c>
      <c r="C142" s="200" t="s">
        <v>800</v>
      </c>
      <c r="D142" s="322" t="s">
        <v>801</v>
      </c>
      <c r="E142" s="198" t="s">
        <v>506</v>
      </c>
      <c r="F142" s="325">
        <v>162.5</v>
      </c>
      <c r="G142" s="325">
        <v>162.5</v>
      </c>
      <c r="H142" s="299">
        <v>0</v>
      </c>
      <c r="I142" s="325">
        <v>162.5</v>
      </c>
      <c r="J142" s="314"/>
    </row>
    <row r="143" spans="1:10" ht="15">
      <c r="A143" s="194">
        <v>135</v>
      </c>
      <c r="B143" s="509">
        <v>41065</v>
      </c>
      <c r="C143" s="200" t="s">
        <v>802</v>
      </c>
      <c r="D143" s="322" t="s">
        <v>803</v>
      </c>
      <c r="E143" s="198" t="s">
        <v>506</v>
      </c>
      <c r="F143" s="325">
        <v>125</v>
      </c>
      <c r="G143" s="325">
        <v>125</v>
      </c>
      <c r="H143" s="299">
        <v>0</v>
      </c>
      <c r="I143" s="325">
        <v>125</v>
      </c>
      <c r="J143" s="314"/>
    </row>
    <row r="144" spans="1:10" ht="15">
      <c r="A144" s="194">
        <v>136</v>
      </c>
      <c r="B144" s="509">
        <v>41065</v>
      </c>
      <c r="C144" s="200" t="s">
        <v>804</v>
      </c>
      <c r="D144" s="322" t="s">
        <v>805</v>
      </c>
      <c r="E144" s="198" t="s">
        <v>506</v>
      </c>
      <c r="F144" s="325">
        <v>125</v>
      </c>
      <c r="G144" s="325">
        <v>125</v>
      </c>
      <c r="H144" s="299">
        <v>0</v>
      </c>
      <c r="I144" s="325">
        <v>125</v>
      </c>
      <c r="J144" s="314"/>
    </row>
    <row r="145" spans="1:10" ht="15">
      <c r="A145" s="194">
        <v>137</v>
      </c>
      <c r="B145" s="509">
        <v>41083</v>
      </c>
      <c r="C145" s="200" t="s">
        <v>806</v>
      </c>
      <c r="D145" s="322" t="s">
        <v>807</v>
      </c>
      <c r="E145" s="198" t="s">
        <v>506</v>
      </c>
      <c r="F145" s="325">
        <v>125</v>
      </c>
      <c r="G145" s="325">
        <v>125</v>
      </c>
      <c r="H145" s="299">
        <v>0</v>
      </c>
      <c r="I145" s="325">
        <v>125</v>
      </c>
      <c r="J145" s="314"/>
    </row>
    <row r="146" spans="1:10" ht="15">
      <c r="A146" s="194">
        <v>138</v>
      </c>
      <c r="B146" s="509">
        <v>41085</v>
      </c>
      <c r="C146" s="200" t="s">
        <v>808</v>
      </c>
      <c r="D146" s="322" t="s">
        <v>809</v>
      </c>
      <c r="E146" s="198" t="s">
        <v>506</v>
      </c>
      <c r="F146" s="325">
        <v>125</v>
      </c>
      <c r="G146" s="325">
        <v>125</v>
      </c>
      <c r="H146" s="299">
        <v>0</v>
      </c>
      <c r="I146" s="325">
        <v>125</v>
      </c>
      <c r="J146" s="314"/>
    </row>
    <row r="147" spans="1:10" ht="15">
      <c r="A147" s="194">
        <v>139</v>
      </c>
      <c r="B147" s="509">
        <v>41083</v>
      </c>
      <c r="C147" s="200" t="s">
        <v>810</v>
      </c>
      <c r="D147" s="322" t="s">
        <v>811</v>
      </c>
      <c r="E147" s="198" t="s">
        <v>506</v>
      </c>
      <c r="F147" s="325">
        <v>125</v>
      </c>
      <c r="G147" s="325">
        <v>125</v>
      </c>
      <c r="H147" s="299">
        <v>0</v>
      </c>
      <c r="I147" s="325">
        <v>125</v>
      </c>
      <c r="J147" s="314"/>
    </row>
    <row r="148" spans="1:10" ht="15">
      <c r="A148" s="194">
        <v>140</v>
      </c>
      <c r="B148" s="509">
        <v>41083</v>
      </c>
      <c r="C148" s="200" t="s">
        <v>812</v>
      </c>
      <c r="D148" s="322" t="s">
        <v>813</v>
      </c>
      <c r="E148" s="198" t="s">
        <v>506</v>
      </c>
      <c r="F148" s="325">
        <v>162.5</v>
      </c>
      <c r="G148" s="325">
        <v>162.5</v>
      </c>
      <c r="H148" s="299">
        <v>0</v>
      </c>
      <c r="I148" s="325">
        <v>162.5</v>
      </c>
      <c r="J148" s="314"/>
    </row>
    <row r="149" spans="1:10" ht="15">
      <c r="A149" s="194">
        <v>141</v>
      </c>
      <c r="B149" s="509">
        <v>41083</v>
      </c>
      <c r="C149" s="200" t="s">
        <v>814</v>
      </c>
      <c r="D149" s="322" t="s">
        <v>815</v>
      </c>
      <c r="E149" s="198" t="s">
        <v>506</v>
      </c>
      <c r="F149" s="325">
        <v>162.5</v>
      </c>
      <c r="G149" s="325">
        <v>162.5</v>
      </c>
      <c r="H149" s="299">
        <v>0</v>
      </c>
      <c r="I149" s="325">
        <v>162.5</v>
      </c>
      <c r="J149" s="314"/>
    </row>
    <row r="150" spans="1:10" ht="15">
      <c r="A150" s="194">
        <v>142</v>
      </c>
      <c r="B150" s="509">
        <v>41083</v>
      </c>
      <c r="C150" s="200" t="s">
        <v>816</v>
      </c>
      <c r="D150" s="322" t="s">
        <v>817</v>
      </c>
      <c r="E150" s="198" t="s">
        <v>506</v>
      </c>
      <c r="F150" s="325">
        <v>125</v>
      </c>
      <c r="G150" s="325">
        <v>125</v>
      </c>
      <c r="H150" s="299">
        <v>0</v>
      </c>
      <c r="I150" s="325">
        <v>125</v>
      </c>
      <c r="J150" s="314"/>
    </row>
    <row r="151" spans="1:10" ht="15">
      <c r="A151" s="194">
        <v>143</v>
      </c>
      <c r="B151" s="509">
        <v>41083</v>
      </c>
      <c r="C151" s="200" t="s">
        <v>818</v>
      </c>
      <c r="D151" s="322" t="s">
        <v>819</v>
      </c>
      <c r="E151" s="198" t="s">
        <v>506</v>
      </c>
      <c r="F151" s="325">
        <v>125</v>
      </c>
      <c r="G151" s="325">
        <v>125</v>
      </c>
      <c r="H151" s="299">
        <v>0</v>
      </c>
      <c r="I151" s="325">
        <v>125</v>
      </c>
      <c r="J151" s="314"/>
    </row>
    <row r="152" spans="1:10" ht="15">
      <c r="A152" s="194">
        <v>144</v>
      </c>
      <c r="B152" s="509">
        <v>41083</v>
      </c>
      <c r="C152" s="200" t="s">
        <v>820</v>
      </c>
      <c r="D152" s="322" t="s">
        <v>821</v>
      </c>
      <c r="E152" s="198" t="s">
        <v>506</v>
      </c>
      <c r="F152" s="325">
        <v>162.5</v>
      </c>
      <c r="G152" s="325">
        <v>162.5</v>
      </c>
      <c r="H152" s="299">
        <v>0</v>
      </c>
      <c r="I152" s="325">
        <v>162.5</v>
      </c>
      <c r="J152" s="314"/>
    </row>
    <row r="153" spans="1:10" ht="15">
      <c r="A153" s="194">
        <v>145</v>
      </c>
      <c r="B153" s="509">
        <v>41083</v>
      </c>
      <c r="C153" s="200" t="s">
        <v>822</v>
      </c>
      <c r="D153" s="322" t="s">
        <v>823</v>
      </c>
      <c r="E153" s="198" t="s">
        <v>506</v>
      </c>
      <c r="F153" s="325">
        <v>100</v>
      </c>
      <c r="G153" s="325">
        <v>100</v>
      </c>
      <c r="H153" s="299">
        <v>0</v>
      </c>
      <c r="I153" s="325">
        <v>100</v>
      </c>
      <c r="J153" s="314"/>
    </row>
    <row r="154" spans="1:10" ht="15">
      <c r="A154" s="194">
        <v>146</v>
      </c>
      <c r="B154" s="509">
        <v>41083</v>
      </c>
      <c r="C154" s="200" t="s">
        <v>824</v>
      </c>
      <c r="D154" s="322" t="s">
        <v>825</v>
      </c>
      <c r="E154" s="198" t="s">
        <v>506</v>
      </c>
      <c r="F154" s="325">
        <v>125</v>
      </c>
      <c r="G154" s="325">
        <v>125</v>
      </c>
      <c r="H154" s="299">
        <v>0</v>
      </c>
      <c r="I154" s="325">
        <v>125</v>
      </c>
      <c r="J154" s="314"/>
    </row>
    <row r="155" spans="1:10" ht="15">
      <c r="A155" s="194">
        <v>147</v>
      </c>
      <c r="B155" s="509">
        <v>41083</v>
      </c>
      <c r="C155" s="200" t="s">
        <v>826</v>
      </c>
      <c r="D155" s="322" t="s">
        <v>827</v>
      </c>
      <c r="E155" s="198" t="s">
        <v>506</v>
      </c>
      <c r="F155" s="325">
        <v>100</v>
      </c>
      <c r="G155" s="325">
        <v>100</v>
      </c>
      <c r="H155" s="299">
        <v>0</v>
      </c>
      <c r="I155" s="325">
        <v>100</v>
      </c>
      <c r="J155" s="314"/>
    </row>
    <row r="156" spans="1:10" ht="15">
      <c r="A156" s="194">
        <v>148</v>
      </c>
      <c r="B156" s="509">
        <v>41083</v>
      </c>
      <c r="C156" s="200" t="s">
        <v>828</v>
      </c>
      <c r="D156" s="322" t="s">
        <v>829</v>
      </c>
      <c r="E156" s="198" t="s">
        <v>506</v>
      </c>
      <c r="F156" s="325">
        <v>162.5</v>
      </c>
      <c r="G156" s="325">
        <v>162.5</v>
      </c>
      <c r="H156" s="299">
        <v>0</v>
      </c>
      <c r="I156" s="325">
        <v>162.5</v>
      </c>
      <c r="J156" s="314"/>
    </row>
    <row r="157" spans="1:10" ht="15">
      <c r="A157" s="194">
        <v>149</v>
      </c>
      <c r="B157" s="509">
        <v>41083</v>
      </c>
      <c r="C157" s="200" t="s">
        <v>830</v>
      </c>
      <c r="D157" s="322" t="s">
        <v>831</v>
      </c>
      <c r="E157" s="198" t="s">
        <v>506</v>
      </c>
      <c r="F157" s="325">
        <v>162.5</v>
      </c>
      <c r="G157" s="325">
        <v>162.5</v>
      </c>
      <c r="H157" s="299">
        <v>0</v>
      </c>
      <c r="I157" s="325">
        <v>162.5</v>
      </c>
      <c r="J157" s="314"/>
    </row>
    <row r="158" spans="1:10" ht="15">
      <c r="A158" s="194">
        <v>150</v>
      </c>
      <c r="B158" s="509">
        <v>41083</v>
      </c>
      <c r="C158" s="200" t="s">
        <v>832</v>
      </c>
      <c r="D158" s="322" t="s">
        <v>833</v>
      </c>
      <c r="E158" s="198" t="s">
        <v>506</v>
      </c>
      <c r="F158" s="325">
        <v>125</v>
      </c>
      <c r="G158" s="325">
        <v>125</v>
      </c>
      <c r="H158" s="299">
        <v>0</v>
      </c>
      <c r="I158" s="325">
        <v>125</v>
      </c>
      <c r="J158" s="314"/>
    </row>
    <row r="159" spans="1:10" ht="15">
      <c r="A159" s="194">
        <v>151</v>
      </c>
      <c r="B159" s="509">
        <v>41083</v>
      </c>
      <c r="C159" s="200" t="s">
        <v>834</v>
      </c>
      <c r="D159" s="322" t="s">
        <v>835</v>
      </c>
      <c r="E159" s="198" t="s">
        <v>506</v>
      </c>
      <c r="F159" s="325">
        <v>162.5</v>
      </c>
      <c r="G159" s="325">
        <v>162.5</v>
      </c>
      <c r="H159" s="299">
        <v>0</v>
      </c>
      <c r="I159" s="325">
        <v>162.5</v>
      </c>
      <c r="J159" s="314"/>
    </row>
    <row r="160" spans="1:10" ht="15">
      <c r="A160" s="194">
        <v>152</v>
      </c>
      <c r="B160" s="509">
        <v>41083</v>
      </c>
      <c r="C160" s="200" t="s">
        <v>836</v>
      </c>
      <c r="D160" s="322" t="s">
        <v>837</v>
      </c>
      <c r="E160" s="198" t="s">
        <v>506</v>
      </c>
      <c r="F160" s="325">
        <v>162.5</v>
      </c>
      <c r="G160" s="325">
        <v>162.5</v>
      </c>
      <c r="H160" s="299">
        <v>0</v>
      </c>
      <c r="I160" s="325">
        <v>162.5</v>
      </c>
      <c r="J160" s="314"/>
    </row>
    <row r="161" spans="1:10" ht="15">
      <c r="A161" s="194">
        <v>153</v>
      </c>
      <c r="B161" s="509">
        <v>41083</v>
      </c>
      <c r="C161" s="200" t="s">
        <v>838</v>
      </c>
      <c r="D161" s="322" t="s">
        <v>839</v>
      </c>
      <c r="E161" s="198" t="s">
        <v>506</v>
      </c>
      <c r="F161" s="325">
        <v>162.5</v>
      </c>
      <c r="G161" s="325">
        <v>162.5</v>
      </c>
      <c r="H161" s="299">
        <v>0</v>
      </c>
      <c r="I161" s="325">
        <v>162.5</v>
      </c>
      <c r="J161" s="314"/>
    </row>
    <row r="162" spans="1:10" ht="15">
      <c r="A162" s="194">
        <v>154</v>
      </c>
      <c r="B162" s="509">
        <v>41083</v>
      </c>
      <c r="C162" s="200" t="s">
        <v>840</v>
      </c>
      <c r="D162" s="322" t="s">
        <v>841</v>
      </c>
      <c r="E162" s="198" t="s">
        <v>506</v>
      </c>
      <c r="F162" s="325">
        <v>162.5</v>
      </c>
      <c r="G162" s="325">
        <v>162.5</v>
      </c>
      <c r="H162" s="299">
        <v>0</v>
      </c>
      <c r="I162" s="325">
        <v>162.5</v>
      </c>
      <c r="J162" s="314"/>
    </row>
    <row r="163" spans="1:10" ht="15">
      <c r="A163" s="194">
        <v>155</v>
      </c>
      <c r="B163" s="509">
        <v>41083</v>
      </c>
      <c r="C163" s="200" t="s">
        <v>842</v>
      </c>
      <c r="D163" s="322" t="s">
        <v>843</v>
      </c>
      <c r="E163" s="198" t="s">
        <v>506</v>
      </c>
      <c r="F163" s="325">
        <v>162.5</v>
      </c>
      <c r="G163" s="325">
        <v>162.5</v>
      </c>
      <c r="H163" s="299">
        <v>0</v>
      </c>
      <c r="I163" s="325">
        <v>162.5</v>
      </c>
      <c r="J163" s="314"/>
    </row>
    <row r="164" spans="1:10" ht="15">
      <c r="A164" s="194">
        <v>156</v>
      </c>
      <c r="B164" s="509">
        <v>41083</v>
      </c>
      <c r="C164" s="200" t="s">
        <v>844</v>
      </c>
      <c r="D164" s="322" t="s">
        <v>845</v>
      </c>
      <c r="E164" s="198" t="s">
        <v>506</v>
      </c>
      <c r="F164" s="325">
        <v>162.5</v>
      </c>
      <c r="G164" s="325">
        <v>162.5</v>
      </c>
      <c r="H164" s="299">
        <v>0</v>
      </c>
      <c r="I164" s="325">
        <v>162.5</v>
      </c>
      <c r="J164" s="314"/>
    </row>
    <row r="165" spans="1:10" ht="15">
      <c r="A165" s="194">
        <v>157</v>
      </c>
      <c r="B165" s="509">
        <v>41083</v>
      </c>
      <c r="C165" s="200" t="s">
        <v>846</v>
      </c>
      <c r="D165" s="322" t="s">
        <v>847</v>
      </c>
      <c r="E165" s="198" t="s">
        <v>506</v>
      </c>
      <c r="F165" s="325">
        <v>162.5</v>
      </c>
      <c r="G165" s="325">
        <v>162.5</v>
      </c>
      <c r="H165" s="299">
        <v>0</v>
      </c>
      <c r="I165" s="325">
        <v>162.5</v>
      </c>
      <c r="J165" s="314"/>
    </row>
    <row r="166" spans="1:10" ht="15">
      <c r="A166" s="194">
        <v>158</v>
      </c>
      <c r="B166" s="509">
        <v>41083</v>
      </c>
      <c r="C166" s="200" t="s">
        <v>848</v>
      </c>
      <c r="D166" s="322" t="s">
        <v>849</v>
      </c>
      <c r="E166" s="198" t="s">
        <v>506</v>
      </c>
      <c r="F166" s="325">
        <v>162.5</v>
      </c>
      <c r="G166" s="325">
        <v>162.5</v>
      </c>
      <c r="H166" s="299">
        <v>0</v>
      </c>
      <c r="I166" s="325">
        <v>162.5</v>
      </c>
      <c r="J166" s="314"/>
    </row>
    <row r="167" spans="1:10" ht="15">
      <c r="A167" s="194">
        <v>159</v>
      </c>
      <c r="B167" s="509">
        <v>41083</v>
      </c>
      <c r="C167" s="200" t="s">
        <v>850</v>
      </c>
      <c r="D167" s="322" t="s">
        <v>851</v>
      </c>
      <c r="E167" s="198" t="s">
        <v>506</v>
      </c>
      <c r="F167" s="325">
        <v>162.5</v>
      </c>
      <c r="G167" s="325">
        <v>162.5</v>
      </c>
      <c r="H167" s="299">
        <v>0</v>
      </c>
      <c r="I167" s="325">
        <v>162.5</v>
      </c>
      <c r="J167" s="314"/>
    </row>
    <row r="168" spans="1:10" ht="15">
      <c r="A168" s="194">
        <v>160</v>
      </c>
      <c r="B168" s="509">
        <v>41083</v>
      </c>
      <c r="C168" s="200" t="s">
        <v>852</v>
      </c>
      <c r="D168" s="322" t="s">
        <v>853</v>
      </c>
      <c r="E168" s="198" t="s">
        <v>506</v>
      </c>
      <c r="F168" s="325">
        <v>162.5</v>
      </c>
      <c r="G168" s="325">
        <v>162.5</v>
      </c>
      <c r="H168" s="299">
        <v>0</v>
      </c>
      <c r="I168" s="325">
        <v>162.5</v>
      </c>
      <c r="J168" s="314"/>
    </row>
    <row r="169" spans="1:10" ht="15">
      <c r="A169" s="194">
        <v>161</v>
      </c>
      <c r="B169" s="509">
        <v>41083</v>
      </c>
      <c r="C169" s="200" t="s">
        <v>854</v>
      </c>
      <c r="D169" s="322" t="s">
        <v>855</v>
      </c>
      <c r="E169" s="198" t="s">
        <v>506</v>
      </c>
      <c r="F169" s="325">
        <v>125</v>
      </c>
      <c r="G169" s="325">
        <v>125</v>
      </c>
      <c r="H169" s="299">
        <v>0</v>
      </c>
      <c r="I169" s="325">
        <v>125</v>
      </c>
      <c r="J169" s="314"/>
    </row>
    <row r="170" spans="1:10" ht="15">
      <c r="A170" s="194">
        <v>162</v>
      </c>
      <c r="B170" s="509">
        <v>41083</v>
      </c>
      <c r="C170" s="200" t="s">
        <v>856</v>
      </c>
      <c r="D170" s="322" t="s">
        <v>857</v>
      </c>
      <c r="E170" s="198" t="s">
        <v>506</v>
      </c>
      <c r="F170" s="325">
        <v>125</v>
      </c>
      <c r="G170" s="325">
        <v>125</v>
      </c>
      <c r="H170" s="299">
        <v>0</v>
      </c>
      <c r="I170" s="325">
        <v>125</v>
      </c>
      <c r="J170" s="314"/>
    </row>
    <row r="171" spans="1:10" ht="15">
      <c r="A171" s="194">
        <v>163</v>
      </c>
      <c r="B171" s="509">
        <v>41083</v>
      </c>
      <c r="C171" s="200" t="s">
        <v>858</v>
      </c>
      <c r="D171" s="322" t="s">
        <v>859</v>
      </c>
      <c r="E171" s="198" t="s">
        <v>506</v>
      </c>
      <c r="F171" s="325">
        <v>125</v>
      </c>
      <c r="G171" s="325">
        <v>125</v>
      </c>
      <c r="H171" s="299">
        <v>0</v>
      </c>
      <c r="I171" s="325">
        <v>125</v>
      </c>
      <c r="J171" s="314"/>
    </row>
    <row r="172" spans="1:10" ht="15">
      <c r="A172" s="194">
        <v>164</v>
      </c>
      <c r="B172" s="509">
        <v>41083</v>
      </c>
      <c r="C172" s="200" t="s">
        <v>860</v>
      </c>
      <c r="D172" s="322" t="s">
        <v>861</v>
      </c>
      <c r="E172" s="198" t="s">
        <v>506</v>
      </c>
      <c r="F172" s="325">
        <v>125</v>
      </c>
      <c r="G172" s="325">
        <v>125</v>
      </c>
      <c r="H172" s="299">
        <v>0</v>
      </c>
      <c r="I172" s="325">
        <v>125</v>
      </c>
      <c r="J172" s="314"/>
    </row>
    <row r="173" spans="1:10" ht="15">
      <c r="A173" s="194">
        <v>165</v>
      </c>
      <c r="B173" s="509">
        <v>41083</v>
      </c>
      <c r="C173" s="200" t="s">
        <v>862</v>
      </c>
      <c r="D173" s="322" t="s">
        <v>863</v>
      </c>
      <c r="E173" s="198" t="s">
        <v>506</v>
      </c>
      <c r="F173" s="325">
        <v>125</v>
      </c>
      <c r="G173" s="325">
        <v>125</v>
      </c>
      <c r="H173" s="299">
        <v>0</v>
      </c>
      <c r="I173" s="325">
        <v>125</v>
      </c>
      <c r="J173" s="314"/>
    </row>
    <row r="174" spans="1:10" ht="15">
      <c r="A174" s="194">
        <v>166</v>
      </c>
      <c r="B174" s="509">
        <v>41083</v>
      </c>
      <c r="C174" s="200" t="s">
        <v>864</v>
      </c>
      <c r="D174" s="322" t="s">
        <v>865</v>
      </c>
      <c r="E174" s="198" t="s">
        <v>506</v>
      </c>
      <c r="F174" s="325">
        <v>125</v>
      </c>
      <c r="G174" s="325">
        <v>125</v>
      </c>
      <c r="H174" s="299">
        <v>0</v>
      </c>
      <c r="I174" s="325">
        <v>125</v>
      </c>
      <c r="J174" s="314"/>
    </row>
    <row r="175" spans="1:10" ht="15">
      <c r="A175" s="194">
        <v>167</v>
      </c>
      <c r="B175" s="509">
        <v>41083</v>
      </c>
      <c r="C175" s="200" t="s">
        <v>866</v>
      </c>
      <c r="D175" s="322" t="s">
        <v>867</v>
      </c>
      <c r="E175" s="198" t="s">
        <v>506</v>
      </c>
      <c r="F175" s="325">
        <v>100</v>
      </c>
      <c r="G175" s="325">
        <v>100</v>
      </c>
      <c r="H175" s="299">
        <v>0</v>
      </c>
      <c r="I175" s="325">
        <v>100</v>
      </c>
      <c r="J175" s="314"/>
    </row>
    <row r="176" spans="1:10" ht="15">
      <c r="A176" s="194">
        <v>168</v>
      </c>
      <c r="B176" s="509">
        <v>41083</v>
      </c>
      <c r="C176" s="200" t="s">
        <v>868</v>
      </c>
      <c r="D176" s="322" t="s">
        <v>869</v>
      </c>
      <c r="E176" s="198" t="s">
        <v>506</v>
      </c>
      <c r="F176" s="325">
        <v>100</v>
      </c>
      <c r="G176" s="325">
        <v>100</v>
      </c>
      <c r="H176" s="299">
        <v>0</v>
      </c>
      <c r="I176" s="325">
        <v>100</v>
      </c>
      <c r="J176" s="314"/>
    </row>
    <row r="177" spans="1:10" ht="15">
      <c r="A177" s="194">
        <v>169</v>
      </c>
      <c r="B177" s="509">
        <v>41083</v>
      </c>
      <c r="C177" s="200" t="s">
        <v>870</v>
      </c>
      <c r="D177" s="322" t="s">
        <v>871</v>
      </c>
      <c r="E177" s="198" t="s">
        <v>506</v>
      </c>
      <c r="F177" s="325">
        <v>125</v>
      </c>
      <c r="G177" s="325">
        <v>125</v>
      </c>
      <c r="H177" s="299">
        <v>0</v>
      </c>
      <c r="I177" s="325">
        <v>125</v>
      </c>
      <c r="J177" s="314"/>
    </row>
    <row r="178" spans="1:10" ht="15">
      <c r="A178" s="194">
        <v>170</v>
      </c>
      <c r="B178" s="509">
        <v>41083</v>
      </c>
      <c r="C178" s="200" t="s">
        <v>872</v>
      </c>
      <c r="D178" s="322" t="s">
        <v>873</v>
      </c>
      <c r="E178" s="198" t="s">
        <v>506</v>
      </c>
      <c r="F178" s="325">
        <v>125</v>
      </c>
      <c r="G178" s="325">
        <v>125</v>
      </c>
      <c r="H178" s="299">
        <v>0</v>
      </c>
      <c r="I178" s="325">
        <v>125</v>
      </c>
      <c r="J178" s="314"/>
    </row>
    <row r="179" spans="1:10" ht="15">
      <c r="A179" s="194">
        <v>171</v>
      </c>
      <c r="B179" s="509">
        <v>41083</v>
      </c>
      <c r="C179" s="200" t="s">
        <v>874</v>
      </c>
      <c r="D179" s="322" t="s">
        <v>875</v>
      </c>
      <c r="E179" s="198" t="s">
        <v>506</v>
      </c>
      <c r="F179" s="325">
        <v>162.5</v>
      </c>
      <c r="G179" s="325">
        <v>162.5</v>
      </c>
      <c r="H179" s="299">
        <v>0</v>
      </c>
      <c r="I179" s="325">
        <v>162.5</v>
      </c>
      <c r="J179" s="314"/>
    </row>
    <row r="180" spans="1:10" ht="15">
      <c r="A180" s="194">
        <v>172</v>
      </c>
      <c r="B180" s="509">
        <v>41083</v>
      </c>
      <c r="C180" s="200" t="s">
        <v>876</v>
      </c>
      <c r="D180" s="322" t="s">
        <v>877</v>
      </c>
      <c r="E180" s="198" t="s">
        <v>506</v>
      </c>
      <c r="F180" s="325">
        <v>162.5</v>
      </c>
      <c r="G180" s="325">
        <v>162.5</v>
      </c>
      <c r="H180" s="299">
        <v>0</v>
      </c>
      <c r="I180" s="325">
        <v>162.5</v>
      </c>
      <c r="J180" s="314"/>
    </row>
    <row r="181" spans="1:10" ht="15">
      <c r="A181" s="194">
        <v>173</v>
      </c>
      <c r="B181" s="509">
        <v>41083</v>
      </c>
      <c r="C181" s="200" t="s">
        <v>878</v>
      </c>
      <c r="D181" s="322" t="s">
        <v>879</v>
      </c>
      <c r="E181" s="198" t="s">
        <v>506</v>
      </c>
      <c r="F181" s="325">
        <v>125</v>
      </c>
      <c r="G181" s="325">
        <v>125</v>
      </c>
      <c r="H181" s="299">
        <v>0</v>
      </c>
      <c r="I181" s="325">
        <v>125</v>
      </c>
      <c r="J181" s="314"/>
    </row>
    <row r="182" spans="1:10" ht="15">
      <c r="A182" s="194">
        <v>174</v>
      </c>
      <c r="B182" s="509">
        <v>41083</v>
      </c>
      <c r="C182" s="200" t="s">
        <v>880</v>
      </c>
      <c r="D182" s="322" t="s">
        <v>881</v>
      </c>
      <c r="E182" s="198" t="s">
        <v>506</v>
      </c>
      <c r="F182" s="325">
        <v>125</v>
      </c>
      <c r="G182" s="325">
        <v>125</v>
      </c>
      <c r="H182" s="299">
        <v>0</v>
      </c>
      <c r="I182" s="325">
        <v>125</v>
      </c>
      <c r="J182" s="314"/>
    </row>
    <row r="183" spans="1:10" ht="15">
      <c r="A183" s="194">
        <v>175</v>
      </c>
      <c r="B183" s="509">
        <v>41083</v>
      </c>
      <c r="C183" s="200" t="s">
        <v>882</v>
      </c>
      <c r="D183" s="322" t="s">
        <v>883</v>
      </c>
      <c r="E183" s="198" t="s">
        <v>506</v>
      </c>
      <c r="F183" s="325">
        <v>100</v>
      </c>
      <c r="G183" s="325">
        <v>100</v>
      </c>
      <c r="H183" s="299">
        <v>0</v>
      </c>
      <c r="I183" s="325">
        <v>100</v>
      </c>
      <c r="J183" s="314"/>
    </row>
    <row r="184" spans="1:10" ht="15">
      <c r="A184" s="194">
        <v>176</v>
      </c>
      <c r="B184" s="509">
        <v>41083</v>
      </c>
      <c r="C184" s="200" t="s">
        <v>884</v>
      </c>
      <c r="D184" s="322" t="s">
        <v>885</v>
      </c>
      <c r="E184" s="198" t="s">
        <v>506</v>
      </c>
      <c r="F184" s="325">
        <v>162.5</v>
      </c>
      <c r="G184" s="325">
        <v>162.5</v>
      </c>
      <c r="H184" s="299">
        <v>0</v>
      </c>
      <c r="I184" s="325">
        <v>162.5</v>
      </c>
      <c r="J184" s="314"/>
    </row>
    <row r="185" spans="1:10" ht="15">
      <c r="A185" s="194">
        <v>177</v>
      </c>
      <c r="B185" s="509">
        <v>41083</v>
      </c>
      <c r="C185" s="200" t="s">
        <v>886</v>
      </c>
      <c r="D185" s="322" t="s">
        <v>887</v>
      </c>
      <c r="E185" s="198" t="s">
        <v>506</v>
      </c>
      <c r="F185" s="325">
        <v>162.5</v>
      </c>
      <c r="G185" s="325">
        <v>162.5</v>
      </c>
      <c r="H185" s="299">
        <v>0</v>
      </c>
      <c r="I185" s="325">
        <v>162.5</v>
      </c>
      <c r="J185" s="314"/>
    </row>
    <row r="186" spans="1:10" ht="15">
      <c r="A186" s="194">
        <v>178</v>
      </c>
      <c r="B186" s="509">
        <v>41083</v>
      </c>
      <c r="C186" s="200" t="s">
        <v>888</v>
      </c>
      <c r="D186" s="322" t="s">
        <v>889</v>
      </c>
      <c r="E186" s="198" t="s">
        <v>506</v>
      </c>
      <c r="F186" s="325">
        <v>125</v>
      </c>
      <c r="G186" s="325">
        <v>125</v>
      </c>
      <c r="H186" s="299">
        <v>0</v>
      </c>
      <c r="I186" s="325">
        <v>125</v>
      </c>
      <c r="J186" s="314"/>
    </row>
    <row r="187" spans="1:10" ht="15">
      <c r="A187" s="194">
        <v>179</v>
      </c>
      <c r="B187" s="509">
        <v>41083</v>
      </c>
      <c r="C187" s="200" t="s">
        <v>890</v>
      </c>
      <c r="D187" s="322" t="s">
        <v>891</v>
      </c>
      <c r="E187" s="198" t="s">
        <v>506</v>
      </c>
      <c r="F187" s="325">
        <v>125</v>
      </c>
      <c r="G187" s="325">
        <v>125</v>
      </c>
      <c r="H187" s="299">
        <v>0</v>
      </c>
      <c r="I187" s="325">
        <v>125</v>
      </c>
      <c r="J187" s="314"/>
    </row>
    <row r="188" spans="1:10" ht="15">
      <c r="A188" s="194">
        <v>180</v>
      </c>
      <c r="B188" s="509">
        <v>41083</v>
      </c>
      <c r="C188" s="200" t="s">
        <v>892</v>
      </c>
      <c r="D188" s="322" t="s">
        <v>893</v>
      </c>
      <c r="E188" s="198" t="s">
        <v>506</v>
      </c>
      <c r="F188" s="325">
        <v>100</v>
      </c>
      <c r="G188" s="325">
        <v>100</v>
      </c>
      <c r="H188" s="299">
        <v>0</v>
      </c>
      <c r="I188" s="325">
        <v>100</v>
      </c>
      <c r="J188" s="314"/>
    </row>
    <row r="189" spans="1:10" ht="15">
      <c r="A189" s="194">
        <v>181</v>
      </c>
      <c r="B189" s="509">
        <v>41083</v>
      </c>
      <c r="C189" s="200" t="s">
        <v>894</v>
      </c>
      <c r="D189" s="322" t="s">
        <v>895</v>
      </c>
      <c r="E189" s="198" t="s">
        <v>506</v>
      </c>
      <c r="F189" s="325">
        <v>100</v>
      </c>
      <c r="G189" s="325">
        <v>100</v>
      </c>
      <c r="H189" s="299">
        <v>0</v>
      </c>
      <c r="I189" s="325">
        <v>100</v>
      </c>
      <c r="J189" s="314"/>
    </row>
    <row r="190" spans="1:10" ht="15">
      <c r="A190" s="194">
        <v>182</v>
      </c>
      <c r="B190" s="509">
        <v>41083</v>
      </c>
      <c r="C190" s="200" t="s">
        <v>896</v>
      </c>
      <c r="D190" s="322" t="s">
        <v>897</v>
      </c>
      <c r="E190" s="198" t="s">
        <v>506</v>
      </c>
      <c r="F190" s="325">
        <v>125</v>
      </c>
      <c r="G190" s="325">
        <v>125</v>
      </c>
      <c r="H190" s="299">
        <v>0</v>
      </c>
      <c r="I190" s="325">
        <v>125</v>
      </c>
      <c r="J190" s="314"/>
    </row>
    <row r="191" spans="1:10" ht="15">
      <c r="A191" s="194">
        <v>183</v>
      </c>
      <c r="B191" s="509">
        <v>41083</v>
      </c>
      <c r="C191" s="200" t="s">
        <v>898</v>
      </c>
      <c r="D191" s="322" t="s">
        <v>899</v>
      </c>
      <c r="E191" s="198" t="s">
        <v>506</v>
      </c>
      <c r="F191" s="325">
        <v>125</v>
      </c>
      <c r="G191" s="325">
        <v>125</v>
      </c>
      <c r="H191" s="299">
        <v>0</v>
      </c>
      <c r="I191" s="325">
        <v>125</v>
      </c>
      <c r="J191" s="314"/>
    </row>
    <row r="192" spans="1:10" ht="15">
      <c r="A192" s="194">
        <v>184</v>
      </c>
      <c r="B192" s="509">
        <v>41083</v>
      </c>
      <c r="C192" s="200" t="s">
        <v>900</v>
      </c>
      <c r="D192" s="322" t="s">
        <v>901</v>
      </c>
      <c r="E192" s="198" t="s">
        <v>506</v>
      </c>
      <c r="F192" s="325">
        <v>162.5</v>
      </c>
      <c r="G192" s="325">
        <v>162.5</v>
      </c>
      <c r="H192" s="299">
        <v>0</v>
      </c>
      <c r="I192" s="325">
        <v>162.5</v>
      </c>
      <c r="J192" s="314"/>
    </row>
    <row r="193" spans="1:10" ht="15">
      <c r="A193" s="194">
        <v>185</v>
      </c>
      <c r="B193" s="509">
        <v>41083</v>
      </c>
      <c r="C193" s="200" t="s">
        <v>902</v>
      </c>
      <c r="D193" s="322" t="s">
        <v>903</v>
      </c>
      <c r="E193" s="198" t="s">
        <v>506</v>
      </c>
      <c r="F193" s="325">
        <v>162.5</v>
      </c>
      <c r="G193" s="325">
        <v>162.5</v>
      </c>
      <c r="H193" s="299">
        <v>0</v>
      </c>
      <c r="I193" s="325">
        <v>162.5</v>
      </c>
      <c r="J193" s="314"/>
    </row>
    <row r="194" spans="1:10" ht="15">
      <c r="A194" s="194">
        <v>186</v>
      </c>
      <c r="B194" s="509">
        <v>41083</v>
      </c>
      <c r="C194" s="200" t="s">
        <v>904</v>
      </c>
      <c r="D194" s="322" t="s">
        <v>905</v>
      </c>
      <c r="E194" s="198" t="s">
        <v>506</v>
      </c>
      <c r="F194" s="325">
        <v>125</v>
      </c>
      <c r="G194" s="325">
        <v>125</v>
      </c>
      <c r="H194" s="299">
        <v>0</v>
      </c>
      <c r="I194" s="325">
        <v>125</v>
      </c>
      <c r="J194" s="314"/>
    </row>
    <row r="195" spans="1:10" ht="15">
      <c r="A195" s="194">
        <v>187</v>
      </c>
      <c r="B195" s="509">
        <v>41083</v>
      </c>
      <c r="C195" s="200" t="s">
        <v>906</v>
      </c>
      <c r="D195" s="322" t="s">
        <v>907</v>
      </c>
      <c r="E195" s="198" t="s">
        <v>506</v>
      </c>
      <c r="F195" s="325">
        <v>125</v>
      </c>
      <c r="G195" s="325">
        <v>125</v>
      </c>
      <c r="H195" s="299">
        <v>0</v>
      </c>
      <c r="I195" s="325">
        <v>125</v>
      </c>
      <c r="J195" s="314"/>
    </row>
    <row r="196" spans="1:10" ht="15">
      <c r="A196" s="194">
        <v>188</v>
      </c>
      <c r="B196" s="509">
        <v>41083</v>
      </c>
      <c r="C196" s="200" t="s">
        <v>908</v>
      </c>
      <c r="D196" s="322" t="s">
        <v>909</v>
      </c>
      <c r="E196" s="198" t="s">
        <v>506</v>
      </c>
      <c r="F196" s="325">
        <v>100</v>
      </c>
      <c r="G196" s="325">
        <v>100</v>
      </c>
      <c r="H196" s="299">
        <v>0</v>
      </c>
      <c r="I196" s="325">
        <v>100</v>
      </c>
      <c r="J196" s="314"/>
    </row>
    <row r="197" spans="1:10" ht="15">
      <c r="A197" s="194">
        <v>189</v>
      </c>
      <c r="B197" s="509">
        <v>41083</v>
      </c>
      <c r="C197" s="200" t="s">
        <v>910</v>
      </c>
      <c r="D197" s="322" t="s">
        <v>911</v>
      </c>
      <c r="E197" s="198" t="s">
        <v>506</v>
      </c>
      <c r="F197" s="325">
        <v>100</v>
      </c>
      <c r="G197" s="325">
        <v>100</v>
      </c>
      <c r="H197" s="299">
        <v>0</v>
      </c>
      <c r="I197" s="325">
        <v>100</v>
      </c>
      <c r="J197" s="314"/>
    </row>
    <row r="198" spans="1:10" ht="15">
      <c r="A198" s="194">
        <v>190</v>
      </c>
      <c r="B198" s="509">
        <v>41083</v>
      </c>
      <c r="C198" s="200" t="s">
        <v>912</v>
      </c>
      <c r="D198" s="322" t="s">
        <v>913</v>
      </c>
      <c r="E198" s="198" t="s">
        <v>506</v>
      </c>
      <c r="F198" s="325">
        <v>125</v>
      </c>
      <c r="G198" s="325">
        <v>125</v>
      </c>
      <c r="H198" s="299">
        <v>0</v>
      </c>
      <c r="I198" s="325">
        <v>125</v>
      </c>
      <c r="J198" s="314"/>
    </row>
    <row r="199" spans="1:10" ht="15">
      <c r="A199" s="194">
        <v>191</v>
      </c>
      <c r="B199" s="509">
        <v>41083</v>
      </c>
      <c r="C199" s="200" t="s">
        <v>914</v>
      </c>
      <c r="D199" s="322" t="s">
        <v>915</v>
      </c>
      <c r="E199" s="198" t="s">
        <v>506</v>
      </c>
      <c r="F199" s="325">
        <v>125</v>
      </c>
      <c r="G199" s="325">
        <v>125</v>
      </c>
      <c r="H199" s="299">
        <v>0</v>
      </c>
      <c r="I199" s="325">
        <v>125</v>
      </c>
      <c r="J199" s="314"/>
    </row>
    <row r="200" spans="1:10" ht="15">
      <c r="A200" s="194">
        <v>192</v>
      </c>
      <c r="B200" s="509">
        <v>41083</v>
      </c>
      <c r="C200" s="200" t="s">
        <v>916</v>
      </c>
      <c r="D200" s="322" t="s">
        <v>917</v>
      </c>
      <c r="E200" s="198" t="s">
        <v>506</v>
      </c>
      <c r="F200" s="325">
        <v>125</v>
      </c>
      <c r="G200" s="325">
        <v>125</v>
      </c>
      <c r="H200" s="299">
        <v>0</v>
      </c>
      <c r="I200" s="325">
        <v>125</v>
      </c>
      <c r="J200" s="314"/>
    </row>
    <row r="201" spans="1:10" ht="15">
      <c r="A201" s="194">
        <v>193</v>
      </c>
      <c r="B201" s="509">
        <v>41083</v>
      </c>
      <c r="C201" s="200" t="s">
        <v>918</v>
      </c>
      <c r="D201" s="322" t="s">
        <v>919</v>
      </c>
      <c r="E201" s="198" t="s">
        <v>506</v>
      </c>
      <c r="F201" s="325">
        <v>125</v>
      </c>
      <c r="G201" s="325">
        <v>125</v>
      </c>
      <c r="H201" s="299">
        <v>0</v>
      </c>
      <c r="I201" s="325">
        <v>125</v>
      </c>
      <c r="J201" s="314"/>
    </row>
    <row r="202" spans="1:10" ht="15">
      <c r="A202" s="194">
        <v>194</v>
      </c>
      <c r="B202" s="509">
        <v>41083</v>
      </c>
      <c r="C202" s="200" t="s">
        <v>920</v>
      </c>
      <c r="D202" s="322" t="s">
        <v>921</v>
      </c>
      <c r="E202" s="198" t="s">
        <v>506</v>
      </c>
      <c r="F202" s="325">
        <v>162.5</v>
      </c>
      <c r="G202" s="325">
        <v>162.5</v>
      </c>
      <c r="H202" s="299">
        <v>0</v>
      </c>
      <c r="I202" s="325">
        <v>162.5</v>
      </c>
      <c r="J202" s="314"/>
    </row>
    <row r="203" spans="1:10" ht="15">
      <c r="A203" s="194">
        <v>195</v>
      </c>
      <c r="B203" s="509">
        <v>41083</v>
      </c>
      <c r="C203" s="200" t="s">
        <v>922</v>
      </c>
      <c r="D203" s="322" t="s">
        <v>923</v>
      </c>
      <c r="E203" s="198" t="s">
        <v>506</v>
      </c>
      <c r="F203" s="325">
        <v>162.5</v>
      </c>
      <c r="G203" s="325">
        <v>162.5</v>
      </c>
      <c r="H203" s="299">
        <v>0</v>
      </c>
      <c r="I203" s="325">
        <v>162.5</v>
      </c>
      <c r="J203" s="314"/>
    </row>
    <row r="204" spans="1:10" ht="15">
      <c r="A204" s="194">
        <v>196</v>
      </c>
      <c r="B204" s="509">
        <v>41083</v>
      </c>
      <c r="C204" s="200" t="s">
        <v>924</v>
      </c>
      <c r="D204" s="322" t="s">
        <v>925</v>
      </c>
      <c r="E204" s="198" t="s">
        <v>506</v>
      </c>
      <c r="F204" s="325">
        <v>162.5</v>
      </c>
      <c r="G204" s="325">
        <v>162.5</v>
      </c>
      <c r="H204" s="299">
        <v>0</v>
      </c>
      <c r="I204" s="325">
        <v>162.5</v>
      </c>
      <c r="J204" s="314"/>
    </row>
    <row r="205" spans="1:10" ht="15">
      <c r="A205" s="194">
        <v>197</v>
      </c>
      <c r="B205" s="509">
        <v>41083</v>
      </c>
      <c r="C205" s="200" t="s">
        <v>926</v>
      </c>
      <c r="D205" s="322" t="s">
        <v>927</v>
      </c>
      <c r="E205" s="198" t="s">
        <v>506</v>
      </c>
      <c r="F205" s="325">
        <v>162.5</v>
      </c>
      <c r="G205" s="325">
        <v>162.5</v>
      </c>
      <c r="H205" s="299">
        <v>0</v>
      </c>
      <c r="I205" s="325">
        <v>162.5</v>
      </c>
      <c r="J205" s="314"/>
    </row>
    <row r="206" spans="1:10" ht="15">
      <c r="A206" s="194">
        <v>198</v>
      </c>
      <c r="B206" s="509">
        <v>41083</v>
      </c>
      <c r="C206" s="200" t="s">
        <v>928</v>
      </c>
      <c r="D206" s="322" t="s">
        <v>929</v>
      </c>
      <c r="E206" s="198" t="s">
        <v>506</v>
      </c>
      <c r="F206" s="325">
        <v>162.5</v>
      </c>
      <c r="G206" s="325">
        <v>162.5</v>
      </c>
      <c r="H206" s="299">
        <v>0</v>
      </c>
      <c r="I206" s="325">
        <v>162.5</v>
      </c>
      <c r="J206" s="314"/>
    </row>
    <row r="207" spans="1:10" ht="15">
      <c r="A207" s="194">
        <v>199</v>
      </c>
      <c r="B207" s="509">
        <v>41083</v>
      </c>
      <c r="C207" s="200" t="s">
        <v>930</v>
      </c>
      <c r="D207" s="322" t="s">
        <v>931</v>
      </c>
      <c r="E207" s="198" t="s">
        <v>506</v>
      </c>
      <c r="F207" s="325">
        <v>162.5</v>
      </c>
      <c r="G207" s="325">
        <v>162.5</v>
      </c>
      <c r="H207" s="299">
        <v>0</v>
      </c>
      <c r="I207" s="325">
        <v>162.5</v>
      </c>
      <c r="J207" s="314"/>
    </row>
    <row r="208" spans="1:10" ht="15">
      <c r="A208" s="194">
        <v>200</v>
      </c>
      <c r="B208" s="509">
        <v>41083</v>
      </c>
      <c r="C208" s="200" t="s">
        <v>932</v>
      </c>
      <c r="D208" s="322" t="s">
        <v>933</v>
      </c>
      <c r="E208" s="198" t="s">
        <v>506</v>
      </c>
      <c r="F208" s="325">
        <v>162.5</v>
      </c>
      <c r="G208" s="325">
        <v>162.5</v>
      </c>
      <c r="H208" s="299">
        <v>0</v>
      </c>
      <c r="I208" s="325">
        <v>162.5</v>
      </c>
      <c r="J208" s="314"/>
    </row>
    <row r="209" spans="1:10" ht="15">
      <c r="A209" s="194">
        <v>201</v>
      </c>
      <c r="B209" s="509">
        <v>41083</v>
      </c>
      <c r="C209" s="200" t="s">
        <v>934</v>
      </c>
      <c r="D209" s="322" t="s">
        <v>935</v>
      </c>
      <c r="E209" s="198" t="s">
        <v>506</v>
      </c>
      <c r="F209" s="325">
        <v>162.5</v>
      </c>
      <c r="G209" s="325">
        <v>162.5</v>
      </c>
      <c r="H209" s="299">
        <v>0</v>
      </c>
      <c r="I209" s="325">
        <v>162.5</v>
      </c>
      <c r="J209" s="314"/>
    </row>
    <row r="210" spans="1:10" ht="15">
      <c r="A210" s="194">
        <v>202</v>
      </c>
      <c r="B210" s="509">
        <v>41083</v>
      </c>
      <c r="C210" s="200" t="s">
        <v>936</v>
      </c>
      <c r="D210" s="322" t="s">
        <v>937</v>
      </c>
      <c r="E210" s="198" t="s">
        <v>506</v>
      </c>
      <c r="F210" s="325">
        <v>125</v>
      </c>
      <c r="G210" s="325">
        <v>125</v>
      </c>
      <c r="H210" s="299">
        <v>0</v>
      </c>
      <c r="I210" s="325">
        <v>125</v>
      </c>
      <c r="J210" s="314"/>
    </row>
    <row r="211" spans="1:10" ht="15">
      <c r="A211" s="194">
        <v>203</v>
      </c>
      <c r="B211" s="509">
        <v>41083</v>
      </c>
      <c r="C211" s="200" t="s">
        <v>938</v>
      </c>
      <c r="D211" s="322" t="s">
        <v>939</v>
      </c>
      <c r="E211" s="198" t="s">
        <v>506</v>
      </c>
      <c r="F211" s="325">
        <v>125</v>
      </c>
      <c r="G211" s="325">
        <v>125</v>
      </c>
      <c r="H211" s="299">
        <v>0</v>
      </c>
      <c r="I211" s="325">
        <v>125</v>
      </c>
      <c r="J211" s="314"/>
    </row>
    <row r="212" spans="1:10" ht="15">
      <c r="A212" s="194">
        <v>204</v>
      </c>
      <c r="B212" s="509">
        <v>41083</v>
      </c>
      <c r="C212" s="200" t="s">
        <v>940</v>
      </c>
      <c r="D212" s="322" t="s">
        <v>941</v>
      </c>
      <c r="E212" s="198" t="s">
        <v>506</v>
      </c>
      <c r="F212" s="325">
        <v>125</v>
      </c>
      <c r="G212" s="325">
        <v>125</v>
      </c>
      <c r="H212" s="299">
        <v>0</v>
      </c>
      <c r="I212" s="325">
        <v>125</v>
      </c>
      <c r="J212" s="314"/>
    </row>
    <row r="213" spans="1:10" ht="15">
      <c r="A213" s="194">
        <v>205</v>
      </c>
      <c r="B213" s="509">
        <v>41083</v>
      </c>
      <c r="C213" s="200" t="s">
        <v>942</v>
      </c>
      <c r="D213" s="322" t="s">
        <v>943</v>
      </c>
      <c r="E213" s="198" t="s">
        <v>506</v>
      </c>
      <c r="F213" s="325">
        <v>125</v>
      </c>
      <c r="G213" s="325">
        <v>125</v>
      </c>
      <c r="H213" s="299">
        <v>0</v>
      </c>
      <c r="I213" s="325">
        <v>125</v>
      </c>
      <c r="J213" s="314"/>
    </row>
    <row r="214" spans="1:10" ht="15">
      <c r="A214" s="194">
        <v>206</v>
      </c>
      <c r="B214" s="509">
        <v>41083</v>
      </c>
      <c r="C214" s="200" t="s">
        <v>944</v>
      </c>
      <c r="D214" s="322" t="s">
        <v>945</v>
      </c>
      <c r="E214" s="198" t="s">
        <v>506</v>
      </c>
      <c r="F214" s="325">
        <v>100</v>
      </c>
      <c r="G214" s="325">
        <v>100</v>
      </c>
      <c r="H214" s="299">
        <v>0</v>
      </c>
      <c r="I214" s="325">
        <v>100</v>
      </c>
      <c r="J214" s="314"/>
    </row>
    <row r="215" spans="1:10" ht="15">
      <c r="A215" s="194">
        <v>207</v>
      </c>
      <c r="B215" s="509">
        <v>41083</v>
      </c>
      <c r="C215" s="200" t="s">
        <v>946</v>
      </c>
      <c r="D215" s="322" t="s">
        <v>947</v>
      </c>
      <c r="E215" s="198" t="s">
        <v>506</v>
      </c>
      <c r="F215" s="325">
        <v>100</v>
      </c>
      <c r="G215" s="325">
        <v>100</v>
      </c>
      <c r="H215" s="299">
        <v>0</v>
      </c>
      <c r="I215" s="325">
        <v>100</v>
      </c>
      <c r="J215" s="314"/>
    </row>
    <row r="216" spans="1:10" ht="15">
      <c r="A216" s="194">
        <v>208</v>
      </c>
      <c r="B216" s="509">
        <v>41083</v>
      </c>
      <c r="C216" s="200" t="s">
        <v>948</v>
      </c>
      <c r="D216" s="322" t="s">
        <v>949</v>
      </c>
      <c r="E216" s="198" t="s">
        <v>506</v>
      </c>
      <c r="F216" s="325">
        <v>162.5</v>
      </c>
      <c r="G216" s="325">
        <v>162.5</v>
      </c>
      <c r="H216" s="299">
        <v>0</v>
      </c>
      <c r="I216" s="325">
        <v>162.5</v>
      </c>
      <c r="J216" s="314"/>
    </row>
    <row r="217" spans="1:10" ht="15">
      <c r="A217" s="194">
        <v>209</v>
      </c>
      <c r="B217" s="509">
        <v>41083</v>
      </c>
      <c r="C217" s="200" t="s">
        <v>950</v>
      </c>
      <c r="D217" s="322" t="s">
        <v>951</v>
      </c>
      <c r="E217" s="198" t="s">
        <v>506</v>
      </c>
      <c r="F217" s="325">
        <v>125</v>
      </c>
      <c r="G217" s="325">
        <v>125</v>
      </c>
      <c r="H217" s="299">
        <v>0</v>
      </c>
      <c r="I217" s="325">
        <v>125</v>
      </c>
      <c r="J217" s="314"/>
    </row>
    <row r="218" spans="1:10" ht="15">
      <c r="A218" s="194">
        <v>210</v>
      </c>
      <c r="B218" s="509">
        <v>41065</v>
      </c>
      <c r="C218" s="200" t="s">
        <v>952</v>
      </c>
      <c r="D218" s="322" t="s">
        <v>953</v>
      </c>
      <c r="E218" s="198" t="s">
        <v>506</v>
      </c>
      <c r="F218" s="325">
        <v>100</v>
      </c>
      <c r="G218" s="325">
        <v>100</v>
      </c>
      <c r="H218" s="299">
        <v>0</v>
      </c>
      <c r="I218" s="325">
        <v>100</v>
      </c>
      <c r="J218" s="314"/>
    </row>
    <row r="219" spans="1:10" ht="15">
      <c r="A219" s="194">
        <v>211</v>
      </c>
      <c r="B219" s="509">
        <v>41065</v>
      </c>
      <c r="C219" s="200" t="s">
        <v>954</v>
      </c>
      <c r="D219" s="322" t="s">
        <v>955</v>
      </c>
      <c r="E219" s="198" t="s">
        <v>506</v>
      </c>
      <c r="F219" s="325">
        <v>100</v>
      </c>
      <c r="G219" s="325">
        <v>100</v>
      </c>
      <c r="H219" s="299">
        <v>0</v>
      </c>
      <c r="I219" s="325">
        <v>100</v>
      </c>
      <c r="J219" s="314"/>
    </row>
    <row r="220" spans="1:10" ht="15">
      <c r="A220" s="194">
        <v>212</v>
      </c>
      <c r="B220" s="509">
        <v>41065</v>
      </c>
      <c r="C220" s="200" t="s">
        <v>956</v>
      </c>
      <c r="D220" s="322" t="s">
        <v>957</v>
      </c>
      <c r="E220" s="198" t="s">
        <v>506</v>
      </c>
      <c r="F220" s="325">
        <v>125</v>
      </c>
      <c r="G220" s="325">
        <v>125</v>
      </c>
      <c r="H220" s="299">
        <v>0</v>
      </c>
      <c r="I220" s="325">
        <v>125</v>
      </c>
      <c r="J220" s="314"/>
    </row>
    <row r="221" spans="1:10" ht="15">
      <c r="A221" s="194">
        <v>213</v>
      </c>
      <c r="B221" s="509">
        <v>41065</v>
      </c>
      <c r="C221" s="200" t="s">
        <v>958</v>
      </c>
      <c r="D221" s="322" t="s">
        <v>959</v>
      </c>
      <c r="E221" s="198" t="s">
        <v>506</v>
      </c>
      <c r="F221" s="325">
        <v>125</v>
      </c>
      <c r="G221" s="325">
        <v>125</v>
      </c>
      <c r="H221" s="299">
        <v>0</v>
      </c>
      <c r="I221" s="325">
        <v>125</v>
      </c>
      <c r="J221" s="314"/>
    </row>
    <row r="222" spans="1:10" ht="15">
      <c r="A222" s="194">
        <v>214</v>
      </c>
      <c r="B222" s="509">
        <v>41065</v>
      </c>
      <c r="C222" s="200" t="s">
        <v>960</v>
      </c>
      <c r="D222" s="322" t="s">
        <v>961</v>
      </c>
      <c r="E222" s="198" t="s">
        <v>506</v>
      </c>
      <c r="F222" s="325">
        <v>125</v>
      </c>
      <c r="G222" s="325">
        <v>125</v>
      </c>
      <c r="H222" s="299">
        <v>0</v>
      </c>
      <c r="I222" s="325">
        <v>125</v>
      </c>
      <c r="J222" s="314"/>
    </row>
    <row r="223" spans="1:10" ht="15">
      <c r="A223" s="194">
        <v>215</v>
      </c>
      <c r="B223" s="509">
        <v>41065</v>
      </c>
      <c r="C223" s="200" t="s">
        <v>962</v>
      </c>
      <c r="D223" s="322" t="s">
        <v>963</v>
      </c>
      <c r="E223" s="198" t="s">
        <v>506</v>
      </c>
      <c r="F223" s="325">
        <v>125</v>
      </c>
      <c r="G223" s="325">
        <v>125</v>
      </c>
      <c r="H223" s="299">
        <v>0</v>
      </c>
      <c r="I223" s="325">
        <v>125</v>
      </c>
      <c r="J223" s="314"/>
    </row>
    <row r="224" spans="1:10" ht="15">
      <c r="A224" s="194">
        <v>216</v>
      </c>
      <c r="B224" s="509">
        <v>41065</v>
      </c>
      <c r="C224" s="200" t="s">
        <v>964</v>
      </c>
      <c r="D224" s="322" t="s">
        <v>965</v>
      </c>
      <c r="E224" s="198" t="s">
        <v>506</v>
      </c>
      <c r="F224" s="325">
        <v>162.5</v>
      </c>
      <c r="G224" s="325">
        <v>162.5</v>
      </c>
      <c r="H224" s="299">
        <v>0</v>
      </c>
      <c r="I224" s="325">
        <v>162.5</v>
      </c>
      <c r="J224" s="314"/>
    </row>
    <row r="225" spans="1:10" ht="15">
      <c r="A225" s="194">
        <v>217</v>
      </c>
      <c r="B225" s="509">
        <v>41065</v>
      </c>
      <c r="C225" s="200" t="s">
        <v>966</v>
      </c>
      <c r="D225" s="322" t="s">
        <v>967</v>
      </c>
      <c r="E225" s="198" t="s">
        <v>506</v>
      </c>
      <c r="F225" s="325">
        <v>162.5</v>
      </c>
      <c r="G225" s="325">
        <v>162.5</v>
      </c>
      <c r="H225" s="299">
        <v>0</v>
      </c>
      <c r="I225" s="325">
        <v>162.5</v>
      </c>
      <c r="J225" s="314"/>
    </row>
    <row r="226" spans="1:10" ht="15">
      <c r="A226" s="194">
        <v>218</v>
      </c>
      <c r="B226" s="509">
        <v>41065</v>
      </c>
      <c r="C226" s="200" t="s">
        <v>968</v>
      </c>
      <c r="D226" s="322" t="s">
        <v>969</v>
      </c>
      <c r="E226" s="198" t="s">
        <v>506</v>
      </c>
      <c r="F226" s="325">
        <v>162.5</v>
      </c>
      <c r="G226" s="325">
        <v>162.5</v>
      </c>
      <c r="H226" s="299">
        <v>0</v>
      </c>
      <c r="I226" s="325">
        <v>162.5</v>
      </c>
      <c r="J226" s="314"/>
    </row>
    <row r="227" spans="1:10" ht="15">
      <c r="A227" s="194">
        <v>219</v>
      </c>
      <c r="B227" s="509">
        <v>41065</v>
      </c>
      <c r="C227" s="200" t="s">
        <v>970</v>
      </c>
      <c r="D227" s="322" t="s">
        <v>971</v>
      </c>
      <c r="E227" s="198" t="s">
        <v>506</v>
      </c>
      <c r="F227" s="325">
        <v>162.5</v>
      </c>
      <c r="G227" s="325">
        <v>162.5</v>
      </c>
      <c r="H227" s="299">
        <v>0</v>
      </c>
      <c r="I227" s="325">
        <v>162.5</v>
      </c>
      <c r="J227" s="314"/>
    </row>
    <row r="228" spans="1:10" ht="15">
      <c r="A228" s="194">
        <v>220</v>
      </c>
      <c r="B228" s="509">
        <v>41065</v>
      </c>
      <c r="C228" s="200" t="s">
        <v>972</v>
      </c>
      <c r="D228" s="322" t="s">
        <v>973</v>
      </c>
      <c r="E228" s="198" t="s">
        <v>506</v>
      </c>
      <c r="F228" s="325">
        <v>162.5</v>
      </c>
      <c r="G228" s="325">
        <v>162.5</v>
      </c>
      <c r="H228" s="299">
        <v>0</v>
      </c>
      <c r="I228" s="325">
        <v>162.5</v>
      </c>
      <c r="J228" s="314"/>
    </row>
    <row r="229" spans="1:10" ht="15">
      <c r="A229" s="194">
        <v>221</v>
      </c>
      <c r="B229" s="509">
        <v>41065</v>
      </c>
      <c r="C229" s="200" t="s">
        <v>974</v>
      </c>
      <c r="D229" s="322" t="s">
        <v>975</v>
      </c>
      <c r="E229" s="198" t="s">
        <v>506</v>
      </c>
      <c r="F229" s="325">
        <v>162.5</v>
      </c>
      <c r="G229" s="325">
        <v>162.5</v>
      </c>
      <c r="H229" s="299">
        <v>0</v>
      </c>
      <c r="I229" s="325">
        <v>162.5</v>
      </c>
      <c r="J229" s="314"/>
    </row>
    <row r="230" spans="1:10" ht="15">
      <c r="A230" s="194">
        <v>222</v>
      </c>
      <c r="B230" s="509">
        <v>41065</v>
      </c>
      <c r="C230" s="200" t="s">
        <v>976</v>
      </c>
      <c r="D230" s="322" t="s">
        <v>977</v>
      </c>
      <c r="E230" s="198" t="s">
        <v>506</v>
      </c>
      <c r="F230" s="325">
        <v>162.5</v>
      </c>
      <c r="G230" s="325">
        <v>162.5</v>
      </c>
      <c r="H230" s="299">
        <v>0</v>
      </c>
      <c r="I230" s="325">
        <v>162.5</v>
      </c>
      <c r="J230" s="314"/>
    </row>
    <row r="231" spans="1:10" ht="15">
      <c r="A231" s="194">
        <v>223</v>
      </c>
      <c r="B231" s="509">
        <v>41065</v>
      </c>
      <c r="C231" s="200" t="s">
        <v>978</v>
      </c>
      <c r="D231" s="322" t="s">
        <v>979</v>
      </c>
      <c r="E231" s="198" t="s">
        <v>506</v>
      </c>
      <c r="F231" s="325">
        <v>162.5</v>
      </c>
      <c r="G231" s="325">
        <v>162.5</v>
      </c>
      <c r="H231" s="299">
        <v>0</v>
      </c>
      <c r="I231" s="325">
        <v>162.5</v>
      </c>
      <c r="J231" s="314"/>
    </row>
    <row r="232" spans="1:10" ht="15">
      <c r="A232" s="194">
        <v>224</v>
      </c>
      <c r="B232" s="509">
        <v>41065</v>
      </c>
      <c r="C232" s="200" t="s">
        <v>980</v>
      </c>
      <c r="D232" s="322" t="s">
        <v>981</v>
      </c>
      <c r="E232" s="198" t="s">
        <v>506</v>
      </c>
      <c r="F232" s="325">
        <v>162.5</v>
      </c>
      <c r="G232" s="325">
        <v>162.5</v>
      </c>
      <c r="H232" s="299">
        <v>0</v>
      </c>
      <c r="I232" s="325">
        <v>162.5</v>
      </c>
      <c r="J232" s="314"/>
    </row>
    <row r="233" spans="1:10" ht="15">
      <c r="A233" s="194">
        <v>225</v>
      </c>
      <c r="B233" s="509">
        <v>41065</v>
      </c>
      <c r="C233" s="200" t="s">
        <v>982</v>
      </c>
      <c r="D233" s="322" t="s">
        <v>983</v>
      </c>
      <c r="E233" s="198" t="s">
        <v>506</v>
      </c>
      <c r="F233" s="325">
        <v>125</v>
      </c>
      <c r="G233" s="325">
        <v>125</v>
      </c>
      <c r="H233" s="299">
        <v>0</v>
      </c>
      <c r="I233" s="325">
        <v>125</v>
      </c>
      <c r="J233" s="314"/>
    </row>
    <row r="234" spans="1:10" ht="15">
      <c r="A234" s="194">
        <v>226</v>
      </c>
      <c r="B234" s="509">
        <v>41065</v>
      </c>
      <c r="C234" s="200" t="s">
        <v>984</v>
      </c>
      <c r="D234" s="322" t="s">
        <v>985</v>
      </c>
      <c r="E234" s="198" t="s">
        <v>506</v>
      </c>
      <c r="F234" s="325">
        <v>125</v>
      </c>
      <c r="G234" s="325">
        <v>125</v>
      </c>
      <c r="H234" s="299">
        <v>0</v>
      </c>
      <c r="I234" s="325">
        <v>125</v>
      </c>
      <c r="J234" s="314"/>
    </row>
    <row r="235" spans="1:10" ht="15">
      <c r="A235" s="194">
        <v>227</v>
      </c>
      <c r="B235" s="509">
        <v>41065</v>
      </c>
      <c r="C235" s="200" t="s">
        <v>986</v>
      </c>
      <c r="D235" s="322" t="s">
        <v>987</v>
      </c>
      <c r="E235" s="198" t="s">
        <v>506</v>
      </c>
      <c r="F235" s="325">
        <v>162.5</v>
      </c>
      <c r="G235" s="325">
        <v>162.5</v>
      </c>
      <c r="H235" s="299">
        <v>0</v>
      </c>
      <c r="I235" s="325">
        <v>162.5</v>
      </c>
      <c r="J235" s="314"/>
    </row>
    <row r="236" spans="1:10" ht="15">
      <c r="A236" s="194">
        <v>228</v>
      </c>
      <c r="B236" s="509">
        <v>41065</v>
      </c>
      <c r="C236" s="200" t="s">
        <v>988</v>
      </c>
      <c r="D236" s="322" t="s">
        <v>989</v>
      </c>
      <c r="E236" s="198" t="s">
        <v>506</v>
      </c>
      <c r="F236" s="325">
        <v>162.5</v>
      </c>
      <c r="G236" s="325">
        <v>162.5</v>
      </c>
      <c r="H236" s="299">
        <v>0</v>
      </c>
      <c r="I236" s="325">
        <v>162.5</v>
      </c>
      <c r="J236" s="314"/>
    </row>
    <row r="237" spans="1:10" ht="15">
      <c r="A237" s="194">
        <v>229</v>
      </c>
      <c r="B237" s="509">
        <v>41065</v>
      </c>
      <c r="C237" s="200" t="s">
        <v>990</v>
      </c>
      <c r="D237" s="322" t="s">
        <v>991</v>
      </c>
      <c r="E237" s="198" t="s">
        <v>506</v>
      </c>
      <c r="F237" s="325">
        <v>125</v>
      </c>
      <c r="G237" s="325">
        <v>125</v>
      </c>
      <c r="H237" s="299">
        <v>0</v>
      </c>
      <c r="I237" s="325">
        <v>125</v>
      </c>
      <c r="J237" s="314"/>
    </row>
    <row r="238" spans="1:10" ht="15">
      <c r="A238" s="194">
        <v>230</v>
      </c>
      <c r="B238" s="509">
        <v>41065</v>
      </c>
      <c r="C238" s="200" t="s">
        <v>992</v>
      </c>
      <c r="D238" s="322" t="s">
        <v>993</v>
      </c>
      <c r="E238" s="198" t="s">
        <v>506</v>
      </c>
      <c r="F238" s="325">
        <v>125</v>
      </c>
      <c r="G238" s="325">
        <v>125</v>
      </c>
      <c r="H238" s="299">
        <v>0</v>
      </c>
      <c r="I238" s="325">
        <v>125</v>
      </c>
      <c r="J238" s="314"/>
    </row>
    <row r="239" spans="1:10" ht="15">
      <c r="A239" s="194">
        <v>231</v>
      </c>
      <c r="B239" s="509">
        <v>41065</v>
      </c>
      <c r="C239" s="200" t="s">
        <v>994</v>
      </c>
      <c r="D239" s="322" t="s">
        <v>995</v>
      </c>
      <c r="E239" s="198" t="s">
        <v>506</v>
      </c>
      <c r="F239" s="325">
        <v>125</v>
      </c>
      <c r="G239" s="325">
        <v>125</v>
      </c>
      <c r="H239" s="299">
        <v>0</v>
      </c>
      <c r="I239" s="325">
        <v>125</v>
      </c>
      <c r="J239" s="314"/>
    </row>
    <row r="240" spans="1:10" ht="15">
      <c r="A240" s="194">
        <v>232</v>
      </c>
      <c r="B240" s="509">
        <v>41065</v>
      </c>
      <c r="C240" s="200" t="s">
        <v>996</v>
      </c>
      <c r="D240" s="322" t="s">
        <v>997</v>
      </c>
      <c r="E240" s="198" t="s">
        <v>506</v>
      </c>
      <c r="F240" s="325">
        <v>125</v>
      </c>
      <c r="G240" s="325">
        <v>125</v>
      </c>
      <c r="H240" s="299">
        <v>0</v>
      </c>
      <c r="I240" s="325">
        <v>125</v>
      </c>
      <c r="J240" s="314"/>
    </row>
    <row r="241" spans="1:10" ht="15">
      <c r="A241" s="194">
        <v>233</v>
      </c>
      <c r="B241" s="509">
        <v>41065</v>
      </c>
      <c r="C241" s="200" t="s">
        <v>998</v>
      </c>
      <c r="D241" s="322" t="s">
        <v>999</v>
      </c>
      <c r="E241" s="198" t="s">
        <v>506</v>
      </c>
      <c r="F241" s="325">
        <v>125</v>
      </c>
      <c r="G241" s="325">
        <v>125</v>
      </c>
      <c r="H241" s="299">
        <v>0</v>
      </c>
      <c r="I241" s="325">
        <v>125</v>
      </c>
      <c r="J241" s="314"/>
    </row>
    <row r="242" spans="1:10" ht="15">
      <c r="A242" s="194">
        <v>234</v>
      </c>
      <c r="B242" s="509">
        <v>41065</v>
      </c>
      <c r="C242" s="200" t="s">
        <v>1000</v>
      </c>
      <c r="D242" s="322" t="s">
        <v>1001</v>
      </c>
      <c r="E242" s="198" t="s">
        <v>506</v>
      </c>
      <c r="F242" s="325">
        <v>125</v>
      </c>
      <c r="G242" s="325">
        <v>125</v>
      </c>
      <c r="H242" s="299">
        <v>0</v>
      </c>
      <c r="I242" s="325">
        <v>125</v>
      </c>
      <c r="J242" s="314"/>
    </row>
    <row r="243" spans="1:10" ht="15">
      <c r="A243" s="194">
        <v>235</v>
      </c>
      <c r="B243" s="509">
        <v>41065</v>
      </c>
      <c r="C243" s="200" t="s">
        <v>1002</v>
      </c>
      <c r="D243" s="322" t="s">
        <v>1003</v>
      </c>
      <c r="E243" s="198" t="s">
        <v>506</v>
      </c>
      <c r="F243" s="325">
        <v>162.5</v>
      </c>
      <c r="G243" s="325">
        <v>162.5</v>
      </c>
      <c r="H243" s="299">
        <v>0</v>
      </c>
      <c r="I243" s="325">
        <v>162.5</v>
      </c>
      <c r="J243" s="314"/>
    </row>
    <row r="244" spans="1:10" ht="15">
      <c r="A244" s="194">
        <v>236</v>
      </c>
      <c r="B244" s="509">
        <v>41065</v>
      </c>
      <c r="C244" s="200" t="s">
        <v>1004</v>
      </c>
      <c r="D244" s="322" t="s">
        <v>1005</v>
      </c>
      <c r="E244" s="198" t="s">
        <v>506</v>
      </c>
      <c r="F244" s="325">
        <v>162.5</v>
      </c>
      <c r="G244" s="325">
        <v>162.5</v>
      </c>
      <c r="H244" s="299">
        <v>0</v>
      </c>
      <c r="I244" s="325">
        <v>162.5</v>
      </c>
      <c r="J244" s="314"/>
    </row>
    <row r="245" spans="1:10" ht="15">
      <c r="A245" s="194">
        <v>237</v>
      </c>
      <c r="B245" s="509">
        <v>41065</v>
      </c>
      <c r="C245" s="200" t="s">
        <v>1006</v>
      </c>
      <c r="D245" s="322" t="s">
        <v>1007</v>
      </c>
      <c r="E245" s="198" t="s">
        <v>506</v>
      </c>
      <c r="F245" s="325">
        <v>125</v>
      </c>
      <c r="G245" s="325">
        <v>125</v>
      </c>
      <c r="H245" s="299">
        <v>0</v>
      </c>
      <c r="I245" s="325">
        <v>125</v>
      </c>
      <c r="J245" s="314"/>
    </row>
    <row r="246" spans="1:10" ht="15">
      <c r="A246" s="194">
        <v>238</v>
      </c>
      <c r="B246" s="509">
        <v>41065</v>
      </c>
      <c r="C246" s="200" t="s">
        <v>1008</v>
      </c>
      <c r="D246" s="322" t="s">
        <v>1009</v>
      </c>
      <c r="E246" s="198" t="s">
        <v>506</v>
      </c>
      <c r="F246" s="325">
        <v>125</v>
      </c>
      <c r="G246" s="325">
        <v>125</v>
      </c>
      <c r="H246" s="299">
        <v>0</v>
      </c>
      <c r="I246" s="325">
        <v>125</v>
      </c>
      <c r="J246" s="314"/>
    </row>
    <row r="247" spans="1:10" ht="15">
      <c r="A247" s="194">
        <v>239</v>
      </c>
      <c r="B247" s="509">
        <v>41065</v>
      </c>
      <c r="C247" s="200" t="s">
        <v>1010</v>
      </c>
      <c r="D247" s="322" t="s">
        <v>1011</v>
      </c>
      <c r="E247" s="198" t="s">
        <v>506</v>
      </c>
      <c r="F247" s="325">
        <v>100</v>
      </c>
      <c r="G247" s="325">
        <v>100</v>
      </c>
      <c r="H247" s="299">
        <v>0</v>
      </c>
      <c r="I247" s="325">
        <v>100</v>
      </c>
      <c r="J247" s="314"/>
    </row>
    <row r="248" spans="1:10" ht="15">
      <c r="A248" s="194">
        <v>240</v>
      </c>
      <c r="B248" s="509">
        <v>41065</v>
      </c>
      <c r="C248" s="200" t="s">
        <v>1012</v>
      </c>
      <c r="D248" s="322" t="s">
        <v>1013</v>
      </c>
      <c r="E248" s="198" t="s">
        <v>506</v>
      </c>
      <c r="F248" s="325">
        <v>100</v>
      </c>
      <c r="G248" s="325">
        <v>100</v>
      </c>
      <c r="H248" s="299">
        <v>0</v>
      </c>
      <c r="I248" s="325">
        <v>100</v>
      </c>
      <c r="J248" s="314"/>
    </row>
    <row r="249" spans="1:10" ht="15">
      <c r="A249" s="194">
        <v>241</v>
      </c>
      <c r="B249" s="509">
        <v>41065</v>
      </c>
      <c r="C249" s="200" t="s">
        <v>1014</v>
      </c>
      <c r="D249" s="322" t="s">
        <v>1015</v>
      </c>
      <c r="E249" s="198" t="s">
        <v>506</v>
      </c>
      <c r="F249" s="325">
        <v>100</v>
      </c>
      <c r="G249" s="325">
        <v>100</v>
      </c>
      <c r="H249" s="299">
        <v>0</v>
      </c>
      <c r="I249" s="325">
        <v>100</v>
      </c>
      <c r="J249" s="314"/>
    </row>
    <row r="250" spans="1:10" ht="15">
      <c r="A250" s="194">
        <v>242</v>
      </c>
      <c r="B250" s="509">
        <v>41065</v>
      </c>
      <c r="C250" s="200" t="s">
        <v>1016</v>
      </c>
      <c r="D250" s="322" t="s">
        <v>1017</v>
      </c>
      <c r="E250" s="198" t="s">
        <v>506</v>
      </c>
      <c r="F250" s="325">
        <v>125</v>
      </c>
      <c r="G250" s="325">
        <v>125</v>
      </c>
      <c r="H250" s="299">
        <v>0</v>
      </c>
      <c r="I250" s="325">
        <v>125</v>
      </c>
      <c r="J250" s="314"/>
    </row>
    <row r="251" spans="1:10" ht="15">
      <c r="A251" s="194">
        <v>243</v>
      </c>
      <c r="B251" s="509">
        <v>41065</v>
      </c>
      <c r="C251" s="200" t="s">
        <v>1018</v>
      </c>
      <c r="D251" s="322" t="s">
        <v>1019</v>
      </c>
      <c r="E251" s="198" t="s">
        <v>506</v>
      </c>
      <c r="F251" s="325">
        <v>162.5</v>
      </c>
      <c r="G251" s="325">
        <v>162.5</v>
      </c>
      <c r="H251" s="299">
        <v>0</v>
      </c>
      <c r="I251" s="325">
        <v>162.5</v>
      </c>
      <c r="J251" s="314"/>
    </row>
    <row r="252" spans="1:10" ht="15">
      <c r="A252" s="194">
        <v>244</v>
      </c>
      <c r="B252" s="509">
        <v>41065</v>
      </c>
      <c r="C252" s="200" t="s">
        <v>1020</v>
      </c>
      <c r="D252" s="322" t="s">
        <v>1021</v>
      </c>
      <c r="E252" s="198" t="s">
        <v>506</v>
      </c>
      <c r="F252" s="325">
        <v>162.5</v>
      </c>
      <c r="G252" s="325">
        <v>162.5</v>
      </c>
      <c r="H252" s="299">
        <v>0</v>
      </c>
      <c r="I252" s="325">
        <v>162.5</v>
      </c>
      <c r="J252" s="314"/>
    </row>
    <row r="253" spans="1:10" ht="15">
      <c r="A253" s="194">
        <v>245</v>
      </c>
      <c r="B253" s="509">
        <v>41065</v>
      </c>
      <c r="C253" s="200" t="s">
        <v>1022</v>
      </c>
      <c r="D253" s="322" t="s">
        <v>1023</v>
      </c>
      <c r="E253" s="198" t="s">
        <v>506</v>
      </c>
      <c r="F253" s="325">
        <v>125</v>
      </c>
      <c r="G253" s="325">
        <v>125</v>
      </c>
      <c r="H253" s="299">
        <v>0</v>
      </c>
      <c r="I253" s="325">
        <v>125</v>
      </c>
      <c r="J253" s="314"/>
    </row>
    <row r="254" spans="1:10" ht="15">
      <c r="A254" s="194">
        <v>246</v>
      </c>
      <c r="B254" s="509">
        <v>41065</v>
      </c>
      <c r="C254" s="200" t="s">
        <v>1024</v>
      </c>
      <c r="D254" s="322" t="s">
        <v>1025</v>
      </c>
      <c r="E254" s="198" t="s">
        <v>506</v>
      </c>
      <c r="F254" s="325">
        <v>125</v>
      </c>
      <c r="G254" s="325">
        <v>125</v>
      </c>
      <c r="H254" s="299">
        <v>0</v>
      </c>
      <c r="I254" s="325">
        <v>125</v>
      </c>
      <c r="J254" s="314"/>
    </row>
    <row r="255" spans="1:10" ht="15">
      <c r="A255" s="194">
        <v>247</v>
      </c>
      <c r="B255" s="509">
        <v>41065</v>
      </c>
      <c r="C255" s="200" t="s">
        <v>1026</v>
      </c>
      <c r="D255" s="322" t="s">
        <v>1027</v>
      </c>
      <c r="E255" s="198" t="s">
        <v>506</v>
      </c>
      <c r="F255" s="325">
        <v>125</v>
      </c>
      <c r="G255" s="325">
        <v>125</v>
      </c>
      <c r="H255" s="299">
        <v>0</v>
      </c>
      <c r="I255" s="325">
        <v>125</v>
      </c>
      <c r="J255" s="314"/>
    </row>
    <row r="256" spans="1:10" ht="15">
      <c r="A256" s="194">
        <v>248</v>
      </c>
      <c r="B256" s="509">
        <v>41065</v>
      </c>
      <c r="C256" s="200" t="s">
        <v>1028</v>
      </c>
      <c r="D256" s="322" t="s">
        <v>1029</v>
      </c>
      <c r="E256" s="198" t="s">
        <v>506</v>
      </c>
      <c r="F256" s="325">
        <v>125</v>
      </c>
      <c r="G256" s="325">
        <v>125</v>
      </c>
      <c r="H256" s="299">
        <v>0</v>
      </c>
      <c r="I256" s="325">
        <v>125</v>
      </c>
      <c r="J256" s="314"/>
    </row>
    <row r="257" spans="1:10" ht="15">
      <c r="A257" s="194">
        <v>249</v>
      </c>
      <c r="B257" s="509">
        <v>41065</v>
      </c>
      <c r="C257" s="200" t="s">
        <v>1030</v>
      </c>
      <c r="D257" s="322" t="s">
        <v>1031</v>
      </c>
      <c r="E257" s="198" t="s">
        <v>506</v>
      </c>
      <c r="F257" s="325">
        <v>125</v>
      </c>
      <c r="G257" s="325">
        <v>125</v>
      </c>
      <c r="H257" s="299">
        <v>0</v>
      </c>
      <c r="I257" s="325">
        <v>125</v>
      </c>
      <c r="J257" s="314"/>
    </row>
    <row r="258" spans="1:10" ht="15">
      <c r="A258" s="194">
        <v>250</v>
      </c>
      <c r="B258" s="509">
        <v>41065</v>
      </c>
      <c r="C258" s="200" t="s">
        <v>1032</v>
      </c>
      <c r="D258" s="322" t="s">
        <v>1033</v>
      </c>
      <c r="E258" s="198" t="s">
        <v>506</v>
      </c>
      <c r="F258" s="325">
        <v>125</v>
      </c>
      <c r="G258" s="325">
        <v>125</v>
      </c>
      <c r="H258" s="299">
        <v>0</v>
      </c>
      <c r="I258" s="325">
        <v>125</v>
      </c>
      <c r="J258" s="314"/>
    </row>
    <row r="259" spans="1:10" ht="15">
      <c r="A259" s="194">
        <v>251</v>
      </c>
      <c r="B259" s="509">
        <v>41065</v>
      </c>
      <c r="C259" s="200" t="s">
        <v>1034</v>
      </c>
      <c r="D259" s="322" t="s">
        <v>1035</v>
      </c>
      <c r="E259" s="198" t="s">
        <v>506</v>
      </c>
      <c r="F259" s="325">
        <v>125</v>
      </c>
      <c r="G259" s="325">
        <v>125</v>
      </c>
      <c r="H259" s="299">
        <v>0</v>
      </c>
      <c r="I259" s="325">
        <v>125</v>
      </c>
      <c r="J259" s="314"/>
    </row>
    <row r="260" spans="1:10" ht="15">
      <c r="A260" s="194">
        <v>252</v>
      </c>
      <c r="B260" s="509">
        <v>41065</v>
      </c>
      <c r="C260" s="200" t="s">
        <v>1036</v>
      </c>
      <c r="D260" s="322" t="s">
        <v>1037</v>
      </c>
      <c r="E260" s="198" t="s">
        <v>506</v>
      </c>
      <c r="F260" s="325">
        <v>100</v>
      </c>
      <c r="G260" s="325">
        <v>100</v>
      </c>
      <c r="H260" s="299">
        <v>0</v>
      </c>
      <c r="I260" s="325">
        <v>100</v>
      </c>
      <c r="J260" s="314"/>
    </row>
    <row r="261" spans="1:10" ht="15">
      <c r="A261" s="194">
        <v>253</v>
      </c>
      <c r="B261" s="509">
        <v>41065</v>
      </c>
      <c r="C261" s="200" t="s">
        <v>1038</v>
      </c>
      <c r="D261" s="322" t="s">
        <v>1039</v>
      </c>
      <c r="E261" s="198" t="s">
        <v>506</v>
      </c>
      <c r="F261" s="325">
        <v>100</v>
      </c>
      <c r="G261" s="325">
        <v>100</v>
      </c>
      <c r="H261" s="299">
        <v>0</v>
      </c>
      <c r="I261" s="325">
        <v>100</v>
      </c>
      <c r="J261" s="314"/>
    </row>
    <row r="262" spans="1:10" ht="15">
      <c r="A262" s="194">
        <v>254</v>
      </c>
      <c r="B262" s="509">
        <v>41065</v>
      </c>
      <c r="C262" s="200" t="s">
        <v>1040</v>
      </c>
      <c r="D262" s="322" t="s">
        <v>1041</v>
      </c>
      <c r="E262" s="198" t="s">
        <v>506</v>
      </c>
      <c r="F262" s="325">
        <v>125</v>
      </c>
      <c r="G262" s="325">
        <v>125</v>
      </c>
      <c r="H262" s="299">
        <v>0</v>
      </c>
      <c r="I262" s="325">
        <v>125</v>
      </c>
      <c r="J262" s="314"/>
    </row>
    <row r="263" spans="1:10" ht="15">
      <c r="A263" s="194">
        <v>255</v>
      </c>
      <c r="B263" s="509">
        <v>41065</v>
      </c>
      <c r="C263" s="200" t="s">
        <v>1042</v>
      </c>
      <c r="D263" s="322" t="s">
        <v>1043</v>
      </c>
      <c r="E263" s="198" t="s">
        <v>506</v>
      </c>
      <c r="F263" s="325">
        <v>125</v>
      </c>
      <c r="G263" s="325">
        <v>125</v>
      </c>
      <c r="H263" s="299">
        <v>0</v>
      </c>
      <c r="I263" s="325">
        <v>125</v>
      </c>
      <c r="J263" s="314"/>
    </row>
    <row r="264" spans="1:10" ht="15">
      <c r="A264" s="194">
        <v>256</v>
      </c>
      <c r="B264" s="509">
        <v>41065</v>
      </c>
      <c r="C264" s="200" t="s">
        <v>1044</v>
      </c>
      <c r="D264" s="322" t="s">
        <v>1045</v>
      </c>
      <c r="E264" s="198" t="s">
        <v>506</v>
      </c>
      <c r="F264" s="325">
        <v>125</v>
      </c>
      <c r="G264" s="325">
        <v>125</v>
      </c>
      <c r="H264" s="299">
        <v>0</v>
      </c>
      <c r="I264" s="325">
        <v>125</v>
      </c>
      <c r="J264" s="314"/>
    </row>
    <row r="265" spans="1:10" ht="15">
      <c r="A265" s="194">
        <v>257</v>
      </c>
      <c r="B265" s="509">
        <v>41065</v>
      </c>
      <c r="C265" s="200" t="s">
        <v>1046</v>
      </c>
      <c r="D265" s="322" t="s">
        <v>1047</v>
      </c>
      <c r="E265" s="198" t="s">
        <v>506</v>
      </c>
      <c r="F265" s="325">
        <v>125</v>
      </c>
      <c r="G265" s="325">
        <v>125</v>
      </c>
      <c r="H265" s="299">
        <v>0</v>
      </c>
      <c r="I265" s="325">
        <v>125</v>
      </c>
      <c r="J265" s="314"/>
    </row>
    <row r="266" spans="1:10" ht="15">
      <c r="A266" s="194">
        <v>258</v>
      </c>
      <c r="B266" s="509">
        <v>41065</v>
      </c>
      <c r="C266" s="200" t="s">
        <v>1048</v>
      </c>
      <c r="D266" s="322" t="s">
        <v>1049</v>
      </c>
      <c r="E266" s="198" t="s">
        <v>506</v>
      </c>
      <c r="F266" s="325">
        <v>162.5</v>
      </c>
      <c r="G266" s="325">
        <v>162.5</v>
      </c>
      <c r="H266" s="299">
        <v>0</v>
      </c>
      <c r="I266" s="325">
        <v>162.5</v>
      </c>
      <c r="J266" s="314"/>
    </row>
    <row r="267" spans="1:10" ht="15">
      <c r="A267" s="194">
        <v>259</v>
      </c>
      <c r="B267" s="509">
        <v>41065</v>
      </c>
      <c r="C267" s="200" t="s">
        <v>1050</v>
      </c>
      <c r="D267" s="322" t="s">
        <v>1051</v>
      </c>
      <c r="E267" s="198" t="s">
        <v>506</v>
      </c>
      <c r="F267" s="325">
        <v>162.5</v>
      </c>
      <c r="G267" s="325">
        <v>162.5</v>
      </c>
      <c r="H267" s="299">
        <v>0</v>
      </c>
      <c r="I267" s="325">
        <v>162.5</v>
      </c>
      <c r="J267" s="314"/>
    </row>
    <row r="268" spans="1:10" ht="15">
      <c r="A268" s="194">
        <v>260</v>
      </c>
      <c r="B268" s="509">
        <v>41065</v>
      </c>
      <c r="C268" s="200" t="s">
        <v>1052</v>
      </c>
      <c r="D268" s="322" t="s">
        <v>1053</v>
      </c>
      <c r="E268" s="198" t="s">
        <v>506</v>
      </c>
      <c r="F268" s="325">
        <v>125</v>
      </c>
      <c r="G268" s="325">
        <v>125</v>
      </c>
      <c r="H268" s="299">
        <v>0</v>
      </c>
      <c r="I268" s="325">
        <v>125</v>
      </c>
      <c r="J268" s="314"/>
    </row>
    <row r="269" spans="1:10" ht="15">
      <c r="A269" s="194">
        <v>261</v>
      </c>
      <c r="B269" s="509">
        <v>41065</v>
      </c>
      <c r="C269" s="200" t="s">
        <v>1054</v>
      </c>
      <c r="D269" s="322" t="s">
        <v>1055</v>
      </c>
      <c r="E269" s="198" t="s">
        <v>506</v>
      </c>
      <c r="F269" s="325">
        <v>125</v>
      </c>
      <c r="G269" s="325">
        <v>125</v>
      </c>
      <c r="H269" s="299">
        <v>0</v>
      </c>
      <c r="I269" s="325">
        <v>125</v>
      </c>
      <c r="J269" s="314"/>
    </row>
    <row r="270" spans="1:10" ht="15">
      <c r="A270" s="194">
        <v>262</v>
      </c>
      <c r="B270" s="509">
        <v>41065</v>
      </c>
      <c r="C270" s="200" t="s">
        <v>1056</v>
      </c>
      <c r="D270" s="322" t="s">
        <v>1057</v>
      </c>
      <c r="E270" s="198" t="s">
        <v>506</v>
      </c>
      <c r="F270" s="325">
        <v>125</v>
      </c>
      <c r="G270" s="325">
        <v>125</v>
      </c>
      <c r="H270" s="299">
        <v>0</v>
      </c>
      <c r="I270" s="325">
        <v>125</v>
      </c>
      <c r="J270" s="314"/>
    </row>
    <row r="271" spans="1:10" ht="15">
      <c r="A271" s="194">
        <v>263</v>
      </c>
      <c r="B271" s="509">
        <v>41065</v>
      </c>
      <c r="C271" s="200" t="s">
        <v>1058</v>
      </c>
      <c r="D271" s="322" t="s">
        <v>1059</v>
      </c>
      <c r="E271" s="198" t="s">
        <v>506</v>
      </c>
      <c r="F271" s="325">
        <v>125</v>
      </c>
      <c r="G271" s="325">
        <v>125</v>
      </c>
      <c r="H271" s="299">
        <v>0</v>
      </c>
      <c r="I271" s="325">
        <v>125</v>
      </c>
      <c r="J271" s="314"/>
    </row>
    <row r="272" spans="1:10" ht="15">
      <c r="A272" s="194">
        <v>264</v>
      </c>
      <c r="B272" s="509">
        <v>41065</v>
      </c>
      <c r="C272" s="200" t="s">
        <v>1060</v>
      </c>
      <c r="D272" s="322" t="s">
        <v>1061</v>
      </c>
      <c r="E272" s="198" t="s">
        <v>506</v>
      </c>
      <c r="F272" s="325">
        <v>125</v>
      </c>
      <c r="G272" s="325">
        <v>125</v>
      </c>
      <c r="H272" s="299">
        <v>0</v>
      </c>
      <c r="I272" s="325">
        <v>125</v>
      </c>
      <c r="J272" s="314"/>
    </row>
    <row r="273" spans="1:10" ht="15">
      <c r="A273" s="194">
        <v>265</v>
      </c>
      <c r="B273" s="509">
        <v>41065</v>
      </c>
      <c r="C273" s="200" t="s">
        <v>1062</v>
      </c>
      <c r="D273" s="322" t="s">
        <v>1063</v>
      </c>
      <c r="E273" s="198" t="s">
        <v>506</v>
      </c>
      <c r="F273" s="325">
        <v>125</v>
      </c>
      <c r="G273" s="325">
        <v>125</v>
      </c>
      <c r="H273" s="299">
        <v>0</v>
      </c>
      <c r="I273" s="325">
        <v>125</v>
      </c>
      <c r="J273" s="314"/>
    </row>
    <row r="274" spans="1:10" ht="15">
      <c r="A274" s="194">
        <v>266</v>
      </c>
      <c r="B274" s="509">
        <v>41065</v>
      </c>
      <c r="C274" s="200" t="s">
        <v>1064</v>
      </c>
      <c r="D274" s="322" t="s">
        <v>1065</v>
      </c>
      <c r="E274" s="198" t="s">
        <v>506</v>
      </c>
      <c r="F274" s="325">
        <v>125</v>
      </c>
      <c r="G274" s="325">
        <v>125</v>
      </c>
      <c r="H274" s="299">
        <v>0</v>
      </c>
      <c r="I274" s="325">
        <v>125</v>
      </c>
      <c r="J274" s="314"/>
    </row>
    <row r="275" spans="1:10" ht="15">
      <c r="A275" s="194">
        <v>267</v>
      </c>
      <c r="B275" s="509">
        <v>41065</v>
      </c>
      <c r="C275" s="200" t="s">
        <v>1066</v>
      </c>
      <c r="D275" s="322" t="s">
        <v>1067</v>
      </c>
      <c r="E275" s="198" t="s">
        <v>506</v>
      </c>
      <c r="F275" s="325">
        <v>125</v>
      </c>
      <c r="G275" s="325">
        <v>125</v>
      </c>
      <c r="H275" s="299">
        <v>0</v>
      </c>
      <c r="I275" s="325">
        <v>125</v>
      </c>
      <c r="J275" s="314"/>
    </row>
    <row r="276" spans="1:10" ht="15">
      <c r="A276" s="194">
        <v>268</v>
      </c>
      <c r="B276" s="509">
        <v>41065</v>
      </c>
      <c r="C276" s="200" t="s">
        <v>1068</v>
      </c>
      <c r="D276" s="322" t="s">
        <v>1069</v>
      </c>
      <c r="E276" s="198" t="s">
        <v>506</v>
      </c>
      <c r="F276" s="325">
        <v>125</v>
      </c>
      <c r="G276" s="325">
        <v>125</v>
      </c>
      <c r="H276" s="299">
        <v>0</v>
      </c>
      <c r="I276" s="325">
        <v>125</v>
      </c>
      <c r="J276" s="314"/>
    </row>
    <row r="277" spans="1:10" ht="15">
      <c r="A277" s="194">
        <v>269</v>
      </c>
      <c r="B277" s="509">
        <v>41065</v>
      </c>
      <c r="C277" s="200" t="s">
        <v>1070</v>
      </c>
      <c r="D277" s="322" t="s">
        <v>1071</v>
      </c>
      <c r="E277" s="198" t="s">
        <v>506</v>
      </c>
      <c r="F277" s="325">
        <v>125</v>
      </c>
      <c r="G277" s="325">
        <v>125</v>
      </c>
      <c r="H277" s="299">
        <v>0</v>
      </c>
      <c r="I277" s="325">
        <v>125</v>
      </c>
      <c r="J277" s="314"/>
    </row>
    <row r="278" spans="1:10" ht="15">
      <c r="A278" s="194">
        <v>270</v>
      </c>
      <c r="B278" s="509">
        <v>41065</v>
      </c>
      <c r="C278" s="200" t="s">
        <v>1072</v>
      </c>
      <c r="D278" s="322" t="s">
        <v>1073</v>
      </c>
      <c r="E278" s="198" t="s">
        <v>506</v>
      </c>
      <c r="F278" s="325">
        <v>125</v>
      </c>
      <c r="G278" s="325">
        <v>125</v>
      </c>
      <c r="H278" s="299">
        <v>0</v>
      </c>
      <c r="I278" s="325">
        <v>125</v>
      </c>
      <c r="J278" s="314"/>
    </row>
    <row r="279" spans="1:10" ht="15">
      <c r="A279" s="194">
        <v>271</v>
      </c>
      <c r="B279" s="509">
        <v>41065</v>
      </c>
      <c r="C279" s="200" t="s">
        <v>1074</v>
      </c>
      <c r="D279" s="322" t="s">
        <v>1075</v>
      </c>
      <c r="E279" s="198" t="s">
        <v>506</v>
      </c>
      <c r="F279" s="325">
        <v>100</v>
      </c>
      <c r="G279" s="325">
        <v>100</v>
      </c>
      <c r="H279" s="299">
        <v>0</v>
      </c>
      <c r="I279" s="325">
        <v>100</v>
      </c>
      <c r="J279" s="314"/>
    </row>
    <row r="280" spans="1:10" ht="15">
      <c r="A280" s="194">
        <v>272</v>
      </c>
      <c r="B280" s="509">
        <v>41065</v>
      </c>
      <c r="C280" s="200" t="s">
        <v>1076</v>
      </c>
      <c r="D280" s="322" t="s">
        <v>1077</v>
      </c>
      <c r="E280" s="198" t="s">
        <v>506</v>
      </c>
      <c r="F280" s="325">
        <v>100</v>
      </c>
      <c r="G280" s="325">
        <v>100</v>
      </c>
      <c r="H280" s="299">
        <v>0</v>
      </c>
      <c r="I280" s="325">
        <v>100</v>
      </c>
      <c r="J280" s="314"/>
    </row>
    <row r="281" spans="1:10" ht="15">
      <c r="A281" s="194">
        <v>273</v>
      </c>
      <c r="B281" s="509">
        <v>41065</v>
      </c>
      <c r="C281" s="200" t="s">
        <v>1078</v>
      </c>
      <c r="D281" s="322" t="s">
        <v>1079</v>
      </c>
      <c r="E281" s="198" t="s">
        <v>506</v>
      </c>
      <c r="F281" s="325">
        <v>125</v>
      </c>
      <c r="G281" s="325">
        <v>125</v>
      </c>
      <c r="H281" s="299">
        <v>0</v>
      </c>
      <c r="I281" s="325">
        <v>125</v>
      </c>
      <c r="J281" s="314"/>
    </row>
    <row r="282" spans="1:10" ht="15">
      <c r="A282" s="194">
        <v>274</v>
      </c>
      <c r="B282" s="509">
        <v>41065</v>
      </c>
      <c r="C282" s="200" t="s">
        <v>1080</v>
      </c>
      <c r="D282" s="322" t="s">
        <v>1081</v>
      </c>
      <c r="E282" s="198" t="s">
        <v>506</v>
      </c>
      <c r="F282" s="325">
        <v>162.5</v>
      </c>
      <c r="G282" s="325">
        <v>162.5</v>
      </c>
      <c r="H282" s="299">
        <v>0</v>
      </c>
      <c r="I282" s="325">
        <v>162.5</v>
      </c>
      <c r="J282" s="314"/>
    </row>
    <row r="283" spans="1:10" ht="15">
      <c r="A283" s="194">
        <v>275</v>
      </c>
      <c r="B283" s="509">
        <v>41065</v>
      </c>
      <c r="C283" s="200" t="s">
        <v>1082</v>
      </c>
      <c r="D283" s="322" t="s">
        <v>1083</v>
      </c>
      <c r="E283" s="198" t="s">
        <v>506</v>
      </c>
      <c r="F283" s="325">
        <v>162.5</v>
      </c>
      <c r="G283" s="325">
        <v>162.5</v>
      </c>
      <c r="H283" s="299">
        <v>0</v>
      </c>
      <c r="I283" s="325">
        <v>162.5</v>
      </c>
      <c r="J283" s="314"/>
    </row>
    <row r="284" spans="1:10" ht="15">
      <c r="A284" s="194">
        <v>276</v>
      </c>
      <c r="B284" s="509">
        <v>41065</v>
      </c>
      <c r="C284" s="200" t="s">
        <v>1084</v>
      </c>
      <c r="D284" s="322" t="s">
        <v>1085</v>
      </c>
      <c r="E284" s="198" t="s">
        <v>506</v>
      </c>
      <c r="F284" s="325">
        <v>100</v>
      </c>
      <c r="G284" s="325">
        <v>100</v>
      </c>
      <c r="H284" s="299">
        <v>0</v>
      </c>
      <c r="I284" s="325">
        <v>100</v>
      </c>
      <c r="J284" s="314"/>
    </row>
    <row r="285" spans="1:10" ht="15">
      <c r="A285" s="194">
        <v>277</v>
      </c>
      <c r="B285" s="509">
        <v>41065</v>
      </c>
      <c r="C285" s="200" t="s">
        <v>1086</v>
      </c>
      <c r="D285" s="322" t="s">
        <v>1087</v>
      </c>
      <c r="E285" s="198" t="s">
        <v>506</v>
      </c>
      <c r="F285" s="325">
        <v>100</v>
      </c>
      <c r="G285" s="325">
        <v>100</v>
      </c>
      <c r="H285" s="299">
        <v>0</v>
      </c>
      <c r="I285" s="325">
        <v>100</v>
      </c>
      <c r="J285" s="314"/>
    </row>
    <row r="286" spans="1:10" ht="15">
      <c r="A286" s="194">
        <v>278</v>
      </c>
      <c r="B286" s="509">
        <v>41065</v>
      </c>
      <c r="C286" s="200" t="s">
        <v>1088</v>
      </c>
      <c r="D286" s="322" t="s">
        <v>1089</v>
      </c>
      <c r="E286" s="198" t="s">
        <v>506</v>
      </c>
      <c r="F286" s="325">
        <v>162.5</v>
      </c>
      <c r="G286" s="325">
        <v>162.5</v>
      </c>
      <c r="H286" s="299">
        <v>0</v>
      </c>
      <c r="I286" s="325">
        <v>162.5</v>
      </c>
      <c r="J286" s="314"/>
    </row>
    <row r="287" spans="1:10" ht="15">
      <c r="A287" s="194">
        <v>279</v>
      </c>
      <c r="B287" s="509">
        <v>41065</v>
      </c>
      <c r="C287" s="200" t="s">
        <v>1090</v>
      </c>
      <c r="D287" s="322" t="s">
        <v>1091</v>
      </c>
      <c r="E287" s="198" t="s">
        <v>506</v>
      </c>
      <c r="F287" s="325">
        <v>162.5</v>
      </c>
      <c r="G287" s="325">
        <v>162.5</v>
      </c>
      <c r="H287" s="299">
        <v>0</v>
      </c>
      <c r="I287" s="325">
        <v>162.5</v>
      </c>
      <c r="J287" s="314"/>
    </row>
    <row r="288" spans="1:10" ht="15">
      <c r="A288" s="194">
        <v>280</v>
      </c>
      <c r="B288" s="509">
        <v>41065</v>
      </c>
      <c r="C288" s="200" t="s">
        <v>1092</v>
      </c>
      <c r="D288" s="322" t="s">
        <v>1093</v>
      </c>
      <c r="E288" s="198" t="s">
        <v>506</v>
      </c>
      <c r="F288" s="325">
        <v>162.5</v>
      </c>
      <c r="G288" s="325">
        <v>162.5</v>
      </c>
      <c r="H288" s="299">
        <v>0</v>
      </c>
      <c r="I288" s="325">
        <v>162.5</v>
      </c>
      <c r="J288" s="314"/>
    </row>
    <row r="289" spans="1:10" ht="15">
      <c r="A289" s="194">
        <v>281</v>
      </c>
      <c r="B289" s="509">
        <v>41065</v>
      </c>
      <c r="C289" s="200" t="s">
        <v>1094</v>
      </c>
      <c r="D289" s="322" t="s">
        <v>1095</v>
      </c>
      <c r="E289" s="198" t="s">
        <v>506</v>
      </c>
      <c r="F289" s="325">
        <v>162.5</v>
      </c>
      <c r="G289" s="325">
        <v>162.5</v>
      </c>
      <c r="H289" s="299">
        <v>0</v>
      </c>
      <c r="I289" s="325">
        <v>162.5</v>
      </c>
      <c r="J289" s="314"/>
    </row>
    <row r="290" spans="1:10" ht="15">
      <c r="A290" s="194">
        <v>282</v>
      </c>
      <c r="B290" s="509">
        <v>41086</v>
      </c>
      <c r="C290" s="200" t="s">
        <v>1096</v>
      </c>
      <c r="D290" s="322" t="s">
        <v>1097</v>
      </c>
      <c r="E290" s="198" t="s">
        <v>506</v>
      </c>
      <c r="F290" s="325">
        <v>125</v>
      </c>
      <c r="G290" s="325">
        <v>125</v>
      </c>
      <c r="H290" s="299">
        <v>0</v>
      </c>
      <c r="I290" s="325">
        <v>125</v>
      </c>
      <c r="J290" s="314"/>
    </row>
    <row r="291" spans="1:10" ht="15">
      <c r="A291" s="194">
        <v>283</v>
      </c>
      <c r="B291" s="509">
        <v>41086</v>
      </c>
      <c r="C291" s="200" t="s">
        <v>1098</v>
      </c>
      <c r="D291" s="322" t="s">
        <v>1099</v>
      </c>
      <c r="E291" s="198" t="s">
        <v>506</v>
      </c>
      <c r="F291" s="325">
        <v>125</v>
      </c>
      <c r="G291" s="325">
        <v>125</v>
      </c>
      <c r="H291" s="299">
        <v>0</v>
      </c>
      <c r="I291" s="325">
        <v>125</v>
      </c>
      <c r="J291" s="314"/>
    </row>
    <row r="292" spans="1:10" ht="15">
      <c r="A292" s="194">
        <v>284</v>
      </c>
      <c r="B292" s="509">
        <v>41086</v>
      </c>
      <c r="C292" s="200" t="s">
        <v>1100</v>
      </c>
      <c r="D292" s="322" t="s">
        <v>1101</v>
      </c>
      <c r="E292" s="198" t="s">
        <v>506</v>
      </c>
      <c r="F292" s="325">
        <v>125</v>
      </c>
      <c r="G292" s="325">
        <v>125</v>
      </c>
      <c r="H292" s="299">
        <v>0</v>
      </c>
      <c r="I292" s="325">
        <v>125</v>
      </c>
      <c r="J292" s="314"/>
    </row>
    <row r="293" spans="1:10" ht="15">
      <c r="A293" s="194">
        <v>285</v>
      </c>
      <c r="B293" s="509">
        <v>41086</v>
      </c>
      <c r="C293" s="200" t="s">
        <v>1102</v>
      </c>
      <c r="D293" s="322" t="s">
        <v>1103</v>
      </c>
      <c r="E293" s="198" t="s">
        <v>506</v>
      </c>
      <c r="F293" s="325">
        <v>125</v>
      </c>
      <c r="G293" s="325">
        <v>125</v>
      </c>
      <c r="H293" s="299">
        <v>0</v>
      </c>
      <c r="I293" s="325">
        <v>125</v>
      </c>
      <c r="J293" s="314"/>
    </row>
    <row r="294" spans="1:10" ht="15">
      <c r="A294" s="194">
        <v>286</v>
      </c>
      <c r="B294" s="509">
        <v>41086</v>
      </c>
      <c r="C294" s="200" t="s">
        <v>1104</v>
      </c>
      <c r="D294" s="322" t="s">
        <v>1105</v>
      </c>
      <c r="E294" s="198" t="s">
        <v>506</v>
      </c>
      <c r="F294" s="325">
        <v>162.5</v>
      </c>
      <c r="G294" s="325">
        <v>162.5</v>
      </c>
      <c r="H294" s="299">
        <v>0</v>
      </c>
      <c r="I294" s="325">
        <v>162.5</v>
      </c>
      <c r="J294" s="314"/>
    </row>
    <row r="295" spans="1:10" ht="15">
      <c r="A295" s="194">
        <v>287</v>
      </c>
      <c r="B295" s="509">
        <v>41086</v>
      </c>
      <c r="C295" s="200" t="s">
        <v>1106</v>
      </c>
      <c r="D295" s="322" t="s">
        <v>1107</v>
      </c>
      <c r="E295" s="198" t="s">
        <v>506</v>
      </c>
      <c r="F295" s="325">
        <v>162.5</v>
      </c>
      <c r="G295" s="325">
        <v>162.5</v>
      </c>
      <c r="H295" s="299">
        <v>0</v>
      </c>
      <c r="I295" s="325">
        <v>162.5</v>
      </c>
      <c r="J295" s="314"/>
    </row>
    <row r="296" spans="1:10" ht="15">
      <c r="A296" s="194">
        <v>288</v>
      </c>
      <c r="B296" s="509">
        <v>41086</v>
      </c>
      <c r="C296" s="200" t="s">
        <v>1108</v>
      </c>
      <c r="D296" s="322" t="s">
        <v>1109</v>
      </c>
      <c r="E296" s="198" t="s">
        <v>506</v>
      </c>
      <c r="F296" s="325">
        <v>162.5</v>
      </c>
      <c r="G296" s="325">
        <v>162.5</v>
      </c>
      <c r="H296" s="299">
        <v>0</v>
      </c>
      <c r="I296" s="325">
        <v>162.5</v>
      </c>
      <c r="J296" s="314"/>
    </row>
    <row r="297" spans="1:10" ht="15">
      <c r="A297" s="194">
        <v>289</v>
      </c>
      <c r="B297" s="509">
        <v>41086</v>
      </c>
      <c r="C297" s="200" t="s">
        <v>1110</v>
      </c>
      <c r="D297" s="322" t="s">
        <v>1111</v>
      </c>
      <c r="E297" s="198" t="s">
        <v>506</v>
      </c>
      <c r="F297" s="325">
        <v>162.5</v>
      </c>
      <c r="G297" s="325">
        <v>162.5</v>
      </c>
      <c r="H297" s="299">
        <v>0</v>
      </c>
      <c r="I297" s="325">
        <v>162.5</v>
      </c>
      <c r="J297" s="314"/>
    </row>
    <row r="298" spans="1:10" ht="15">
      <c r="A298" s="194">
        <v>290</v>
      </c>
      <c r="B298" s="509">
        <v>41086</v>
      </c>
      <c r="C298" s="200" t="s">
        <v>922</v>
      </c>
      <c r="D298" s="322" t="s">
        <v>1112</v>
      </c>
      <c r="E298" s="198" t="s">
        <v>506</v>
      </c>
      <c r="F298" s="325">
        <v>162.5</v>
      </c>
      <c r="G298" s="325">
        <v>162.5</v>
      </c>
      <c r="H298" s="299">
        <v>0</v>
      </c>
      <c r="I298" s="325">
        <v>162.5</v>
      </c>
      <c r="J298" s="314"/>
    </row>
    <row r="299" spans="1:10" ht="15">
      <c r="A299" s="194">
        <v>291</v>
      </c>
      <c r="B299" s="509">
        <v>41086</v>
      </c>
      <c r="C299" s="200" t="s">
        <v>1113</v>
      </c>
      <c r="D299" s="322" t="s">
        <v>1114</v>
      </c>
      <c r="E299" s="198" t="s">
        <v>506</v>
      </c>
      <c r="F299" s="325">
        <v>162.5</v>
      </c>
      <c r="G299" s="325">
        <v>162.5</v>
      </c>
      <c r="H299" s="299">
        <v>0</v>
      </c>
      <c r="I299" s="325">
        <v>162.5</v>
      </c>
      <c r="J299" s="314"/>
    </row>
    <row r="300" spans="1:10" ht="15">
      <c r="A300" s="194">
        <v>292</v>
      </c>
      <c r="B300" s="509">
        <v>41086</v>
      </c>
      <c r="C300" s="200" t="s">
        <v>1115</v>
      </c>
      <c r="D300" s="322" t="s">
        <v>1116</v>
      </c>
      <c r="E300" s="198" t="s">
        <v>506</v>
      </c>
      <c r="F300" s="325">
        <v>162.5</v>
      </c>
      <c r="G300" s="325">
        <v>162.5</v>
      </c>
      <c r="H300" s="299">
        <v>0</v>
      </c>
      <c r="I300" s="325">
        <v>162.5</v>
      </c>
      <c r="J300" s="314"/>
    </row>
    <row r="301" spans="1:10" ht="15">
      <c r="A301" s="194">
        <v>293</v>
      </c>
      <c r="B301" s="509">
        <v>41086</v>
      </c>
      <c r="C301" s="200" t="s">
        <v>1117</v>
      </c>
      <c r="D301" s="322" t="s">
        <v>1118</v>
      </c>
      <c r="E301" s="198" t="s">
        <v>506</v>
      </c>
      <c r="F301" s="325">
        <v>125</v>
      </c>
      <c r="G301" s="325">
        <v>125</v>
      </c>
      <c r="H301" s="299">
        <v>0</v>
      </c>
      <c r="I301" s="325">
        <v>125</v>
      </c>
      <c r="J301" s="314"/>
    </row>
    <row r="302" spans="1:10" ht="15">
      <c r="A302" s="194">
        <v>294</v>
      </c>
      <c r="B302" s="509">
        <v>41086</v>
      </c>
      <c r="C302" s="200" t="s">
        <v>1119</v>
      </c>
      <c r="D302" s="322" t="s">
        <v>1120</v>
      </c>
      <c r="E302" s="198" t="s">
        <v>506</v>
      </c>
      <c r="F302" s="325">
        <v>125</v>
      </c>
      <c r="G302" s="325">
        <v>125</v>
      </c>
      <c r="H302" s="299">
        <v>0</v>
      </c>
      <c r="I302" s="325">
        <v>125</v>
      </c>
      <c r="J302" s="314"/>
    </row>
    <row r="303" spans="1:10" ht="15">
      <c r="A303" s="194">
        <v>295</v>
      </c>
      <c r="B303" s="509">
        <v>41086</v>
      </c>
      <c r="C303" s="200" t="s">
        <v>1121</v>
      </c>
      <c r="D303" s="322" t="s">
        <v>1122</v>
      </c>
      <c r="E303" s="198" t="s">
        <v>506</v>
      </c>
      <c r="F303" s="325">
        <v>162.5</v>
      </c>
      <c r="G303" s="325">
        <v>162.5</v>
      </c>
      <c r="H303" s="299">
        <v>0</v>
      </c>
      <c r="I303" s="325">
        <v>162.5</v>
      </c>
      <c r="J303" s="314"/>
    </row>
    <row r="304" spans="1:10" ht="15">
      <c r="A304" s="194">
        <v>296</v>
      </c>
      <c r="B304" s="509">
        <v>41086</v>
      </c>
      <c r="C304" s="200" t="s">
        <v>1123</v>
      </c>
      <c r="D304" s="322" t="s">
        <v>1124</v>
      </c>
      <c r="E304" s="198" t="s">
        <v>506</v>
      </c>
      <c r="F304" s="325">
        <v>162.5</v>
      </c>
      <c r="G304" s="325">
        <v>162.5</v>
      </c>
      <c r="H304" s="299">
        <v>0</v>
      </c>
      <c r="I304" s="325">
        <v>162.5</v>
      </c>
      <c r="J304" s="314"/>
    </row>
    <row r="305" spans="1:10" ht="15">
      <c r="A305" s="194">
        <v>297</v>
      </c>
      <c r="B305" s="509">
        <v>41086</v>
      </c>
      <c r="C305" s="200" t="s">
        <v>1125</v>
      </c>
      <c r="D305" s="322" t="s">
        <v>1126</v>
      </c>
      <c r="E305" s="198" t="s">
        <v>506</v>
      </c>
      <c r="F305" s="325">
        <v>125</v>
      </c>
      <c r="G305" s="325">
        <v>125</v>
      </c>
      <c r="H305" s="299">
        <v>0</v>
      </c>
      <c r="I305" s="325">
        <v>125</v>
      </c>
      <c r="J305" s="314"/>
    </row>
    <row r="306" spans="1:10" ht="15">
      <c r="A306" s="194">
        <v>298</v>
      </c>
      <c r="B306" s="509">
        <v>41086</v>
      </c>
      <c r="C306" s="200" t="s">
        <v>1127</v>
      </c>
      <c r="D306" s="322" t="s">
        <v>1128</v>
      </c>
      <c r="E306" s="198" t="s">
        <v>506</v>
      </c>
      <c r="F306" s="325">
        <v>125</v>
      </c>
      <c r="G306" s="325">
        <v>125</v>
      </c>
      <c r="H306" s="299">
        <v>0</v>
      </c>
      <c r="I306" s="325">
        <v>125</v>
      </c>
      <c r="J306" s="314"/>
    </row>
    <row r="307" spans="1:10" ht="15">
      <c r="A307" s="194">
        <v>299</v>
      </c>
      <c r="B307" s="509">
        <v>41086</v>
      </c>
      <c r="C307" s="200" t="s">
        <v>1129</v>
      </c>
      <c r="D307" s="322" t="s">
        <v>1130</v>
      </c>
      <c r="E307" s="198" t="s">
        <v>506</v>
      </c>
      <c r="F307" s="325">
        <v>162.5</v>
      </c>
      <c r="G307" s="325">
        <v>162.5</v>
      </c>
      <c r="H307" s="299">
        <v>0</v>
      </c>
      <c r="I307" s="325">
        <v>162.5</v>
      </c>
      <c r="J307" s="314"/>
    </row>
    <row r="308" spans="1:10" ht="15">
      <c r="A308" s="194">
        <v>300</v>
      </c>
      <c r="B308" s="509">
        <v>41086</v>
      </c>
      <c r="C308" s="200" t="s">
        <v>1131</v>
      </c>
      <c r="D308" s="322" t="s">
        <v>1132</v>
      </c>
      <c r="E308" s="198" t="s">
        <v>506</v>
      </c>
      <c r="F308" s="325">
        <v>162.5</v>
      </c>
      <c r="G308" s="325">
        <v>162.5</v>
      </c>
      <c r="H308" s="299">
        <v>0</v>
      </c>
      <c r="I308" s="325">
        <v>162.5</v>
      </c>
      <c r="J308" s="314"/>
    </row>
    <row r="309" spans="1:10" ht="15">
      <c r="A309" s="194">
        <v>301</v>
      </c>
      <c r="B309" s="509">
        <v>41086</v>
      </c>
      <c r="C309" s="200" t="s">
        <v>1133</v>
      </c>
      <c r="D309" s="322" t="s">
        <v>1134</v>
      </c>
      <c r="E309" s="198" t="s">
        <v>506</v>
      </c>
      <c r="F309" s="325">
        <v>162.5</v>
      </c>
      <c r="G309" s="325">
        <v>162.5</v>
      </c>
      <c r="H309" s="299">
        <v>0</v>
      </c>
      <c r="I309" s="325">
        <v>162.5</v>
      </c>
      <c r="J309" s="314"/>
    </row>
    <row r="310" spans="1:10" ht="15">
      <c r="A310" s="194">
        <v>302</v>
      </c>
      <c r="B310" s="509">
        <v>41086</v>
      </c>
      <c r="C310" s="200" t="s">
        <v>1135</v>
      </c>
      <c r="D310" s="322" t="s">
        <v>1136</v>
      </c>
      <c r="E310" s="198" t="s">
        <v>506</v>
      </c>
      <c r="F310" s="325">
        <v>162.5</v>
      </c>
      <c r="G310" s="325">
        <v>162.5</v>
      </c>
      <c r="H310" s="299">
        <v>0</v>
      </c>
      <c r="I310" s="325">
        <v>162.5</v>
      </c>
      <c r="J310" s="314"/>
    </row>
    <row r="311" spans="1:10" ht="15">
      <c r="A311" s="194">
        <v>303</v>
      </c>
      <c r="B311" s="509">
        <v>41086</v>
      </c>
      <c r="C311" s="200" t="s">
        <v>1137</v>
      </c>
      <c r="D311" s="322" t="s">
        <v>1138</v>
      </c>
      <c r="E311" s="198" t="s">
        <v>506</v>
      </c>
      <c r="F311" s="325">
        <v>125</v>
      </c>
      <c r="G311" s="325">
        <v>125</v>
      </c>
      <c r="H311" s="299">
        <v>0</v>
      </c>
      <c r="I311" s="325">
        <v>125</v>
      </c>
      <c r="J311" s="314"/>
    </row>
    <row r="312" spans="1:10" ht="15">
      <c r="A312" s="194">
        <v>304</v>
      </c>
      <c r="B312" s="509">
        <v>41086</v>
      </c>
      <c r="C312" s="200" t="s">
        <v>1139</v>
      </c>
      <c r="D312" s="322" t="s">
        <v>1140</v>
      </c>
      <c r="E312" s="198" t="s">
        <v>506</v>
      </c>
      <c r="F312" s="325">
        <v>125</v>
      </c>
      <c r="G312" s="325">
        <v>125</v>
      </c>
      <c r="H312" s="299">
        <v>0</v>
      </c>
      <c r="I312" s="325">
        <v>125</v>
      </c>
      <c r="J312" s="314"/>
    </row>
    <row r="313" spans="1:10" ht="15">
      <c r="A313" s="194">
        <v>305</v>
      </c>
      <c r="B313" s="509">
        <v>41086</v>
      </c>
      <c r="C313" s="200" t="s">
        <v>1141</v>
      </c>
      <c r="D313" s="322" t="s">
        <v>1142</v>
      </c>
      <c r="E313" s="198" t="s">
        <v>506</v>
      </c>
      <c r="F313" s="325">
        <v>162.5</v>
      </c>
      <c r="G313" s="325">
        <v>162.5</v>
      </c>
      <c r="H313" s="299">
        <v>0</v>
      </c>
      <c r="I313" s="325">
        <v>162.5</v>
      </c>
      <c r="J313" s="314"/>
    </row>
    <row r="314" spans="1:10" ht="15">
      <c r="A314" s="194">
        <v>306</v>
      </c>
      <c r="B314" s="509">
        <v>41086</v>
      </c>
      <c r="C314" s="200" t="s">
        <v>1143</v>
      </c>
      <c r="D314" s="322" t="s">
        <v>1144</v>
      </c>
      <c r="E314" s="198" t="s">
        <v>506</v>
      </c>
      <c r="F314" s="325">
        <v>162.5</v>
      </c>
      <c r="G314" s="325">
        <v>162.5</v>
      </c>
      <c r="H314" s="299">
        <v>0</v>
      </c>
      <c r="I314" s="325">
        <v>162.5</v>
      </c>
      <c r="J314" s="314"/>
    </row>
    <row r="315" spans="1:10" ht="15">
      <c r="A315" s="194">
        <v>307</v>
      </c>
      <c r="B315" s="509">
        <v>41086</v>
      </c>
      <c r="C315" s="200" t="s">
        <v>1145</v>
      </c>
      <c r="D315" s="322" t="s">
        <v>1146</v>
      </c>
      <c r="E315" s="198" t="s">
        <v>506</v>
      </c>
      <c r="F315" s="325">
        <v>162.5</v>
      </c>
      <c r="G315" s="325">
        <v>162.5</v>
      </c>
      <c r="H315" s="299">
        <v>0</v>
      </c>
      <c r="I315" s="325">
        <v>162.5</v>
      </c>
      <c r="J315" s="314"/>
    </row>
    <row r="316" spans="1:10" ht="15">
      <c r="A316" s="194">
        <v>308</v>
      </c>
      <c r="B316" s="509">
        <v>41086</v>
      </c>
      <c r="C316" s="200" t="s">
        <v>1147</v>
      </c>
      <c r="D316" s="322" t="s">
        <v>1148</v>
      </c>
      <c r="E316" s="198" t="s">
        <v>506</v>
      </c>
      <c r="F316" s="325">
        <v>162.5</v>
      </c>
      <c r="G316" s="325">
        <v>162.5</v>
      </c>
      <c r="H316" s="299">
        <v>0</v>
      </c>
      <c r="I316" s="325">
        <v>162.5</v>
      </c>
      <c r="J316" s="314"/>
    </row>
    <row r="317" spans="1:10" ht="15">
      <c r="A317" s="194">
        <v>309</v>
      </c>
      <c r="B317" s="509">
        <v>41086</v>
      </c>
      <c r="C317" s="200" t="s">
        <v>1149</v>
      </c>
      <c r="D317" s="322" t="s">
        <v>1150</v>
      </c>
      <c r="E317" s="198" t="s">
        <v>506</v>
      </c>
      <c r="F317" s="325">
        <v>125</v>
      </c>
      <c r="G317" s="325">
        <v>125</v>
      </c>
      <c r="H317" s="299">
        <v>0</v>
      </c>
      <c r="I317" s="325">
        <v>125</v>
      </c>
      <c r="J317" s="314"/>
    </row>
    <row r="318" spans="1:10" ht="15">
      <c r="A318" s="194">
        <v>310</v>
      </c>
      <c r="B318" s="509">
        <v>41086</v>
      </c>
      <c r="C318" s="200" t="s">
        <v>1151</v>
      </c>
      <c r="D318" s="322" t="s">
        <v>1152</v>
      </c>
      <c r="E318" s="198" t="s">
        <v>506</v>
      </c>
      <c r="F318" s="325">
        <v>125</v>
      </c>
      <c r="G318" s="325">
        <v>125</v>
      </c>
      <c r="H318" s="299">
        <v>0</v>
      </c>
      <c r="I318" s="325">
        <v>125</v>
      </c>
      <c r="J318" s="314"/>
    </row>
    <row r="319" spans="1:10" ht="15">
      <c r="A319" s="194">
        <v>311</v>
      </c>
      <c r="B319" s="509">
        <v>41086</v>
      </c>
      <c r="C319" s="200" t="s">
        <v>1153</v>
      </c>
      <c r="D319" s="322" t="s">
        <v>1154</v>
      </c>
      <c r="E319" s="198" t="s">
        <v>506</v>
      </c>
      <c r="F319" s="325">
        <v>125</v>
      </c>
      <c r="G319" s="325">
        <v>125</v>
      </c>
      <c r="H319" s="299">
        <v>0</v>
      </c>
      <c r="I319" s="325">
        <v>125</v>
      </c>
      <c r="J319" s="314"/>
    </row>
    <row r="320" spans="1:10" ht="15">
      <c r="A320" s="194">
        <v>312</v>
      </c>
      <c r="B320" s="509">
        <v>41086</v>
      </c>
      <c r="C320" s="200" t="s">
        <v>1155</v>
      </c>
      <c r="D320" s="322" t="s">
        <v>1156</v>
      </c>
      <c r="E320" s="198" t="s">
        <v>506</v>
      </c>
      <c r="F320" s="325">
        <v>125</v>
      </c>
      <c r="G320" s="325">
        <v>125</v>
      </c>
      <c r="H320" s="299">
        <v>0</v>
      </c>
      <c r="I320" s="325">
        <v>125</v>
      </c>
      <c r="J320" s="314"/>
    </row>
    <row r="321" spans="1:10" ht="15">
      <c r="A321" s="194">
        <v>313</v>
      </c>
      <c r="B321" s="509">
        <v>41086</v>
      </c>
      <c r="C321" s="200" t="s">
        <v>1157</v>
      </c>
      <c r="D321" s="322" t="s">
        <v>1158</v>
      </c>
      <c r="E321" s="198" t="s">
        <v>506</v>
      </c>
      <c r="F321" s="325">
        <v>125</v>
      </c>
      <c r="G321" s="325">
        <v>125</v>
      </c>
      <c r="H321" s="299">
        <v>0</v>
      </c>
      <c r="I321" s="325">
        <v>125</v>
      </c>
      <c r="J321" s="314"/>
    </row>
    <row r="322" spans="1:10" ht="15">
      <c r="A322" s="194">
        <v>314</v>
      </c>
      <c r="B322" s="509">
        <v>41086</v>
      </c>
      <c r="C322" s="200" t="s">
        <v>1159</v>
      </c>
      <c r="D322" s="322" t="s">
        <v>1160</v>
      </c>
      <c r="E322" s="198" t="s">
        <v>506</v>
      </c>
      <c r="F322" s="325">
        <v>162.5</v>
      </c>
      <c r="G322" s="325">
        <v>162.5</v>
      </c>
      <c r="H322" s="299">
        <v>0</v>
      </c>
      <c r="I322" s="325">
        <v>162.5</v>
      </c>
      <c r="J322" s="314"/>
    </row>
    <row r="323" spans="1:10" ht="15">
      <c r="A323" s="194">
        <v>315</v>
      </c>
      <c r="B323" s="509">
        <v>41086</v>
      </c>
      <c r="C323" s="200" t="s">
        <v>1161</v>
      </c>
      <c r="D323" s="322" t="s">
        <v>1162</v>
      </c>
      <c r="E323" s="198" t="s">
        <v>506</v>
      </c>
      <c r="F323" s="325">
        <v>162.5</v>
      </c>
      <c r="G323" s="325">
        <v>162.5</v>
      </c>
      <c r="H323" s="299">
        <v>0</v>
      </c>
      <c r="I323" s="325">
        <v>162.5</v>
      </c>
      <c r="J323" s="314"/>
    </row>
    <row r="324" spans="1:10" ht="15">
      <c r="A324" s="194">
        <v>316</v>
      </c>
      <c r="B324" s="509">
        <v>41086</v>
      </c>
      <c r="C324" s="200" t="s">
        <v>1163</v>
      </c>
      <c r="D324" s="322" t="s">
        <v>1164</v>
      </c>
      <c r="E324" s="198" t="s">
        <v>506</v>
      </c>
      <c r="F324" s="325">
        <v>162.5</v>
      </c>
      <c r="G324" s="325">
        <v>162.5</v>
      </c>
      <c r="H324" s="299">
        <v>0</v>
      </c>
      <c r="I324" s="325">
        <v>162.5</v>
      </c>
      <c r="J324" s="314"/>
    </row>
    <row r="325" spans="1:10" ht="15">
      <c r="A325" s="194">
        <v>317</v>
      </c>
      <c r="B325" s="509">
        <v>41086</v>
      </c>
      <c r="C325" s="200" t="s">
        <v>1165</v>
      </c>
      <c r="D325" s="322" t="s">
        <v>1166</v>
      </c>
      <c r="E325" s="198" t="s">
        <v>506</v>
      </c>
      <c r="F325" s="325">
        <v>162.5</v>
      </c>
      <c r="G325" s="325">
        <v>162.5</v>
      </c>
      <c r="H325" s="299">
        <v>0</v>
      </c>
      <c r="I325" s="325">
        <v>162.5</v>
      </c>
      <c r="J325" s="314"/>
    </row>
    <row r="326" spans="1:10" ht="15">
      <c r="A326" s="194">
        <v>318</v>
      </c>
      <c r="B326" s="509">
        <v>41086</v>
      </c>
      <c r="C326" s="200" t="s">
        <v>1167</v>
      </c>
      <c r="D326" s="322" t="s">
        <v>1168</v>
      </c>
      <c r="E326" s="198" t="s">
        <v>506</v>
      </c>
      <c r="F326" s="325">
        <v>125</v>
      </c>
      <c r="G326" s="325">
        <v>125</v>
      </c>
      <c r="H326" s="299">
        <v>0</v>
      </c>
      <c r="I326" s="325">
        <v>125</v>
      </c>
      <c r="J326" s="314"/>
    </row>
    <row r="327" spans="1:10" ht="15">
      <c r="A327" s="194">
        <v>319</v>
      </c>
      <c r="B327" s="509">
        <v>41086</v>
      </c>
      <c r="C327" s="200" t="s">
        <v>1169</v>
      </c>
      <c r="D327" s="322" t="s">
        <v>1170</v>
      </c>
      <c r="E327" s="198" t="s">
        <v>506</v>
      </c>
      <c r="F327" s="325">
        <v>125</v>
      </c>
      <c r="G327" s="325">
        <v>125</v>
      </c>
      <c r="H327" s="299">
        <v>0</v>
      </c>
      <c r="I327" s="325">
        <v>125</v>
      </c>
      <c r="J327" s="314"/>
    </row>
    <row r="328" spans="1:10" ht="15">
      <c r="A328" s="194">
        <v>320</v>
      </c>
      <c r="B328" s="509">
        <v>41086</v>
      </c>
      <c r="C328" s="200" t="s">
        <v>1171</v>
      </c>
      <c r="D328" s="322" t="s">
        <v>1172</v>
      </c>
      <c r="E328" s="198" t="s">
        <v>506</v>
      </c>
      <c r="F328" s="325">
        <v>162.5</v>
      </c>
      <c r="G328" s="325">
        <v>162.5</v>
      </c>
      <c r="H328" s="299">
        <v>0</v>
      </c>
      <c r="I328" s="325">
        <v>162.5</v>
      </c>
      <c r="J328" s="314"/>
    </row>
    <row r="329" spans="1:10" ht="15">
      <c r="A329" s="194">
        <v>321</v>
      </c>
      <c r="B329" s="509">
        <v>41086</v>
      </c>
      <c r="C329" s="200" t="s">
        <v>1173</v>
      </c>
      <c r="D329" s="322" t="s">
        <v>1174</v>
      </c>
      <c r="E329" s="198" t="s">
        <v>506</v>
      </c>
      <c r="F329" s="325">
        <v>162.5</v>
      </c>
      <c r="G329" s="325">
        <v>162.5</v>
      </c>
      <c r="H329" s="299">
        <v>0</v>
      </c>
      <c r="I329" s="325">
        <v>162.5</v>
      </c>
      <c r="J329" s="314"/>
    </row>
    <row r="330" spans="1:10" ht="15">
      <c r="A330" s="194">
        <v>322</v>
      </c>
      <c r="B330" s="509">
        <v>41086</v>
      </c>
      <c r="C330" s="200" t="s">
        <v>1175</v>
      </c>
      <c r="D330" s="322" t="s">
        <v>1176</v>
      </c>
      <c r="E330" s="198" t="s">
        <v>506</v>
      </c>
      <c r="F330" s="325">
        <v>162.5</v>
      </c>
      <c r="G330" s="325">
        <v>162.5</v>
      </c>
      <c r="H330" s="299">
        <v>0</v>
      </c>
      <c r="I330" s="325">
        <v>162.5</v>
      </c>
      <c r="J330" s="314"/>
    </row>
    <row r="331" spans="1:10" ht="15">
      <c r="A331" s="194">
        <v>323</v>
      </c>
      <c r="B331" s="509">
        <v>41086</v>
      </c>
      <c r="C331" s="200" t="s">
        <v>1177</v>
      </c>
      <c r="D331" s="322" t="s">
        <v>1178</v>
      </c>
      <c r="E331" s="198" t="s">
        <v>506</v>
      </c>
      <c r="F331" s="325">
        <v>162.5</v>
      </c>
      <c r="G331" s="325">
        <v>162.5</v>
      </c>
      <c r="H331" s="299">
        <v>0</v>
      </c>
      <c r="I331" s="325">
        <v>162.5</v>
      </c>
      <c r="J331" s="314"/>
    </row>
    <row r="332" spans="1:10" ht="15">
      <c r="A332" s="194">
        <v>324</v>
      </c>
      <c r="B332" s="509">
        <v>41086</v>
      </c>
      <c r="C332" s="200" t="s">
        <v>1179</v>
      </c>
      <c r="D332" s="322" t="s">
        <v>1180</v>
      </c>
      <c r="E332" s="198" t="s">
        <v>506</v>
      </c>
      <c r="F332" s="325">
        <v>162.5</v>
      </c>
      <c r="G332" s="325">
        <v>162.5</v>
      </c>
      <c r="H332" s="299">
        <v>0</v>
      </c>
      <c r="I332" s="325">
        <v>162.5</v>
      </c>
      <c r="J332" s="314"/>
    </row>
    <row r="333" spans="1:10" ht="15">
      <c r="A333" s="194">
        <v>325</v>
      </c>
      <c r="B333" s="509">
        <v>41086</v>
      </c>
      <c r="C333" s="200" t="s">
        <v>1181</v>
      </c>
      <c r="D333" s="322" t="s">
        <v>1182</v>
      </c>
      <c r="E333" s="198" t="s">
        <v>506</v>
      </c>
      <c r="F333" s="325">
        <v>162.5</v>
      </c>
      <c r="G333" s="325">
        <v>162.5</v>
      </c>
      <c r="H333" s="299">
        <v>0</v>
      </c>
      <c r="I333" s="325">
        <v>162.5</v>
      </c>
      <c r="J333" s="314"/>
    </row>
    <row r="334" spans="1:10" ht="15">
      <c r="A334" s="194">
        <v>326</v>
      </c>
      <c r="B334" s="509">
        <v>41086</v>
      </c>
      <c r="C334" s="200" t="s">
        <v>1183</v>
      </c>
      <c r="D334" s="322" t="s">
        <v>1184</v>
      </c>
      <c r="E334" s="198" t="s">
        <v>506</v>
      </c>
      <c r="F334" s="325">
        <v>162.5</v>
      </c>
      <c r="G334" s="325">
        <v>162.5</v>
      </c>
      <c r="H334" s="299">
        <v>0</v>
      </c>
      <c r="I334" s="325">
        <v>162.5</v>
      </c>
      <c r="J334" s="314"/>
    </row>
    <row r="335" spans="1:10" ht="15">
      <c r="A335" s="194">
        <v>327</v>
      </c>
      <c r="B335" s="509">
        <v>41086</v>
      </c>
      <c r="C335" s="200" t="s">
        <v>1185</v>
      </c>
      <c r="D335" s="322" t="s">
        <v>1186</v>
      </c>
      <c r="E335" s="198" t="s">
        <v>506</v>
      </c>
      <c r="F335" s="325">
        <v>162.5</v>
      </c>
      <c r="G335" s="325">
        <v>162.5</v>
      </c>
      <c r="H335" s="299">
        <v>0</v>
      </c>
      <c r="I335" s="325">
        <v>162.5</v>
      </c>
      <c r="J335" s="314"/>
    </row>
    <row r="336" spans="1:10" ht="15">
      <c r="A336" s="194">
        <v>328</v>
      </c>
      <c r="B336" s="509">
        <v>41086</v>
      </c>
      <c r="C336" s="200" t="s">
        <v>1187</v>
      </c>
      <c r="D336" s="322" t="s">
        <v>1188</v>
      </c>
      <c r="E336" s="198" t="s">
        <v>506</v>
      </c>
      <c r="F336" s="325">
        <v>162.5</v>
      </c>
      <c r="G336" s="325">
        <v>162.5</v>
      </c>
      <c r="H336" s="299">
        <v>0</v>
      </c>
      <c r="I336" s="325">
        <v>162.5</v>
      </c>
      <c r="J336" s="314"/>
    </row>
    <row r="337" spans="1:10" ht="15">
      <c r="A337" s="194">
        <v>329</v>
      </c>
      <c r="B337" s="509">
        <v>41086</v>
      </c>
      <c r="C337" s="200" t="s">
        <v>1189</v>
      </c>
      <c r="D337" s="322" t="s">
        <v>1190</v>
      </c>
      <c r="E337" s="198" t="s">
        <v>506</v>
      </c>
      <c r="F337" s="325">
        <v>162.5</v>
      </c>
      <c r="G337" s="325">
        <v>162.5</v>
      </c>
      <c r="H337" s="299">
        <v>0</v>
      </c>
      <c r="I337" s="325">
        <v>162.5</v>
      </c>
      <c r="J337" s="314"/>
    </row>
    <row r="338" spans="1:10" ht="15">
      <c r="A338" s="194">
        <v>330</v>
      </c>
      <c r="B338" s="509">
        <v>41086</v>
      </c>
      <c r="C338" s="200" t="s">
        <v>1191</v>
      </c>
      <c r="D338" s="322" t="s">
        <v>1192</v>
      </c>
      <c r="E338" s="198" t="s">
        <v>506</v>
      </c>
      <c r="F338" s="325">
        <v>162.5</v>
      </c>
      <c r="G338" s="325">
        <v>162.5</v>
      </c>
      <c r="H338" s="299">
        <v>0</v>
      </c>
      <c r="I338" s="325">
        <v>162.5</v>
      </c>
      <c r="J338" s="314"/>
    </row>
    <row r="339" spans="1:10" ht="15">
      <c r="A339" s="194">
        <v>331</v>
      </c>
      <c r="B339" s="509">
        <v>41086</v>
      </c>
      <c r="C339" s="200" t="s">
        <v>1193</v>
      </c>
      <c r="D339" s="322" t="s">
        <v>1194</v>
      </c>
      <c r="E339" s="198" t="s">
        <v>506</v>
      </c>
      <c r="F339" s="325">
        <v>162.5</v>
      </c>
      <c r="G339" s="325">
        <v>162.5</v>
      </c>
      <c r="H339" s="299">
        <v>0</v>
      </c>
      <c r="I339" s="325">
        <v>162.5</v>
      </c>
      <c r="J339" s="314"/>
    </row>
    <row r="340" spans="1:10" ht="15">
      <c r="A340" s="194">
        <v>332</v>
      </c>
      <c r="B340" s="509">
        <v>41086</v>
      </c>
      <c r="C340" s="200" t="s">
        <v>1195</v>
      </c>
      <c r="D340" s="322" t="s">
        <v>1196</v>
      </c>
      <c r="E340" s="198" t="s">
        <v>506</v>
      </c>
      <c r="F340" s="325">
        <v>125</v>
      </c>
      <c r="G340" s="325">
        <v>125</v>
      </c>
      <c r="H340" s="299">
        <v>0</v>
      </c>
      <c r="I340" s="325">
        <v>125</v>
      </c>
      <c r="J340" s="314"/>
    </row>
    <row r="341" spans="1:10" ht="15">
      <c r="A341" s="194">
        <v>333</v>
      </c>
      <c r="B341" s="509">
        <v>41086</v>
      </c>
      <c r="C341" s="200" t="s">
        <v>1197</v>
      </c>
      <c r="D341" s="322" t="s">
        <v>1198</v>
      </c>
      <c r="E341" s="198" t="s">
        <v>506</v>
      </c>
      <c r="F341" s="325">
        <v>125</v>
      </c>
      <c r="G341" s="325">
        <v>125</v>
      </c>
      <c r="H341" s="299">
        <v>0</v>
      </c>
      <c r="I341" s="325">
        <v>125</v>
      </c>
      <c r="J341" s="314"/>
    </row>
    <row r="342" spans="1:10" ht="15">
      <c r="A342" s="194">
        <v>334</v>
      </c>
      <c r="B342" s="509">
        <v>41086</v>
      </c>
      <c r="C342" s="200" t="s">
        <v>1199</v>
      </c>
      <c r="D342" s="322" t="s">
        <v>1200</v>
      </c>
      <c r="E342" s="198" t="s">
        <v>506</v>
      </c>
      <c r="F342" s="325">
        <v>162.5</v>
      </c>
      <c r="G342" s="325">
        <v>162.5</v>
      </c>
      <c r="H342" s="299">
        <v>0</v>
      </c>
      <c r="I342" s="325">
        <v>162.5</v>
      </c>
      <c r="J342" s="314"/>
    </row>
    <row r="343" spans="1:10" ht="15">
      <c r="A343" s="194">
        <v>335</v>
      </c>
      <c r="B343" s="509">
        <v>41086</v>
      </c>
      <c r="C343" s="200" t="s">
        <v>1201</v>
      </c>
      <c r="D343" s="322" t="s">
        <v>1202</v>
      </c>
      <c r="E343" s="198" t="s">
        <v>506</v>
      </c>
      <c r="F343" s="325">
        <v>100</v>
      </c>
      <c r="G343" s="325">
        <v>100</v>
      </c>
      <c r="H343" s="299">
        <v>0</v>
      </c>
      <c r="I343" s="325">
        <v>100</v>
      </c>
      <c r="J343" s="314"/>
    </row>
    <row r="344" spans="1:10" ht="15">
      <c r="A344" s="194">
        <v>336</v>
      </c>
      <c r="B344" s="509">
        <v>41086</v>
      </c>
      <c r="C344" s="200" t="s">
        <v>1203</v>
      </c>
      <c r="D344" s="322" t="s">
        <v>1204</v>
      </c>
      <c r="E344" s="198" t="s">
        <v>506</v>
      </c>
      <c r="F344" s="325">
        <v>100</v>
      </c>
      <c r="G344" s="325">
        <v>100</v>
      </c>
      <c r="H344" s="299">
        <v>0</v>
      </c>
      <c r="I344" s="325">
        <v>100</v>
      </c>
      <c r="J344" s="314"/>
    </row>
    <row r="345" spans="1:10" ht="15">
      <c r="A345" s="194">
        <v>337</v>
      </c>
      <c r="B345" s="509">
        <v>41086</v>
      </c>
      <c r="C345" s="200" t="s">
        <v>1205</v>
      </c>
      <c r="D345" s="322" t="s">
        <v>1206</v>
      </c>
      <c r="E345" s="198" t="s">
        <v>506</v>
      </c>
      <c r="F345" s="325">
        <v>125</v>
      </c>
      <c r="G345" s="325">
        <v>125</v>
      </c>
      <c r="H345" s="299">
        <v>0</v>
      </c>
      <c r="I345" s="325">
        <v>125</v>
      </c>
      <c r="J345" s="314"/>
    </row>
    <row r="346" spans="1:10" ht="15">
      <c r="A346" s="194">
        <v>338</v>
      </c>
      <c r="B346" s="509">
        <v>41086</v>
      </c>
      <c r="C346" s="200" t="s">
        <v>1207</v>
      </c>
      <c r="D346" s="322" t="s">
        <v>1208</v>
      </c>
      <c r="E346" s="198" t="s">
        <v>506</v>
      </c>
      <c r="F346" s="325">
        <v>100</v>
      </c>
      <c r="G346" s="325">
        <v>100</v>
      </c>
      <c r="H346" s="299">
        <v>0</v>
      </c>
      <c r="I346" s="325">
        <v>100</v>
      </c>
      <c r="J346" s="314"/>
    </row>
    <row r="347" spans="1:10" ht="15">
      <c r="A347" s="194">
        <v>339</v>
      </c>
      <c r="B347" s="509">
        <v>41086</v>
      </c>
      <c r="C347" s="200" t="s">
        <v>1209</v>
      </c>
      <c r="D347" s="322" t="s">
        <v>1210</v>
      </c>
      <c r="E347" s="198" t="s">
        <v>506</v>
      </c>
      <c r="F347" s="325">
        <v>125</v>
      </c>
      <c r="G347" s="325">
        <v>125</v>
      </c>
      <c r="H347" s="299">
        <v>0</v>
      </c>
      <c r="I347" s="325">
        <v>125</v>
      </c>
      <c r="J347" s="314"/>
    </row>
    <row r="348" spans="1:10" ht="15">
      <c r="A348" s="194">
        <v>340</v>
      </c>
      <c r="B348" s="509">
        <v>41086</v>
      </c>
      <c r="C348" s="200" t="s">
        <v>1211</v>
      </c>
      <c r="D348" s="322" t="s">
        <v>1212</v>
      </c>
      <c r="E348" s="198" t="s">
        <v>506</v>
      </c>
      <c r="F348" s="325">
        <v>100</v>
      </c>
      <c r="G348" s="325">
        <v>100</v>
      </c>
      <c r="H348" s="299">
        <v>0</v>
      </c>
      <c r="I348" s="325">
        <v>100</v>
      </c>
      <c r="J348" s="314"/>
    </row>
    <row r="349" spans="1:10" ht="15">
      <c r="A349" s="194">
        <v>341</v>
      </c>
      <c r="B349" s="509">
        <v>41086</v>
      </c>
      <c r="C349" s="200" t="s">
        <v>1213</v>
      </c>
      <c r="D349" s="322" t="s">
        <v>1214</v>
      </c>
      <c r="E349" s="198" t="s">
        <v>506</v>
      </c>
      <c r="F349" s="325">
        <v>125</v>
      </c>
      <c r="G349" s="325">
        <v>125</v>
      </c>
      <c r="H349" s="299">
        <v>0</v>
      </c>
      <c r="I349" s="325">
        <v>125</v>
      </c>
      <c r="J349" s="314"/>
    </row>
    <row r="350" spans="1:10" ht="15">
      <c r="A350" s="194">
        <v>342</v>
      </c>
      <c r="B350" s="509">
        <v>41086</v>
      </c>
      <c r="C350" s="200" t="s">
        <v>1215</v>
      </c>
      <c r="D350" s="322" t="s">
        <v>1216</v>
      </c>
      <c r="E350" s="198" t="s">
        <v>506</v>
      </c>
      <c r="F350" s="325">
        <v>100</v>
      </c>
      <c r="G350" s="325">
        <v>100</v>
      </c>
      <c r="H350" s="299">
        <v>0</v>
      </c>
      <c r="I350" s="325">
        <v>100</v>
      </c>
      <c r="J350" s="314"/>
    </row>
    <row r="351" spans="1:10" ht="15">
      <c r="A351" s="194">
        <v>343</v>
      </c>
      <c r="B351" s="509">
        <v>41086</v>
      </c>
      <c r="C351" s="200" t="s">
        <v>1217</v>
      </c>
      <c r="D351" s="322" t="s">
        <v>1218</v>
      </c>
      <c r="E351" s="198" t="s">
        <v>506</v>
      </c>
      <c r="F351" s="325">
        <v>100</v>
      </c>
      <c r="G351" s="325">
        <v>100</v>
      </c>
      <c r="H351" s="299">
        <v>0</v>
      </c>
      <c r="I351" s="325">
        <v>100</v>
      </c>
      <c r="J351" s="314"/>
    </row>
    <row r="352" spans="1:10" ht="15">
      <c r="A352" s="194">
        <v>344</v>
      </c>
      <c r="B352" s="509">
        <v>41086</v>
      </c>
      <c r="C352" s="200" t="s">
        <v>1219</v>
      </c>
      <c r="D352" s="322" t="s">
        <v>1220</v>
      </c>
      <c r="E352" s="198" t="s">
        <v>506</v>
      </c>
      <c r="F352" s="325">
        <v>162.5</v>
      </c>
      <c r="G352" s="325">
        <v>162.5</v>
      </c>
      <c r="H352" s="299">
        <v>0</v>
      </c>
      <c r="I352" s="325">
        <v>162.5</v>
      </c>
      <c r="J352" s="314"/>
    </row>
    <row r="353" spans="1:10" ht="15">
      <c r="A353" s="194">
        <v>345</v>
      </c>
      <c r="B353" s="509">
        <v>41086</v>
      </c>
      <c r="C353" s="200" t="s">
        <v>1221</v>
      </c>
      <c r="D353" s="322" t="s">
        <v>1222</v>
      </c>
      <c r="E353" s="198" t="s">
        <v>506</v>
      </c>
      <c r="F353" s="325">
        <v>100</v>
      </c>
      <c r="G353" s="325">
        <v>100</v>
      </c>
      <c r="H353" s="299">
        <v>0</v>
      </c>
      <c r="I353" s="325">
        <v>100</v>
      </c>
      <c r="J353" s="314"/>
    </row>
    <row r="354" spans="1:10" ht="15">
      <c r="A354" s="194">
        <v>346</v>
      </c>
      <c r="B354" s="509">
        <v>41086</v>
      </c>
      <c r="C354" s="200" t="s">
        <v>1223</v>
      </c>
      <c r="D354" s="322" t="s">
        <v>1224</v>
      </c>
      <c r="E354" s="198" t="s">
        <v>506</v>
      </c>
      <c r="F354" s="325">
        <v>162.5</v>
      </c>
      <c r="G354" s="325">
        <v>162.5</v>
      </c>
      <c r="H354" s="299">
        <v>0</v>
      </c>
      <c r="I354" s="325">
        <v>162.5</v>
      </c>
      <c r="J354" s="314"/>
    </row>
    <row r="355" spans="1:10" ht="15">
      <c r="A355" s="194">
        <v>347</v>
      </c>
      <c r="B355" s="509">
        <v>41086</v>
      </c>
      <c r="C355" s="200" t="s">
        <v>1225</v>
      </c>
      <c r="D355" s="322" t="s">
        <v>1226</v>
      </c>
      <c r="E355" s="198" t="s">
        <v>506</v>
      </c>
      <c r="F355" s="325">
        <v>162.5</v>
      </c>
      <c r="G355" s="325">
        <v>162.5</v>
      </c>
      <c r="H355" s="299">
        <v>0</v>
      </c>
      <c r="I355" s="325">
        <v>162.5</v>
      </c>
      <c r="J355" s="314"/>
    </row>
    <row r="356" spans="1:10" ht="15">
      <c r="A356" s="194">
        <v>348</v>
      </c>
      <c r="B356" s="509">
        <v>41086</v>
      </c>
      <c r="C356" s="200" t="s">
        <v>1227</v>
      </c>
      <c r="D356" s="322" t="s">
        <v>1228</v>
      </c>
      <c r="E356" s="198" t="s">
        <v>506</v>
      </c>
      <c r="F356" s="325">
        <v>125</v>
      </c>
      <c r="G356" s="325">
        <v>125</v>
      </c>
      <c r="H356" s="299">
        <v>0</v>
      </c>
      <c r="I356" s="325">
        <v>125</v>
      </c>
      <c r="J356" s="314"/>
    </row>
    <row r="357" spans="1:10" ht="15">
      <c r="A357" s="194">
        <v>349</v>
      </c>
      <c r="B357" s="509">
        <v>41086</v>
      </c>
      <c r="C357" s="200" t="s">
        <v>1229</v>
      </c>
      <c r="D357" s="322" t="s">
        <v>1230</v>
      </c>
      <c r="E357" s="198" t="s">
        <v>506</v>
      </c>
      <c r="F357" s="325">
        <v>162.5</v>
      </c>
      <c r="G357" s="325">
        <v>162.5</v>
      </c>
      <c r="H357" s="299">
        <v>0</v>
      </c>
      <c r="I357" s="325">
        <v>162.5</v>
      </c>
      <c r="J357" s="314"/>
    </row>
    <row r="358" spans="1:10" ht="15">
      <c r="A358" s="194">
        <v>350</v>
      </c>
      <c r="B358" s="509">
        <v>41086</v>
      </c>
      <c r="C358" s="200" t="s">
        <v>1231</v>
      </c>
      <c r="D358" s="322" t="s">
        <v>1232</v>
      </c>
      <c r="E358" s="198" t="s">
        <v>506</v>
      </c>
      <c r="F358" s="325">
        <v>325</v>
      </c>
      <c r="G358" s="325">
        <v>325</v>
      </c>
      <c r="H358" s="299">
        <v>0</v>
      </c>
      <c r="I358" s="325">
        <v>325</v>
      </c>
      <c r="J358" s="314"/>
    </row>
    <row r="359" spans="1:10" ht="15">
      <c r="A359" s="194">
        <v>351</v>
      </c>
      <c r="B359" s="509">
        <v>41086</v>
      </c>
      <c r="C359" s="200" t="s">
        <v>1233</v>
      </c>
      <c r="D359" s="322" t="s">
        <v>1234</v>
      </c>
      <c r="E359" s="198" t="s">
        <v>506</v>
      </c>
      <c r="F359" s="325">
        <v>325</v>
      </c>
      <c r="G359" s="325">
        <v>325</v>
      </c>
      <c r="H359" s="299">
        <v>0</v>
      </c>
      <c r="I359" s="325">
        <v>325</v>
      </c>
      <c r="J359" s="314"/>
    </row>
    <row r="360" spans="1:10" ht="15">
      <c r="A360" s="194">
        <v>352</v>
      </c>
      <c r="B360" s="509">
        <v>41085</v>
      </c>
      <c r="C360" s="200" t="s">
        <v>1235</v>
      </c>
      <c r="D360" s="322" t="s">
        <v>1236</v>
      </c>
      <c r="E360" s="198" t="s">
        <v>506</v>
      </c>
      <c r="F360" s="325">
        <v>162.5</v>
      </c>
      <c r="G360" s="325">
        <v>162.5</v>
      </c>
      <c r="H360" s="299">
        <v>0</v>
      </c>
      <c r="I360" s="325">
        <v>162.5</v>
      </c>
      <c r="J360" s="314"/>
    </row>
    <row r="361" spans="1:10" ht="15">
      <c r="A361" s="194">
        <v>353</v>
      </c>
      <c r="B361" s="509">
        <v>41085</v>
      </c>
      <c r="C361" s="200" t="s">
        <v>1237</v>
      </c>
      <c r="D361" s="322" t="s">
        <v>1238</v>
      </c>
      <c r="E361" s="198" t="s">
        <v>506</v>
      </c>
      <c r="F361" s="325">
        <v>162.5</v>
      </c>
      <c r="G361" s="325">
        <v>162.5</v>
      </c>
      <c r="H361" s="299">
        <v>0</v>
      </c>
      <c r="I361" s="325">
        <v>162.5</v>
      </c>
      <c r="J361" s="314"/>
    </row>
    <row r="362" spans="1:10" ht="15">
      <c r="A362" s="194">
        <v>354</v>
      </c>
      <c r="B362" s="509">
        <v>41085</v>
      </c>
      <c r="C362" s="200" t="s">
        <v>1239</v>
      </c>
      <c r="D362" s="322" t="s">
        <v>1240</v>
      </c>
      <c r="E362" s="198" t="s">
        <v>506</v>
      </c>
      <c r="F362" s="325">
        <v>162.5</v>
      </c>
      <c r="G362" s="325">
        <v>162.5</v>
      </c>
      <c r="H362" s="299">
        <v>0</v>
      </c>
      <c r="I362" s="325">
        <v>162.5</v>
      </c>
      <c r="J362" s="314"/>
    </row>
    <row r="363" spans="1:10" ht="15">
      <c r="A363" s="194">
        <v>355</v>
      </c>
      <c r="B363" s="509">
        <v>41085</v>
      </c>
      <c r="C363" s="200" t="s">
        <v>1241</v>
      </c>
      <c r="D363" s="322" t="s">
        <v>1242</v>
      </c>
      <c r="E363" s="198" t="s">
        <v>506</v>
      </c>
      <c r="F363" s="325">
        <v>162.5</v>
      </c>
      <c r="G363" s="325">
        <v>162.5</v>
      </c>
      <c r="H363" s="299">
        <v>0</v>
      </c>
      <c r="I363" s="325">
        <v>162.5</v>
      </c>
      <c r="J363" s="314"/>
    </row>
    <row r="364" spans="1:10" ht="15">
      <c r="A364" s="194">
        <v>356</v>
      </c>
      <c r="B364" s="509">
        <v>41085</v>
      </c>
      <c r="C364" s="200" t="s">
        <v>1243</v>
      </c>
      <c r="D364" s="322" t="s">
        <v>1244</v>
      </c>
      <c r="E364" s="198" t="s">
        <v>506</v>
      </c>
      <c r="F364" s="325">
        <v>162.5</v>
      </c>
      <c r="G364" s="325">
        <v>162.5</v>
      </c>
      <c r="H364" s="299">
        <v>0</v>
      </c>
      <c r="I364" s="325">
        <v>162.5</v>
      </c>
      <c r="J364" s="314"/>
    </row>
    <row r="365" spans="1:10" ht="15">
      <c r="A365" s="194">
        <v>357</v>
      </c>
      <c r="B365" s="509">
        <v>41085</v>
      </c>
      <c r="C365" s="200" t="s">
        <v>1245</v>
      </c>
      <c r="D365" s="322" t="s">
        <v>1246</v>
      </c>
      <c r="E365" s="198" t="s">
        <v>506</v>
      </c>
      <c r="F365" s="325">
        <v>162.5</v>
      </c>
      <c r="G365" s="325">
        <v>162.5</v>
      </c>
      <c r="H365" s="299">
        <v>0</v>
      </c>
      <c r="I365" s="325">
        <v>162.5</v>
      </c>
      <c r="J365" s="314"/>
    </row>
    <row r="366" spans="1:10" ht="15">
      <c r="A366" s="194">
        <v>358</v>
      </c>
      <c r="B366" s="509">
        <v>41085</v>
      </c>
      <c r="C366" s="200" t="s">
        <v>1247</v>
      </c>
      <c r="D366" s="322" t="s">
        <v>1248</v>
      </c>
      <c r="E366" s="198" t="s">
        <v>506</v>
      </c>
      <c r="F366" s="325">
        <v>125</v>
      </c>
      <c r="G366" s="325">
        <v>125</v>
      </c>
      <c r="H366" s="299">
        <v>0</v>
      </c>
      <c r="I366" s="325">
        <v>125</v>
      </c>
      <c r="J366" s="314"/>
    </row>
    <row r="367" spans="1:10" ht="15">
      <c r="A367" s="194">
        <v>359</v>
      </c>
      <c r="B367" s="509">
        <v>41085</v>
      </c>
      <c r="C367" s="200" t="s">
        <v>1249</v>
      </c>
      <c r="D367" s="322" t="s">
        <v>1250</v>
      </c>
      <c r="E367" s="198" t="s">
        <v>506</v>
      </c>
      <c r="F367" s="325">
        <v>125</v>
      </c>
      <c r="G367" s="325">
        <v>125</v>
      </c>
      <c r="H367" s="299">
        <v>0</v>
      </c>
      <c r="I367" s="325">
        <v>125</v>
      </c>
      <c r="J367" s="314"/>
    </row>
    <row r="368" spans="1:10" ht="15">
      <c r="A368" s="194">
        <v>360</v>
      </c>
      <c r="B368" s="509">
        <v>41085</v>
      </c>
      <c r="C368" s="200" t="s">
        <v>1251</v>
      </c>
      <c r="D368" s="322" t="s">
        <v>1252</v>
      </c>
      <c r="E368" s="198" t="s">
        <v>506</v>
      </c>
      <c r="F368" s="325">
        <v>125</v>
      </c>
      <c r="G368" s="325">
        <v>125</v>
      </c>
      <c r="H368" s="299">
        <v>0</v>
      </c>
      <c r="I368" s="325">
        <v>125</v>
      </c>
      <c r="J368" s="314"/>
    </row>
    <row r="369" spans="1:10" ht="15">
      <c r="A369" s="194">
        <v>361</v>
      </c>
      <c r="B369" s="509">
        <v>41085</v>
      </c>
      <c r="C369" s="200" t="s">
        <v>1253</v>
      </c>
      <c r="D369" s="322" t="s">
        <v>1254</v>
      </c>
      <c r="E369" s="198" t="s">
        <v>506</v>
      </c>
      <c r="F369" s="325">
        <v>162.5</v>
      </c>
      <c r="G369" s="325">
        <v>162.5</v>
      </c>
      <c r="H369" s="299">
        <v>0</v>
      </c>
      <c r="I369" s="325">
        <v>162.5</v>
      </c>
      <c r="J369" s="314"/>
    </row>
    <row r="370" spans="1:10" ht="15">
      <c r="A370" s="194">
        <v>362</v>
      </c>
      <c r="B370" s="509">
        <v>41085</v>
      </c>
      <c r="C370" s="200" t="s">
        <v>1255</v>
      </c>
      <c r="D370" s="322" t="s">
        <v>1256</v>
      </c>
      <c r="E370" s="198" t="s">
        <v>506</v>
      </c>
      <c r="F370" s="325">
        <v>162.5</v>
      </c>
      <c r="G370" s="325">
        <v>162.5</v>
      </c>
      <c r="H370" s="299">
        <v>0</v>
      </c>
      <c r="I370" s="325">
        <v>162.5</v>
      </c>
      <c r="J370" s="314"/>
    </row>
    <row r="371" spans="1:10" ht="15">
      <c r="A371" s="194">
        <v>363</v>
      </c>
      <c r="B371" s="509">
        <v>41085</v>
      </c>
      <c r="C371" s="200" t="s">
        <v>1257</v>
      </c>
      <c r="D371" s="322" t="s">
        <v>1258</v>
      </c>
      <c r="E371" s="198" t="s">
        <v>506</v>
      </c>
      <c r="F371" s="325">
        <v>162.5</v>
      </c>
      <c r="G371" s="325">
        <v>162.5</v>
      </c>
      <c r="H371" s="299">
        <v>0</v>
      </c>
      <c r="I371" s="325">
        <v>162.5</v>
      </c>
      <c r="J371" s="314"/>
    </row>
    <row r="372" spans="1:10" ht="15">
      <c r="A372" s="194">
        <v>364</v>
      </c>
      <c r="B372" s="509">
        <v>41085</v>
      </c>
      <c r="C372" s="200" t="s">
        <v>1259</v>
      </c>
      <c r="D372" s="322" t="s">
        <v>1260</v>
      </c>
      <c r="E372" s="198" t="s">
        <v>506</v>
      </c>
      <c r="F372" s="325">
        <v>162.5</v>
      </c>
      <c r="G372" s="325">
        <v>162.5</v>
      </c>
      <c r="H372" s="299">
        <v>0</v>
      </c>
      <c r="I372" s="325">
        <v>162.5</v>
      </c>
      <c r="J372" s="314"/>
    </row>
    <row r="373" spans="1:10" ht="15">
      <c r="A373" s="194">
        <v>365</v>
      </c>
      <c r="B373" s="509">
        <v>41085</v>
      </c>
      <c r="C373" s="200" t="s">
        <v>1261</v>
      </c>
      <c r="D373" s="322" t="s">
        <v>1262</v>
      </c>
      <c r="E373" s="198" t="s">
        <v>506</v>
      </c>
      <c r="F373" s="325">
        <v>162.5</v>
      </c>
      <c r="G373" s="325">
        <v>162.5</v>
      </c>
      <c r="H373" s="299">
        <v>0</v>
      </c>
      <c r="I373" s="325">
        <v>162.5</v>
      </c>
      <c r="J373" s="314"/>
    </row>
    <row r="374" spans="1:10" ht="15">
      <c r="A374" s="194">
        <v>366</v>
      </c>
      <c r="B374" s="509">
        <v>41085</v>
      </c>
      <c r="C374" s="200" t="s">
        <v>1263</v>
      </c>
      <c r="D374" s="322" t="s">
        <v>1264</v>
      </c>
      <c r="E374" s="198" t="s">
        <v>506</v>
      </c>
      <c r="F374" s="325">
        <v>162.5</v>
      </c>
      <c r="G374" s="325">
        <v>162.5</v>
      </c>
      <c r="H374" s="299">
        <v>0</v>
      </c>
      <c r="I374" s="325">
        <v>162.5</v>
      </c>
      <c r="J374" s="314"/>
    </row>
    <row r="375" spans="1:10" ht="15">
      <c r="A375" s="194">
        <v>367</v>
      </c>
      <c r="B375" s="509">
        <v>41085</v>
      </c>
      <c r="C375" s="200" t="s">
        <v>1265</v>
      </c>
      <c r="D375" s="322" t="s">
        <v>1266</v>
      </c>
      <c r="E375" s="198" t="s">
        <v>506</v>
      </c>
      <c r="F375" s="325">
        <v>162.5</v>
      </c>
      <c r="G375" s="325">
        <v>162.5</v>
      </c>
      <c r="H375" s="299">
        <v>0</v>
      </c>
      <c r="I375" s="325">
        <v>162.5</v>
      </c>
      <c r="J375" s="314"/>
    </row>
    <row r="376" spans="1:10" ht="15">
      <c r="A376" s="194">
        <v>368</v>
      </c>
      <c r="B376" s="509">
        <v>41085</v>
      </c>
      <c r="C376" s="200" t="s">
        <v>1267</v>
      </c>
      <c r="D376" s="322" t="s">
        <v>1268</v>
      </c>
      <c r="E376" s="198" t="s">
        <v>506</v>
      </c>
      <c r="F376" s="325">
        <v>162.5</v>
      </c>
      <c r="G376" s="325">
        <v>162.5</v>
      </c>
      <c r="H376" s="299">
        <v>0</v>
      </c>
      <c r="I376" s="325">
        <v>162.5</v>
      </c>
      <c r="J376" s="314"/>
    </row>
    <row r="377" spans="1:10" ht="15">
      <c r="A377" s="194">
        <v>369</v>
      </c>
      <c r="B377" s="509">
        <v>41085</v>
      </c>
      <c r="C377" s="200" t="s">
        <v>1269</v>
      </c>
      <c r="D377" s="322" t="s">
        <v>1270</v>
      </c>
      <c r="E377" s="198" t="s">
        <v>506</v>
      </c>
      <c r="F377" s="325">
        <v>162.5</v>
      </c>
      <c r="G377" s="325">
        <v>162.5</v>
      </c>
      <c r="H377" s="299">
        <v>0</v>
      </c>
      <c r="I377" s="325">
        <v>162.5</v>
      </c>
      <c r="J377" s="314"/>
    </row>
    <row r="378" spans="1:10" ht="15">
      <c r="A378" s="194">
        <v>370</v>
      </c>
      <c r="B378" s="509">
        <v>41085</v>
      </c>
      <c r="C378" s="200" t="s">
        <v>1271</v>
      </c>
      <c r="D378" s="322" t="s">
        <v>1272</v>
      </c>
      <c r="E378" s="198" t="s">
        <v>506</v>
      </c>
      <c r="F378" s="325">
        <v>162.5</v>
      </c>
      <c r="G378" s="325">
        <v>162.5</v>
      </c>
      <c r="H378" s="299">
        <v>0</v>
      </c>
      <c r="I378" s="325">
        <v>162.5</v>
      </c>
      <c r="J378" s="314"/>
    </row>
    <row r="379" spans="1:10" ht="15">
      <c r="A379" s="194">
        <v>371</v>
      </c>
      <c r="B379" s="509">
        <v>41085</v>
      </c>
      <c r="C379" s="200" t="s">
        <v>1273</v>
      </c>
      <c r="D379" s="322" t="s">
        <v>1274</v>
      </c>
      <c r="E379" s="198" t="s">
        <v>506</v>
      </c>
      <c r="F379" s="325">
        <v>162.5</v>
      </c>
      <c r="G379" s="325">
        <v>162.5</v>
      </c>
      <c r="H379" s="299">
        <v>0</v>
      </c>
      <c r="I379" s="325">
        <v>162.5</v>
      </c>
      <c r="J379" s="314"/>
    </row>
    <row r="380" spans="1:10" ht="15">
      <c r="A380" s="194">
        <v>372</v>
      </c>
      <c r="B380" s="509">
        <v>41085</v>
      </c>
      <c r="C380" s="200" t="s">
        <v>1275</v>
      </c>
      <c r="D380" s="322" t="s">
        <v>1276</v>
      </c>
      <c r="E380" s="198" t="s">
        <v>506</v>
      </c>
      <c r="F380" s="325">
        <v>162.5</v>
      </c>
      <c r="G380" s="325">
        <v>162.5</v>
      </c>
      <c r="H380" s="299">
        <v>0</v>
      </c>
      <c r="I380" s="325">
        <v>162.5</v>
      </c>
      <c r="J380" s="314"/>
    </row>
    <row r="381" spans="1:10" ht="15">
      <c r="A381" s="194">
        <v>373</v>
      </c>
      <c r="B381" s="509">
        <v>41085</v>
      </c>
      <c r="C381" s="200" t="s">
        <v>1277</v>
      </c>
      <c r="D381" s="322" t="s">
        <v>1278</v>
      </c>
      <c r="E381" s="198" t="s">
        <v>506</v>
      </c>
      <c r="F381" s="325">
        <v>162.5</v>
      </c>
      <c r="G381" s="325">
        <v>162.5</v>
      </c>
      <c r="H381" s="299">
        <v>0</v>
      </c>
      <c r="I381" s="325">
        <v>162.5</v>
      </c>
      <c r="J381" s="314"/>
    </row>
    <row r="382" spans="1:10" ht="15">
      <c r="A382" s="194">
        <v>374</v>
      </c>
      <c r="B382" s="509">
        <v>41085</v>
      </c>
      <c r="C382" s="200" t="s">
        <v>1279</v>
      </c>
      <c r="D382" s="322" t="s">
        <v>1280</v>
      </c>
      <c r="E382" s="198" t="s">
        <v>506</v>
      </c>
      <c r="F382" s="325">
        <v>162.5</v>
      </c>
      <c r="G382" s="325">
        <v>162.5</v>
      </c>
      <c r="H382" s="299">
        <v>0</v>
      </c>
      <c r="I382" s="325">
        <v>162.5</v>
      </c>
      <c r="J382" s="314"/>
    </row>
    <row r="383" spans="1:10" ht="15">
      <c r="A383" s="194">
        <v>375</v>
      </c>
      <c r="B383" s="509">
        <v>41085</v>
      </c>
      <c r="C383" s="200" t="s">
        <v>1281</v>
      </c>
      <c r="D383" s="322" t="s">
        <v>1282</v>
      </c>
      <c r="E383" s="198" t="s">
        <v>506</v>
      </c>
      <c r="F383" s="325">
        <v>162.5</v>
      </c>
      <c r="G383" s="325">
        <v>162.5</v>
      </c>
      <c r="H383" s="299">
        <v>0</v>
      </c>
      <c r="I383" s="325">
        <v>162.5</v>
      </c>
      <c r="J383" s="314"/>
    </row>
    <row r="384" spans="1:10" ht="15">
      <c r="A384" s="194">
        <v>376</v>
      </c>
      <c r="B384" s="509">
        <v>41085</v>
      </c>
      <c r="C384" s="200" t="s">
        <v>1283</v>
      </c>
      <c r="D384" s="322" t="s">
        <v>1284</v>
      </c>
      <c r="E384" s="198" t="s">
        <v>506</v>
      </c>
      <c r="F384" s="325">
        <v>125</v>
      </c>
      <c r="G384" s="325">
        <v>125</v>
      </c>
      <c r="H384" s="299">
        <v>0</v>
      </c>
      <c r="I384" s="325">
        <v>125</v>
      </c>
      <c r="J384" s="314"/>
    </row>
    <row r="385" spans="1:10" ht="15">
      <c r="A385" s="194">
        <v>377</v>
      </c>
      <c r="B385" s="509">
        <v>41085</v>
      </c>
      <c r="C385" s="200" t="s">
        <v>1285</v>
      </c>
      <c r="D385" s="322" t="s">
        <v>1286</v>
      </c>
      <c r="E385" s="198" t="s">
        <v>506</v>
      </c>
      <c r="F385" s="325">
        <v>125</v>
      </c>
      <c r="G385" s="325">
        <v>125</v>
      </c>
      <c r="H385" s="299">
        <v>0</v>
      </c>
      <c r="I385" s="325">
        <v>125</v>
      </c>
      <c r="J385" s="314"/>
    </row>
    <row r="386" spans="1:10" ht="15">
      <c r="A386" s="194">
        <v>378</v>
      </c>
      <c r="B386" s="509">
        <v>41085</v>
      </c>
      <c r="C386" s="200" t="s">
        <v>1287</v>
      </c>
      <c r="D386" s="322" t="s">
        <v>1288</v>
      </c>
      <c r="E386" s="198" t="s">
        <v>506</v>
      </c>
      <c r="F386" s="325">
        <v>162.5</v>
      </c>
      <c r="G386" s="325">
        <v>162.5</v>
      </c>
      <c r="H386" s="299">
        <v>0</v>
      </c>
      <c r="I386" s="325">
        <v>162.5</v>
      </c>
      <c r="J386" s="314"/>
    </row>
    <row r="387" spans="1:10" ht="15">
      <c r="A387" s="194">
        <v>379</v>
      </c>
      <c r="B387" s="509">
        <v>41085</v>
      </c>
      <c r="C387" s="200" t="s">
        <v>1289</v>
      </c>
      <c r="D387" s="322" t="s">
        <v>1290</v>
      </c>
      <c r="E387" s="198" t="s">
        <v>506</v>
      </c>
      <c r="F387" s="325">
        <v>162.5</v>
      </c>
      <c r="G387" s="325">
        <v>162.5</v>
      </c>
      <c r="H387" s="299">
        <v>0</v>
      </c>
      <c r="I387" s="325">
        <v>162.5</v>
      </c>
      <c r="J387" s="314"/>
    </row>
    <row r="388" spans="1:10" ht="15">
      <c r="A388" s="194">
        <v>380</v>
      </c>
      <c r="B388" s="509">
        <v>41085</v>
      </c>
      <c r="C388" s="200" t="s">
        <v>1291</v>
      </c>
      <c r="D388" s="322" t="s">
        <v>1292</v>
      </c>
      <c r="E388" s="198" t="s">
        <v>506</v>
      </c>
      <c r="F388" s="325">
        <v>162.5</v>
      </c>
      <c r="G388" s="325">
        <v>162.5</v>
      </c>
      <c r="H388" s="299">
        <v>0</v>
      </c>
      <c r="I388" s="325">
        <v>162.5</v>
      </c>
      <c r="J388" s="314"/>
    </row>
    <row r="389" spans="1:10" ht="15">
      <c r="A389" s="194">
        <v>381</v>
      </c>
      <c r="B389" s="509">
        <v>41085</v>
      </c>
      <c r="C389" s="200" t="s">
        <v>1293</v>
      </c>
      <c r="D389" s="322" t="s">
        <v>1294</v>
      </c>
      <c r="E389" s="198" t="s">
        <v>506</v>
      </c>
      <c r="F389" s="325">
        <v>162.5</v>
      </c>
      <c r="G389" s="325">
        <v>162.5</v>
      </c>
      <c r="H389" s="299">
        <v>0</v>
      </c>
      <c r="I389" s="325">
        <v>162.5</v>
      </c>
      <c r="J389" s="314"/>
    </row>
    <row r="390" spans="1:10" ht="15">
      <c r="A390" s="194">
        <v>382</v>
      </c>
      <c r="B390" s="509">
        <v>41085</v>
      </c>
      <c r="C390" s="200" t="s">
        <v>1295</v>
      </c>
      <c r="D390" s="322" t="s">
        <v>1296</v>
      </c>
      <c r="E390" s="198" t="s">
        <v>506</v>
      </c>
      <c r="F390" s="325">
        <v>162.5</v>
      </c>
      <c r="G390" s="325">
        <v>162.5</v>
      </c>
      <c r="H390" s="299">
        <v>0</v>
      </c>
      <c r="I390" s="325">
        <v>162.5</v>
      </c>
      <c r="J390" s="314"/>
    </row>
    <row r="391" spans="1:10" ht="15">
      <c r="A391" s="194">
        <v>383</v>
      </c>
      <c r="B391" s="509">
        <v>41085</v>
      </c>
      <c r="C391" s="200" t="s">
        <v>1297</v>
      </c>
      <c r="D391" s="322" t="s">
        <v>1298</v>
      </c>
      <c r="E391" s="198" t="s">
        <v>506</v>
      </c>
      <c r="F391" s="325">
        <v>162.5</v>
      </c>
      <c r="G391" s="325">
        <v>162.5</v>
      </c>
      <c r="H391" s="299">
        <v>0</v>
      </c>
      <c r="I391" s="325">
        <v>162.5</v>
      </c>
      <c r="J391" s="314"/>
    </row>
    <row r="392" spans="1:10" ht="15">
      <c r="A392" s="194">
        <v>384</v>
      </c>
      <c r="B392" s="509">
        <v>41085</v>
      </c>
      <c r="C392" s="200" t="s">
        <v>1299</v>
      </c>
      <c r="D392" s="322" t="s">
        <v>1300</v>
      </c>
      <c r="E392" s="198" t="s">
        <v>506</v>
      </c>
      <c r="F392" s="325">
        <v>162.5</v>
      </c>
      <c r="G392" s="325">
        <v>162.5</v>
      </c>
      <c r="H392" s="299">
        <v>0</v>
      </c>
      <c r="I392" s="325">
        <v>162.5</v>
      </c>
      <c r="J392" s="314"/>
    </row>
    <row r="393" spans="1:10" ht="15">
      <c r="A393" s="194">
        <v>385</v>
      </c>
      <c r="B393" s="509">
        <v>41085</v>
      </c>
      <c r="C393" s="200" t="s">
        <v>1301</v>
      </c>
      <c r="D393" s="322" t="s">
        <v>1302</v>
      </c>
      <c r="E393" s="198" t="s">
        <v>506</v>
      </c>
      <c r="F393" s="325">
        <v>162.5</v>
      </c>
      <c r="G393" s="325">
        <v>162.5</v>
      </c>
      <c r="H393" s="299">
        <v>0</v>
      </c>
      <c r="I393" s="325">
        <v>162.5</v>
      </c>
      <c r="J393" s="314"/>
    </row>
    <row r="394" spans="1:10" ht="15">
      <c r="A394" s="194">
        <v>386</v>
      </c>
      <c r="B394" s="509">
        <v>41085</v>
      </c>
      <c r="C394" s="200" t="s">
        <v>1303</v>
      </c>
      <c r="D394" s="322" t="s">
        <v>1304</v>
      </c>
      <c r="E394" s="198" t="s">
        <v>506</v>
      </c>
      <c r="F394" s="325">
        <v>162.5</v>
      </c>
      <c r="G394" s="325">
        <v>162.5</v>
      </c>
      <c r="H394" s="299">
        <v>0</v>
      </c>
      <c r="I394" s="325">
        <v>162.5</v>
      </c>
      <c r="J394" s="314"/>
    </row>
    <row r="395" spans="1:10" ht="15">
      <c r="A395" s="194">
        <v>387</v>
      </c>
      <c r="B395" s="509">
        <v>41085</v>
      </c>
      <c r="C395" s="200" t="s">
        <v>1305</v>
      </c>
      <c r="D395" s="322" t="s">
        <v>1306</v>
      </c>
      <c r="E395" s="198" t="s">
        <v>506</v>
      </c>
      <c r="F395" s="325">
        <v>162.5</v>
      </c>
      <c r="G395" s="325">
        <v>162.5</v>
      </c>
      <c r="H395" s="299">
        <v>0</v>
      </c>
      <c r="I395" s="325">
        <v>162.5</v>
      </c>
      <c r="J395" s="314"/>
    </row>
    <row r="396" spans="1:10" ht="15">
      <c r="A396" s="194">
        <v>388</v>
      </c>
      <c r="B396" s="509">
        <v>41085</v>
      </c>
      <c r="C396" s="200" t="s">
        <v>1307</v>
      </c>
      <c r="D396" s="322" t="s">
        <v>1308</v>
      </c>
      <c r="E396" s="198" t="s">
        <v>506</v>
      </c>
      <c r="F396" s="325">
        <v>162.5</v>
      </c>
      <c r="G396" s="325">
        <v>162.5</v>
      </c>
      <c r="H396" s="299">
        <v>0</v>
      </c>
      <c r="I396" s="325">
        <v>162.5</v>
      </c>
      <c r="J396" s="314"/>
    </row>
    <row r="397" spans="1:10" ht="15">
      <c r="A397" s="194">
        <v>389</v>
      </c>
      <c r="B397" s="509">
        <v>41085</v>
      </c>
      <c r="C397" s="200" t="s">
        <v>1309</v>
      </c>
      <c r="D397" s="322" t="s">
        <v>1310</v>
      </c>
      <c r="E397" s="198" t="s">
        <v>506</v>
      </c>
      <c r="F397" s="325">
        <v>162.5</v>
      </c>
      <c r="G397" s="325">
        <v>162.5</v>
      </c>
      <c r="H397" s="299">
        <v>0</v>
      </c>
      <c r="I397" s="325">
        <v>162.5</v>
      </c>
      <c r="J397" s="314"/>
    </row>
    <row r="398" spans="1:10" ht="15">
      <c r="A398" s="194">
        <v>390</v>
      </c>
      <c r="B398" s="509">
        <v>41085</v>
      </c>
      <c r="C398" s="200" t="s">
        <v>1311</v>
      </c>
      <c r="D398" s="322" t="s">
        <v>1312</v>
      </c>
      <c r="E398" s="198" t="s">
        <v>506</v>
      </c>
      <c r="F398" s="325">
        <v>162.5</v>
      </c>
      <c r="G398" s="325">
        <v>162.5</v>
      </c>
      <c r="H398" s="299">
        <v>0</v>
      </c>
      <c r="I398" s="325">
        <v>162.5</v>
      </c>
      <c r="J398" s="314"/>
    </row>
    <row r="399" spans="1:10" ht="15">
      <c r="A399" s="194">
        <v>391</v>
      </c>
      <c r="B399" s="509">
        <v>41085</v>
      </c>
      <c r="C399" s="200" t="s">
        <v>1313</v>
      </c>
      <c r="D399" s="322" t="s">
        <v>1314</v>
      </c>
      <c r="E399" s="198" t="s">
        <v>506</v>
      </c>
      <c r="F399" s="325">
        <v>162.5</v>
      </c>
      <c r="G399" s="325">
        <v>162.5</v>
      </c>
      <c r="H399" s="299">
        <v>0</v>
      </c>
      <c r="I399" s="325">
        <v>162.5</v>
      </c>
      <c r="J399" s="314"/>
    </row>
    <row r="400" spans="1:10" ht="15">
      <c r="A400" s="194">
        <v>392</v>
      </c>
      <c r="B400" s="509">
        <v>41085</v>
      </c>
      <c r="C400" s="200" t="s">
        <v>1315</v>
      </c>
      <c r="D400" s="322" t="s">
        <v>1316</v>
      </c>
      <c r="E400" s="198" t="s">
        <v>506</v>
      </c>
      <c r="F400" s="325">
        <v>162.5</v>
      </c>
      <c r="G400" s="325">
        <v>162.5</v>
      </c>
      <c r="H400" s="299">
        <v>0</v>
      </c>
      <c r="I400" s="325">
        <v>162.5</v>
      </c>
      <c r="J400" s="314"/>
    </row>
    <row r="401" spans="1:10" ht="15">
      <c r="A401" s="194">
        <v>393</v>
      </c>
      <c r="B401" s="509">
        <v>41085</v>
      </c>
      <c r="C401" s="200" t="s">
        <v>1317</v>
      </c>
      <c r="D401" s="322" t="s">
        <v>1318</v>
      </c>
      <c r="E401" s="198" t="s">
        <v>506</v>
      </c>
      <c r="F401" s="325">
        <v>162.5</v>
      </c>
      <c r="G401" s="325">
        <v>162.5</v>
      </c>
      <c r="H401" s="299">
        <v>0</v>
      </c>
      <c r="I401" s="325">
        <v>162.5</v>
      </c>
      <c r="J401" s="314"/>
    </row>
    <row r="402" spans="1:10" ht="15">
      <c r="A402" s="194">
        <v>394</v>
      </c>
      <c r="B402" s="509">
        <v>41085</v>
      </c>
      <c r="C402" s="200" t="s">
        <v>1319</v>
      </c>
      <c r="D402" s="322" t="s">
        <v>1320</v>
      </c>
      <c r="E402" s="198" t="s">
        <v>506</v>
      </c>
      <c r="F402" s="325">
        <v>125</v>
      </c>
      <c r="G402" s="325">
        <v>125</v>
      </c>
      <c r="H402" s="299">
        <v>0</v>
      </c>
      <c r="I402" s="325">
        <v>125</v>
      </c>
      <c r="J402" s="314"/>
    </row>
    <row r="403" spans="1:10" ht="15">
      <c r="A403" s="194">
        <v>395</v>
      </c>
      <c r="B403" s="509">
        <v>41085</v>
      </c>
      <c r="C403" s="200" t="s">
        <v>1321</v>
      </c>
      <c r="D403" s="322" t="s">
        <v>1322</v>
      </c>
      <c r="E403" s="198" t="s">
        <v>506</v>
      </c>
      <c r="F403" s="325">
        <v>125</v>
      </c>
      <c r="G403" s="325">
        <v>125</v>
      </c>
      <c r="H403" s="299">
        <v>0</v>
      </c>
      <c r="I403" s="325">
        <v>125</v>
      </c>
      <c r="J403" s="314"/>
    </row>
    <row r="404" spans="1:10" ht="15">
      <c r="A404" s="194">
        <v>396</v>
      </c>
      <c r="B404" s="509">
        <v>41085</v>
      </c>
      <c r="C404" s="200" t="s">
        <v>1323</v>
      </c>
      <c r="D404" s="322" t="s">
        <v>1324</v>
      </c>
      <c r="E404" s="198" t="s">
        <v>506</v>
      </c>
      <c r="F404" s="325">
        <v>162.5</v>
      </c>
      <c r="G404" s="325">
        <v>162.5</v>
      </c>
      <c r="H404" s="299">
        <v>0</v>
      </c>
      <c r="I404" s="325">
        <v>162.5</v>
      </c>
      <c r="J404" s="314"/>
    </row>
    <row r="405" spans="1:10" ht="15">
      <c r="A405" s="194">
        <v>397</v>
      </c>
      <c r="B405" s="509">
        <v>41085</v>
      </c>
      <c r="C405" s="200" t="s">
        <v>1325</v>
      </c>
      <c r="D405" s="322" t="s">
        <v>1326</v>
      </c>
      <c r="E405" s="198" t="s">
        <v>506</v>
      </c>
      <c r="F405" s="325">
        <v>162.5</v>
      </c>
      <c r="G405" s="325">
        <v>162.5</v>
      </c>
      <c r="H405" s="299">
        <v>0</v>
      </c>
      <c r="I405" s="325">
        <v>162.5</v>
      </c>
      <c r="J405" s="314"/>
    </row>
    <row r="406" spans="1:10" ht="15">
      <c r="A406" s="194">
        <v>398</v>
      </c>
      <c r="B406" s="509">
        <v>41085</v>
      </c>
      <c r="C406" s="200" t="s">
        <v>1327</v>
      </c>
      <c r="D406" s="322" t="s">
        <v>1328</v>
      </c>
      <c r="E406" s="198" t="s">
        <v>506</v>
      </c>
      <c r="F406" s="325">
        <v>162.5</v>
      </c>
      <c r="G406" s="325">
        <v>162.5</v>
      </c>
      <c r="H406" s="299">
        <v>0</v>
      </c>
      <c r="I406" s="325">
        <v>162.5</v>
      </c>
      <c r="J406" s="314"/>
    </row>
    <row r="407" spans="1:10" ht="15">
      <c r="A407" s="194">
        <v>399</v>
      </c>
      <c r="B407" s="509">
        <v>41085</v>
      </c>
      <c r="C407" s="200" t="s">
        <v>1329</v>
      </c>
      <c r="D407" s="322" t="s">
        <v>1330</v>
      </c>
      <c r="E407" s="198" t="s">
        <v>506</v>
      </c>
      <c r="F407" s="325">
        <v>162.5</v>
      </c>
      <c r="G407" s="325">
        <v>162.5</v>
      </c>
      <c r="H407" s="299">
        <v>0</v>
      </c>
      <c r="I407" s="325">
        <v>162.5</v>
      </c>
      <c r="J407" s="314"/>
    </row>
    <row r="408" spans="1:10" ht="15">
      <c r="A408" s="194">
        <v>400</v>
      </c>
      <c r="B408" s="509">
        <v>41085</v>
      </c>
      <c r="C408" s="200" t="s">
        <v>1331</v>
      </c>
      <c r="D408" s="322" t="s">
        <v>1332</v>
      </c>
      <c r="E408" s="198" t="s">
        <v>506</v>
      </c>
      <c r="F408" s="325">
        <v>162.5</v>
      </c>
      <c r="G408" s="325">
        <v>162.5</v>
      </c>
      <c r="H408" s="299">
        <v>0</v>
      </c>
      <c r="I408" s="325">
        <v>162.5</v>
      </c>
      <c r="J408" s="314"/>
    </row>
    <row r="409" spans="1:10" ht="15">
      <c r="A409" s="194">
        <v>401</v>
      </c>
      <c r="B409" s="509">
        <v>41085</v>
      </c>
      <c r="C409" s="200" t="s">
        <v>1333</v>
      </c>
      <c r="D409" s="322" t="s">
        <v>1334</v>
      </c>
      <c r="E409" s="198" t="s">
        <v>506</v>
      </c>
      <c r="F409" s="325">
        <v>162.5</v>
      </c>
      <c r="G409" s="325">
        <v>162.5</v>
      </c>
      <c r="H409" s="299">
        <v>0</v>
      </c>
      <c r="I409" s="325">
        <v>162.5</v>
      </c>
      <c r="J409" s="314"/>
    </row>
    <row r="410" spans="1:10" ht="15">
      <c r="A410" s="194">
        <v>402</v>
      </c>
      <c r="B410" s="509">
        <v>41085</v>
      </c>
      <c r="C410" s="200" t="s">
        <v>1335</v>
      </c>
      <c r="D410" s="322" t="s">
        <v>1336</v>
      </c>
      <c r="E410" s="198" t="s">
        <v>506</v>
      </c>
      <c r="F410" s="325">
        <v>162.5</v>
      </c>
      <c r="G410" s="325">
        <v>162.5</v>
      </c>
      <c r="H410" s="299">
        <v>0</v>
      </c>
      <c r="I410" s="325">
        <v>162.5</v>
      </c>
      <c r="J410" s="314"/>
    </row>
    <row r="411" spans="1:10" ht="15">
      <c r="A411" s="194">
        <v>403</v>
      </c>
      <c r="B411" s="509">
        <v>41085</v>
      </c>
      <c r="C411" s="200" t="s">
        <v>1337</v>
      </c>
      <c r="D411" s="322" t="s">
        <v>1338</v>
      </c>
      <c r="E411" s="198" t="s">
        <v>506</v>
      </c>
      <c r="F411" s="325">
        <v>162.5</v>
      </c>
      <c r="G411" s="325">
        <v>162.5</v>
      </c>
      <c r="H411" s="299">
        <v>0</v>
      </c>
      <c r="I411" s="325">
        <v>162.5</v>
      </c>
      <c r="J411" s="314"/>
    </row>
    <row r="412" spans="1:10" ht="15">
      <c r="A412" s="194">
        <v>404</v>
      </c>
      <c r="B412" s="509">
        <v>41085</v>
      </c>
      <c r="C412" s="200" t="s">
        <v>1339</v>
      </c>
      <c r="D412" s="322" t="s">
        <v>1340</v>
      </c>
      <c r="E412" s="198" t="s">
        <v>506</v>
      </c>
      <c r="F412" s="325">
        <v>162.5</v>
      </c>
      <c r="G412" s="325">
        <v>162.5</v>
      </c>
      <c r="H412" s="299">
        <v>0</v>
      </c>
      <c r="I412" s="325">
        <v>162.5</v>
      </c>
      <c r="J412" s="314"/>
    </row>
    <row r="413" spans="1:10" ht="15">
      <c r="A413" s="194">
        <v>405</v>
      </c>
      <c r="B413" s="509">
        <v>41085</v>
      </c>
      <c r="C413" s="200" t="s">
        <v>1341</v>
      </c>
      <c r="D413" s="322" t="s">
        <v>1342</v>
      </c>
      <c r="E413" s="198" t="s">
        <v>506</v>
      </c>
      <c r="F413" s="325">
        <v>162.5</v>
      </c>
      <c r="G413" s="325">
        <v>162.5</v>
      </c>
      <c r="H413" s="299">
        <v>0</v>
      </c>
      <c r="I413" s="325">
        <v>162.5</v>
      </c>
      <c r="J413" s="314"/>
    </row>
    <row r="414" spans="1:10" ht="15">
      <c r="A414" s="194">
        <v>406</v>
      </c>
      <c r="B414" s="509">
        <v>41085</v>
      </c>
      <c r="C414" s="200" t="s">
        <v>1343</v>
      </c>
      <c r="D414" s="322" t="s">
        <v>1344</v>
      </c>
      <c r="E414" s="198" t="s">
        <v>506</v>
      </c>
      <c r="F414" s="325">
        <v>162.5</v>
      </c>
      <c r="G414" s="325">
        <v>162.5</v>
      </c>
      <c r="H414" s="299">
        <v>0</v>
      </c>
      <c r="I414" s="325">
        <v>162.5</v>
      </c>
      <c r="J414" s="314"/>
    </row>
    <row r="415" spans="1:10" ht="15">
      <c r="A415" s="194">
        <v>407</v>
      </c>
      <c r="B415" s="509">
        <v>41085</v>
      </c>
      <c r="C415" s="200" t="s">
        <v>1345</v>
      </c>
      <c r="D415" s="322" t="s">
        <v>1346</v>
      </c>
      <c r="E415" s="198" t="s">
        <v>506</v>
      </c>
      <c r="F415" s="325">
        <v>162.5</v>
      </c>
      <c r="G415" s="325">
        <v>162.5</v>
      </c>
      <c r="H415" s="299">
        <v>0</v>
      </c>
      <c r="I415" s="325">
        <v>162.5</v>
      </c>
      <c r="J415" s="314"/>
    </row>
    <row r="416" spans="1:10" ht="15">
      <c r="A416" s="194">
        <v>408</v>
      </c>
      <c r="B416" s="509">
        <v>41085</v>
      </c>
      <c r="C416" s="200" t="s">
        <v>1347</v>
      </c>
      <c r="D416" s="322" t="s">
        <v>1348</v>
      </c>
      <c r="E416" s="198" t="s">
        <v>506</v>
      </c>
      <c r="F416" s="325">
        <v>162.5</v>
      </c>
      <c r="G416" s="325">
        <v>162.5</v>
      </c>
      <c r="H416" s="299">
        <v>0</v>
      </c>
      <c r="I416" s="325">
        <v>162.5</v>
      </c>
      <c r="J416" s="314"/>
    </row>
    <row r="417" spans="1:10" ht="15">
      <c r="A417" s="194">
        <v>409</v>
      </c>
      <c r="B417" s="509">
        <v>41085</v>
      </c>
      <c r="C417" s="200" t="s">
        <v>1349</v>
      </c>
      <c r="D417" s="322" t="s">
        <v>1350</v>
      </c>
      <c r="E417" s="198" t="s">
        <v>506</v>
      </c>
      <c r="F417" s="325">
        <v>162.5</v>
      </c>
      <c r="G417" s="325">
        <v>162.5</v>
      </c>
      <c r="H417" s="299">
        <v>0</v>
      </c>
      <c r="I417" s="325">
        <v>162.5</v>
      </c>
      <c r="J417" s="314"/>
    </row>
    <row r="418" spans="1:10" ht="15">
      <c r="A418" s="194">
        <v>410</v>
      </c>
      <c r="B418" s="509">
        <v>41085</v>
      </c>
      <c r="C418" s="200" t="s">
        <v>1351</v>
      </c>
      <c r="D418" s="322" t="s">
        <v>1352</v>
      </c>
      <c r="E418" s="198" t="s">
        <v>506</v>
      </c>
      <c r="F418" s="325">
        <v>162.5</v>
      </c>
      <c r="G418" s="325">
        <v>162.5</v>
      </c>
      <c r="H418" s="299">
        <v>0</v>
      </c>
      <c r="I418" s="325">
        <v>162.5</v>
      </c>
      <c r="J418" s="314"/>
    </row>
    <row r="419" spans="1:10" ht="15">
      <c r="A419" s="194">
        <v>411</v>
      </c>
      <c r="B419" s="509">
        <v>41085</v>
      </c>
      <c r="C419" s="200" t="s">
        <v>1353</v>
      </c>
      <c r="D419" s="322" t="s">
        <v>1354</v>
      </c>
      <c r="E419" s="198" t="s">
        <v>506</v>
      </c>
      <c r="F419" s="325">
        <v>162.5</v>
      </c>
      <c r="G419" s="325">
        <v>162.5</v>
      </c>
      <c r="H419" s="299">
        <v>0</v>
      </c>
      <c r="I419" s="325">
        <v>162.5</v>
      </c>
      <c r="J419" s="314"/>
    </row>
    <row r="420" spans="1:10" ht="15">
      <c r="A420" s="194">
        <v>412</v>
      </c>
      <c r="B420" s="509">
        <v>41085</v>
      </c>
      <c r="C420" s="200" t="s">
        <v>1355</v>
      </c>
      <c r="D420" s="322" t="s">
        <v>1356</v>
      </c>
      <c r="E420" s="198" t="s">
        <v>506</v>
      </c>
      <c r="F420" s="325">
        <v>162.5</v>
      </c>
      <c r="G420" s="325">
        <v>162.5</v>
      </c>
      <c r="H420" s="299">
        <v>0</v>
      </c>
      <c r="I420" s="325">
        <v>162.5</v>
      </c>
      <c r="J420" s="314"/>
    </row>
    <row r="421" spans="1:10" ht="15">
      <c r="A421" s="194">
        <v>413</v>
      </c>
      <c r="B421" s="509">
        <v>41085</v>
      </c>
      <c r="C421" s="200" t="s">
        <v>1357</v>
      </c>
      <c r="D421" s="322" t="s">
        <v>1358</v>
      </c>
      <c r="E421" s="198" t="s">
        <v>506</v>
      </c>
      <c r="F421" s="325">
        <v>125</v>
      </c>
      <c r="G421" s="325">
        <v>125</v>
      </c>
      <c r="H421" s="299">
        <v>0</v>
      </c>
      <c r="I421" s="325">
        <v>125</v>
      </c>
      <c r="J421" s="314"/>
    </row>
    <row r="422" spans="1:10" ht="15">
      <c r="A422" s="194">
        <v>414</v>
      </c>
      <c r="B422" s="509">
        <v>41085</v>
      </c>
      <c r="C422" s="200" t="s">
        <v>1359</v>
      </c>
      <c r="D422" s="322" t="s">
        <v>1360</v>
      </c>
      <c r="E422" s="198" t="s">
        <v>506</v>
      </c>
      <c r="F422" s="325">
        <v>162.5</v>
      </c>
      <c r="G422" s="325">
        <v>162.5</v>
      </c>
      <c r="H422" s="299">
        <v>0</v>
      </c>
      <c r="I422" s="325">
        <v>162.5</v>
      </c>
      <c r="J422" s="314"/>
    </row>
    <row r="423" spans="1:10" ht="15">
      <c r="A423" s="194">
        <v>415</v>
      </c>
      <c r="B423" s="509">
        <v>41085</v>
      </c>
      <c r="C423" s="200" t="s">
        <v>1361</v>
      </c>
      <c r="D423" s="322" t="s">
        <v>1362</v>
      </c>
      <c r="E423" s="198" t="s">
        <v>506</v>
      </c>
      <c r="F423" s="325">
        <v>162.5</v>
      </c>
      <c r="G423" s="325">
        <v>162.5</v>
      </c>
      <c r="H423" s="299">
        <v>0</v>
      </c>
      <c r="I423" s="325">
        <v>162.5</v>
      </c>
      <c r="J423" s="314"/>
    </row>
    <row r="424" spans="1:10" ht="15">
      <c r="A424" s="194">
        <v>416</v>
      </c>
      <c r="B424" s="509">
        <v>41085</v>
      </c>
      <c r="C424" s="200" t="s">
        <v>1363</v>
      </c>
      <c r="D424" s="322" t="s">
        <v>1364</v>
      </c>
      <c r="E424" s="198" t="s">
        <v>506</v>
      </c>
      <c r="F424" s="325">
        <v>162.5</v>
      </c>
      <c r="G424" s="325">
        <v>162.5</v>
      </c>
      <c r="H424" s="299">
        <v>0</v>
      </c>
      <c r="I424" s="325">
        <v>162.5</v>
      </c>
      <c r="J424" s="314"/>
    </row>
    <row r="425" spans="1:10" ht="15">
      <c r="A425" s="194">
        <v>417</v>
      </c>
      <c r="B425" s="509">
        <v>41085</v>
      </c>
      <c r="C425" s="200" t="s">
        <v>1365</v>
      </c>
      <c r="D425" s="322" t="s">
        <v>1366</v>
      </c>
      <c r="E425" s="198" t="s">
        <v>506</v>
      </c>
      <c r="F425" s="325">
        <v>162.5</v>
      </c>
      <c r="G425" s="325">
        <v>162.5</v>
      </c>
      <c r="H425" s="299">
        <v>0</v>
      </c>
      <c r="I425" s="325">
        <v>162.5</v>
      </c>
      <c r="J425" s="314"/>
    </row>
    <row r="426" spans="1:10" ht="15">
      <c r="A426" s="194">
        <v>418</v>
      </c>
      <c r="B426" s="509">
        <v>41085</v>
      </c>
      <c r="C426" s="200" t="s">
        <v>1367</v>
      </c>
      <c r="D426" s="322" t="s">
        <v>1368</v>
      </c>
      <c r="E426" s="198" t="s">
        <v>506</v>
      </c>
      <c r="F426" s="325">
        <v>162.5</v>
      </c>
      <c r="G426" s="325">
        <v>162.5</v>
      </c>
      <c r="H426" s="299">
        <v>0</v>
      </c>
      <c r="I426" s="325">
        <v>162.5</v>
      </c>
      <c r="J426" s="314"/>
    </row>
    <row r="427" spans="1:10" ht="15">
      <c r="A427" s="194">
        <v>419</v>
      </c>
      <c r="B427" s="509">
        <v>41085</v>
      </c>
      <c r="C427" s="200" t="s">
        <v>1369</v>
      </c>
      <c r="D427" s="322" t="s">
        <v>1370</v>
      </c>
      <c r="E427" s="198" t="s">
        <v>506</v>
      </c>
      <c r="F427" s="325">
        <v>162.5</v>
      </c>
      <c r="G427" s="325">
        <v>162.5</v>
      </c>
      <c r="H427" s="299">
        <v>0</v>
      </c>
      <c r="I427" s="325">
        <v>162.5</v>
      </c>
      <c r="J427" s="314"/>
    </row>
    <row r="428" spans="1:10" ht="15">
      <c r="A428" s="194">
        <v>420</v>
      </c>
      <c r="B428" s="509">
        <v>41085</v>
      </c>
      <c r="C428" s="200" t="s">
        <v>1371</v>
      </c>
      <c r="D428" s="322" t="s">
        <v>1372</v>
      </c>
      <c r="E428" s="198" t="s">
        <v>506</v>
      </c>
      <c r="F428" s="325">
        <v>162.5</v>
      </c>
      <c r="G428" s="325">
        <v>162.5</v>
      </c>
      <c r="H428" s="299">
        <v>0</v>
      </c>
      <c r="I428" s="325">
        <v>162.5</v>
      </c>
      <c r="J428" s="314"/>
    </row>
    <row r="429" spans="1:10" ht="15">
      <c r="A429" s="194">
        <v>421</v>
      </c>
      <c r="B429" s="509">
        <v>41085</v>
      </c>
      <c r="C429" s="200" t="s">
        <v>1373</v>
      </c>
      <c r="D429" s="322" t="s">
        <v>1374</v>
      </c>
      <c r="E429" s="198" t="s">
        <v>506</v>
      </c>
      <c r="F429" s="325">
        <v>162.5</v>
      </c>
      <c r="G429" s="325">
        <v>162.5</v>
      </c>
      <c r="H429" s="299">
        <v>0</v>
      </c>
      <c r="I429" s="325">
        <v>162.5</v>
      </c>
      <c r="J429" s="314"/>
    </row>
    <row r="430" spans="1:10" ht="15">
      <c r="A430" s="194">
        <v>422</v>
      </c>
      <c r="B430" s="509">
        <v>41085</v>
      </c>
      <c r="C430" s="200" t="s">
        <v>1375</v>
      </c>
      <c r="D430" s="322" t="s">
        <v>1376</v>
      </c>
      <c r="E430" s="198" t="s">
        <v>506</v>
      </c>
      <c r="F430" s="325">
        <v>162.5</v>
      </c>
      <c r="G430" s="325">
        <v>162.5</v>
      </c>
      <c r="H430" s="299">
        <v>0</v>
      </c>
      <c r="I430" s="325">
        <v>162.5</v>
      </c>
      <c r="J430" s="314"/>
    </row>
    <row r="431" spans="1:10" ht="15">
      <c r="A431" s="194">
        <v>423</v>
      </c>
      <c r="B431" s="509">
        <v>41085</v>
      </c>
      <c r="C431" s="200" t="s">
        <v>1377</v>
      </c>
      <c r="D431" s="322" t="s">
        <v>1378</v>
      </c>
      <c r="E431" s="198" t="s">
        <v>506</v>
      </c>
      <c r="F431" s="325">
        <v>162.5</v>
      </c>
      <c r="G431" s="325">
        <v>162.5</v>
      </c>
      <c r="H431" s="299">
        <v>0</v>
      </c>
      <c r="I431" s="325">
        <v>162.5</v>
      </c>
      <c r="J431" s="314"/>
    </row>
    <row r="432" spans="1:10" ht="15">
      <c r="A432" s="194">
        <v>424</v>
      </c>
      <c r="B432" s="509">
        <v>41085</v>
      </c>
      <c r="C432" s="200" t="s">
        <v>1379</v>
      </c>
      <c r="D432" s="322" t="s">
        <v>1380</v>
      </c>
      <c r="E432" s="198" t="s">
        <v>506</v>
      </c>
      <c r="F432" s="325">
        <v>162.5</v>
      </c>
      <c r="G432" s="325">
        <v>162.5</v>
      </c>
      <c r="H432" s="299">
        <v>0</v>
      </c>
      <c r="I432" s="325">
        <v>162.5</v>
      </c>
      <c r="J432" s="314"/>
    </row>
    <row r="433" spans="1:10" ht="15">
      <c r="A433" s="194">
        <v>425</v>
      </c>
      <c r="B433" s="509">
        <v>41085</v>
      </c>
      <c r="C433" s="200" t="s">
        <v>1381</v>
      </c>
      <c r="D433" s="322" t="s">
        <v>1382</v>
      </c>
      <c r="E433" s="198" t="s">
        <v>506</v>
      </c>
      <c r="F433" s="325">
        <v>162.5</v>
      </c>
      <c r="G433" s="325">
        <v>162.5</v>
      </c>
      <c r="H433" s="299">
        <v>0</v>
      </c>
      <c r="I433" s="325">
        <v>162.5</v>
      </c>
      <c r="J433" s="314"/>
    </row>
    <row r="434" spans="1:10" ht="15">
      <c r="A434" s="194">
        <v>426</v>
      </c>
      <c r="B434" s="509">
        <v>41085</v>
      </c>
      <c r="C434" s="200" t="s">
        <v>1383</v>
      </c>
      <c r="D434" s="322" t="s">
        <v>1384</v>
      </c>
      <c r="E434" s="198" t="s">
        <v>506</v>
      </c>
      <c r="F434" s="325">
        <v>162.5</v>
      </c>
      <c r="G434" s="325">
        <v>162.5</v>
      </c>
      <c r="H434" s="299">
        <v>0</v>
      </c>
      <c r="I434" s="325">
        <v>162.5</v>
      </c>
      <c r="J434" s="314"/>
    </row>
    <row r="435" spans="1:10" ht="15">
      <c r="A435" s="194">
        <v>427</v>
      </c>
      <c r="B435" s="509">
        <v>41085</v>
      </c>
      <c r="C435" s="200" t="s">
        <v>1385</v>
      </c>
      <c r="D435" s="322" t="s">
        <v>1386</v>
      </c>
      <c r="E435" s="198" t="s">
        <v>506</v>
      </c>
      <c r="F435" s="325">
        <v>162.5</v>
      </c>
      <c r="G435" s="325">
        <v>162.5</v>
      </c>
      <c r="H435" s="299">
        <v>0</v>
      </c>
      <c r="I435" s="325">
        <v>162.5</v>
      </c>
      <c r="J435" s="314"/>
    </row>
    <row r="436" spans="1:10" ht="15">
      <c r="A436" s="194">
        <v>428</v>
      </c>
      <c r="B436" s="509">
        <v>41085</v>
      </c>
      <c r="C436" s="200" t="s">
        <v>1387</v>
      </c>
      <c r="D436" s="322" t="s">
        <v>1388</v>
      </c>
      <c r="E436" s="198" t="s">
        <v>506</v>
      </c>
      <c r="F436" s="325">
        <v>162.5</v>
      </c>
      <c r="G436" s="325">
        <v>162.5</v>
      </c>
      <c r="H436" s="299">
        <v>0</v>
      </c>
      <c r="I436" s="325">
        <v>162.5</v>
      </c>
      <c r="J436" s="314"/>
    </row>
    <row r="437" spans="1:10" ht="15">
      <c r="A437" s="194">
        <v>429</v>
      </c>
      <c r="B437" s="509">
        <v>41085</v>
      </c>
      <c r="C437" s="200" t="s">
        <v>1389</v>
      </c>
      <c r="D437" s="322" t="s">
        <v>1390</v>
      </c>
      <c r="E437" s="198" t="s">
        <v>506</v>
      </c>
      <c r="F437" s="325">
        <v>162.5</v>
      </c>
      <c r="G437" s="325">
        <v>162.5</v>
      </c>
      <c r="H437" s="299">
        <v>0</v>
      </c>
      <c r="I437" s="325">
        <v>162.5</v>
      </c>
      <c r="J437" s="314"/>
    </row>
    <row r="438" spans="1:10" ht="15">
      <c r="A438" s="194">
        <v>430</v>
      </c>
      <c r="B438" s="509">
        <v>41085</v>
      </c>
      <c r="C438" s="200" t="s">
        <v>1391</v>
      </c>
      <c r="D438" s="322" t="s">
        <v>1392</v>
      </c>
      <c r="E438" s="198" t="s">
        <v>506</v>
      </c>
      <c r="F438" s="325">
        <v>162.5</v>
      </c>
      <c r="G438" s="325">
        <v>162.5</v>
      </c>
      <c r="H438" s="299">
        <v>0</v>
      </c>
      <c r="I438" s="325">
        <v>162.5</v>
      </c>
      <c r="J438" s="314"/>
    </row>
    <row r="439" spans="1:10" ht="15">
      <c r="A439" s="194">
        <v>431</v>
      </c>
      <c r="B439" s="509">
        <v>41085</v>
      </c>
      <c r="C439" s="200" t="s">
        <v>1393</v>
      </c>
      <c r="D439" s="322" t="s">
        <v>1394</v>
      </c>
      <c r="E439" s="198" t="s">
        <v>506</v>
      </c>
      <c r="F439" s="325">
        <v>162.5</v>
      </c>
      <c r="G439" s="325">
        <v>162.5</v>
      </c>
      <c r="H439" s="299">
        <v>0</v>
      </c>
      <c r="I439" s="325">
        <v>162.5</v>
      </c>
      <c r="J439" s="314"/>
    </row>
    <row r="440" spans="1:10" ht="15">
      <c r="A440" s="194">
        <v>432</v>
      </c>
      <c r="B440" s="509">
        <v>41085</v>
      </c>
      <c r="C440" s="200" t="s">
        <v>1395</v>
      </c>
      <c r="D440" s="322" t="s">
        <v>1396</v>
      </c>
      <c r="E440" s="198" t="s">
        <v>506</v>
      </c>
      <c r="F440" s="325">
        <v>162.5</v>
      </c>
      <c r="G440" s="325">
        <v>162.5</v>
      </c>
      <c r="H440" s="299">
        <v>0</v>
      </c>
      <c r="I440" s="325">
        <v>162.5</v>
      </c>
      <c r="J440" s="314"/>
    </row>
    <row r="441" spans="1:10" ht="15">
      <c r="A441" s="194">
        <v>433</v>
      </c>
      <c r="B441" s="509">
        <v>41085</v>
      </c>
      <c r="C441" s="200" t="s">
        <v>1397</v>
      </c>
      <c r="D441" s="322" t="s">
        <v>1398</v>
      </c>
      <c r="E441" s="198" t="s">
        <v>506</v>
      </c>
      <c r="F441" s="325">
        <v>162.5</v>
      </c>
      <c r="G441" s="325">
        <v>162.5</v>
      </c>
      <c r="H441" s="299">
        <v>0</v>
      </c>
      <c r="I441" s="325">
        <v>162.5</v>
      </c>
      <c r="J441" s="314"/>
    </row>
    <row r="442" spans="1:10" ht="15">
      <c r="A442" s="194">
        <v>434</v>
      </c>
      <c r="B442" s="509">
        <v>41085</v>
      </c>
      <c r="C442" s="200" t="s">
        <v>1399</v>
      </c>
      <c r="D442" s="322" t="s">
        <v>1400</v>
      </c>
      <c r="E442" s="198" t="s">
        <v>506</v>
      </c>
      <c r="F442" s="325">
        <v>162.5</v>
      </c>
      <c r="G442" s="325">
        <v>162.5</v>
      </c>
      <c r="H442" s="299">
        <v>0</v>
      </c>
      <c r="I442" s="325">
        <v>162.5</v>
      </c>
      <c r="J442" s="314"/>
    </row>
    <row r="443" spans="1:10" ht="15">
      <c r="A443" s="194">
        <v>435</v>
      </c>
      <c r="B443" s="509">
        <v>41085</v>
      </c>
      <c r="C443" s="200" t="s">
        <v>1401</v>
      </c>
      <c r="D443" s="322" t="s">
        <v>1402</v>
      </c>
      <c r="E443" s="198" t="s">
        <v>506</v>
      </c>
      <c r="F443" s="325">
        <v>162.5</v>
      </c>
      <c r="G443" s="325">
        <v>162.5</v>
      </c>
      <c r="H443" s="299">
        <v>0</v>
      </c>
      <c r="I443" s="325">
        <v>162.5</v>
      </c>
      <c r="J443" s="314"/>
    </row>
    <row r="444" spans="1:10" ht="15">
      <c r="A444" s="194">
        <v>436</v>
      </c>
      <c r="B444" s="509">
        <v>41085</v>
      </c>
      <c r="C444" s="200" t="s">
        <v>1403</v>
      </c>
      <c r="D444" s="322" t="s">
        <v>1404</v>
      </c>
      <c r="E444" s="198" t="s">
        <v>506</v>
      </c>
      <c r="F444" s="325">
        <v>125</v>
      </c>
      <c r="G444" s="325">
        <v>125</v>
      </c>
      <c r="H444" s="299">
        <v>0</v>
      </c>
      <c r="I444" s="325">
        <v>125</v>
      </c>
      <c r="J444" s="314"/>
    </row>
    <row r="445" spans="1:10" ht="15">
      <c r="A445" s="194">
        <v>437</v>
      </c>
      <c r="B445" s="509">
        <v>41085</v>
      </c>
      <c r="C445" s="200" t="s">
        <v>1405</v>
      </c>
      <c r="D445" s="322" t="s">
        <v>1406</v>
      </c>
      <c r="E445" s="198" t="s">
        <v>506</v>
      </c>
      <c r="F445" s="325">
        <v>162.5</v>
      </c>
      <c r="G445" s="325">
        <v>162.5</v>
      </c>
      <c r="H445" s="299">
        <v>0</v>
      </c>
      <c r="I445" s="325">
        <v>162.5</v>
      </c>
      <c r="J445" s="314"/>
    </row>
    <row r="446" spans="1:10" ht="15">
      <c r="A446" s="194">
        <v>438</v>
      </c>
      <c r="B446" s="509">
        <v>41085</v>
      </c>
      <c r="C446" s="200" t="s">
        <v>1407</v>
      </c>
      <c r="D446" s="322" t="s">
        <v>1408</v>
      </c>
      <c r="E446" s="198" t="s">
        <v>506</v>
      </c>
      <c r="F446" s="325">
        <v>162.5</v>
      </c>
      <c r="G446" s="325">
        <v>162.5</v>
      </c>
      <c r="H446" s="299">
        <v>0</v>
      </c>
      <c r="I446" s="325">
        <v>162.5</v>
      </c>
      <c r="J446" s="314"/>
    </row>
    <row r="447" spans="1:10" ht="15">
      <c r="A447" s="194">
        <v>439</v>
      </c>
      <c r="B447" s="509">
        <v>41085</v>
      </c>
      <c r="C447" s="200" t="s">
        <v>1409</v>
      </c>
      <c r="D447" s="322" t="s">
        <v>1410</v>
      </c>
      <c r="E447" s="198" t="s">
        <v>506</v>
      </c>
      <c r="F447" s="325">
        <v>162.5</v>
      </c>
      <c r="G447" s="325">
        <v>162.5</v>
      </c>
      <c r="H447" s="299">
        <v>0</v>
      </c>
      <c r="I447" s="325">
        <v>162.5</v>
      </c>
      <c r="J447" s="314"/>
    </row>
    <row r="448" spans="1:10" ht="15">
      <c r="A448" s="194">
        <v>440</v>
      </c>
      <c r="B448" s="509">
        <v>41085</v>
      </c>
      <c r="C448" s="200" t="s">
        <v>1411</v>
      </c>
      <c r="D448" s="322" t="s">
        <v>1412</v>
      </c>
      <c r="E448" s="198" t="s">
        <v>506</v>
      </c>
      <c r="F448" s="325">
        <v>162.5</v>
      </c>
      <c r="G448" s="325">
        <v>162.5</v>
      </c>
      <c r="H448" s="299">
        <v>0</v>
      </c>
      <c r="I448" s="325">
        <v>162.5</v>
      </c>
      <c r="J448" s="314"/>
    </row>
    <row r="449" spans="1:10" ht="15">
      <c r="A449" s="194">
        <v>441</v>
      </c>
      <c r="B449" s="509">
        <v>41085</v>
      </c>
      <c r="C449" s="200" t="s">
        <v>1413</v>
      </c>
      <c r="D449" s="322" t="s">
        <v>1414</v>
      </c>
      <c r="E449" s="198" t="s">
        <v>506</v>
      </c>
      <c r="F449" s="325">
        <v>162.5</v>
      </c>
      <c r="G449" s="325">
        <v>162.5</v>
      </c>
      <c r="H449" s="299">
        <v>0</v>
      </c>
      <c r="I449" s="325">
        <v>162.5</v>
      </c>
      <c r="J449" s="314"/>
    </row>
    <row r="450" spans="1:10" ht="15">
      <c r="A450" s="194">
        <v>442</v>
      </c>
      <c r="B450" s="509">
        <v>41085</v>
      </c>
      <c r="C450" s="200" t="s">
        <v>1415</v>
      </c>
      <c r="D450" s="322" t="s">
        <v>1416</v>
      </c>
      <c r="E450" s="198" t="s">
        <v>506</v>
      </c>
      <c r="F450" s="325">
        <v>162.5</v>
      </c>
      <c r="G450" s="325">
        <v>162.5</v>
      </c>
      <c r="H450" s="299">
        <v>0</v>
      </c>
      <c r="I450" s="325">
        <v>162.5</v>
      </c>
      <c r="J450" s="314"/>
    </row>
    <row r="451" spans="1:10" ht="15">
      <c r="A451" s="194">
        <v>443</v>
      </c>
      <c r="B451" s="509">
        <v>41085</v>
      </c>
      <c r="C451" s="200" t="s">
        <v>1417</v>
      </c>
      <c r="D451" s="322" t="s">
        <v>1418</v>
      </c>
      <c r="E451" s="198" t="s">
        <v>506</v>
      </c>
      <c r="F451" s="325">
        <v>162.5</v>
      </c>
      <c r="G451" s="325">
        <v>162.5</v>
      </c>
      <c r="H451" s="299">
        <v>0</v>
      </c>
      <c r="I451" s="325">
        <v>162.5</v>
      </c>
      <c r="J451" s="314"/>
    </row>
    <row r="452" spans="1:10" ht="15">
      <c r="A452" s="194">
        <v>444</v>
      </c>
      <c r="B452" s="509">
        <v>41085</v>
      </c>
      <c r="C452" s="200" t="s">
        <v>1419</v>
      </c>
      <c r="D452" s="322" t="s">
        <v>1420</v>
      </c>
      <c r="E452" s="198" t="s">
        <v>506</v>
      </c>
      <c r="F452" s="325">
        <v>162.5</v>
      </c>
      <c r="G452" s="325">
        <v>162.5</v>
      </c>
      <c r="H452" s="299">
        <v>0</v>
      </c>
      <c r="I452" s="325">
        <v>162.5</v>
      </c>
      <c r="J452" s="314"/>
    </row>
    <row r="453" spans="1:10" ht="15">
      <c r="A453" s="194">
        <v>445</v>
      </c>
      <c r="B453" s="509">
        <v>41085</v>
      </c>
      <c r="C453" s="200" t="s">
        <v>1421</v>
      </c>
      <c r="D453" s="322" t="s">
        <v>1422</v>
      </c>
      <c r="E453" s="198" t="s">
        <v>506</v>
      </c>
      <c r="F453" s="325">
        <v>162.5</v>
      </c>
      <c r="G453" s="325">
        <v>162.5</v>
      </c>
      <c r="H453" s="299">
        <v>0</v>
      </c>
      <c r="I453" s="325">
        <v>162.5</v>
      </c>
      <c r="J453" s="314"/>
    </row>
    <row r="454" spans="1:10" ht="15">
      <c r="A454" s="194">
        <v>446</v>
      </c>
      <c r="B454" s="509">
        <v>41085</v>
      </c>
      <c r="C454" s="200" t="s">
        <v>1423</v>
      </c>
      <c r="D454" s="322" t="s">
        <v>1424</v>
      </c>
      <c r="E454" s="198" t="s">
        <v>506</v>
      </c>
      <c r="F454" s="325">
        <v>162.5</v>
      </c>
      <c r="G454" s="325">
        <v>162.5</v>
      </c>
      <c r="H454" s="299">
        <v>0</v>
      </c>
      <c r="I454" s="325">
        <v>162.5</v>
      </c>
      <c r="J454" s="314"/>
    </row>
    <row r="455" spans="1:10" ht="15">
      <c r="A455" s="194">
        <v>447</v>
      </c>
      <c r="B455" s="509">
        <v>41085</v>
      </c>
      <c r="C455" s="200" t="s">
        <v>1425</v>
      </c>
      <c r="D455" s="322" t="s">
        <v>1426</v>
      </c>
      <c r="E455" s="198" t="s">
        <v>506</v>
      </c>
      <c r="F455" s="325">
        <v>162.5</v>
      </c>
      <c r="G455" s="325">
        <v>162.5</v>
      </c>
      <c r="H455" s="299">
        <v>0</v>
      </c>
      <c r="I455" s="325">
        <v>162.5</v>
      </c>
      <c r="J455" s="314"/>
    </row>
    <row r="456" spans="1:10" ht="15">
      <c r="A456" s="194">
        <v>448</v>
      </c>
      <c r="B456" s="509">
        <v>41085</v>
      </c>
      <c r="C456" s="200" t="s">
        <v>1427</v>
      </c>
      <c r="D456" s="322" t="s">
        <v>1428</v>
      </c>
      <c r="E456" s="198" t="s">
        <v>506</v>
      </c>
      <c r="F456" s="325">
        <v>162.5</v>
      </c>
      <c r="G456" s="325">
        <v>162.5</v>
      </c>
      <c r="H456" s="299">
        <v>0</v>
      </c>
      <c r="I456" s="325">
        <v>162.5</v>
      </c>
      <c r="J456" s="314"/>
    </row>
    <row r="457" spans="1:10" ht="15">
      <c r="A457" s="194">
        <v>449</v>
      </c>
      <c r="B457" s="509">
        <v>41085</v>
      </c>
      <c r="C457" s="200" t="s">
        <v>1429</v>
      </c>
      <c r="D457" s="322" t="s">
        <v>1430</v>
      </c>
      <c r="E457" s="198" t="s">
        <v>506</v>
      </c>
      <c r="F457" s="325">
        <v>162.5</v>
      </c>
      <c r="G457" s="325">
        <v>162.5</v>
      </c>
      <c r="H457" s="299">
        <v>0</v>
      </c>
      <c r="I457" s="325">
        <v>162.5</v>
      </c>
      <c r="J457" s="314"/>
    </row>
    <row r="458" spans="1:10" ht="15">
      <c r="A458" s="194">
        <v>450</v>
      </c>
      <c r="B458" s="509">
        <v>41085</v>
      </c>
      <c r="C458" s="200" t="s">
        <v>1431</v>
      </c>
      <c r="D458" s="322" t="s">
        <v>1432</v>
      </c>
      <c r="E458" s="198" t="s">
        <v>506</v>
      </c>
      <c r="F458" s="325">
        <v>162.5</v>
      </c>
      <c r="G458" s="325">
        <v>162.5</v>
      </c>
      <c r="H458" s="299">
        <v>0</v>
      </c>
      <c r="I458" s="325">
        <v>162.5</v>
      </c>
      <c r="J458" s="314"/>
    </row>
    <row r="459" spans="1:10" ht="15">
      <c r="A459" s="194">
        <v>451</v>
      </c>
      <c r="B459" s="509">
        <v>41085</v>
      </c>
      <c r="C459" s="200" t="s">
        <v>1433</v>
      </c>
      <c r="D459" s="322" t="s">
        <v>1434</v>
      </c>
      <c r="E459" s="198" t="s">
        <v>506</v>
      </c>
      <c r="F459" s="325">
        <v>162.5</v>
      </c>
      <c r="G459" s="325">
        <v>162.5</v>
      </c>
      <c r="H459" s="299">
        <v>0</v>
      </c>
      <c r="I459" s="325">
        <v>162.5</v>
      </c>
      <c r="J459" s="314"/>
    </row>
    <row r="460" spans="1:10" ht="15">
      <c r="A460" s="194">
        <v>452</v>
      </c>
      <c r="B460" s="509">
        <v>41085</v>
      </c>
      <c r="C460" s="200" t="s">
        <v>1435</v>
      </c>
      <c r="D460" s="322" t="s">
        <v>1436</v>
      </c>
      <c r="E460" s="198" t="s">
        <v>506</v>
      </c>
      <c r="F460" s="325">
        <v>162.5</v>
      </c>
      <c r="G460" s="325">
        <v>162.5</v>
      </c>
      <c r="H460" s="299">
        <v>0</v>
      </c>
      <c r="I460" s="325">
        <v>162.5</v>
      </c>
      <c r="J460" s="314"/>
    </row>
    <row r="461" spans="1:10" ht="15">
      <c r="A461" s="194">
        <v>453</v>
      </c>
      <c r="B461" s="509">
        <v>41085</v>
      </c>
      <c r="C461" s="200" t="s">
        <v>1437</v>
      </c>
      <c r="D461" s="322" t="s">
        <v>1438</v>
      </c>
      <c r="E461" s="198" t="s">
        <v>506</v>
      </c>
      <c r="F461" s="325">
        <v>162.5</v>
      </c>
      <c r="G461" s="325">
        <v>162.5</v>
      </c>
      <c r="H461" s="299">
        <v>0</v>
      </c>
      <c r="I461" s="325">
        <v>162.5</v>
      </c>
      <c r="J461" s="314"/>
    </row>
    <row r="462" spans="1:10" ht="15">
      <c r="A462" s="194">
        <v>454</v>
      </c>
      <c r="B462" s="509">
        <v>41085</v>
      </c>
      <c r="C462" s="200" t="s">
        <v>1439</v>
      </c>
      <c r="D462" s="322" t="s">
        <v>1440</v>
      </c>
      <c r="E462" s="198" t="s">
        <v>506</v>
      </c>
      <c r="F462" s="325">
        <v>162.5</v>
      </c>
      <c r="G462" s="325">
        <v>162.5</v>
      </c>
      <c r="H462" s="299">
        <v>0</v>
      </c>
      <c r="I462" s="325">
        <v>162.5</v>
      </c>
      <c r="J462" s="314"/>
    </row>
    <row r="463" spans="1:10" ht="15">
      <c r="A463" s="194">
        <v>455</v>
      </c>
      <c r="B463" s="509">
        <v>41085</v>
      </c>
      <c r="C463" s="200" t="s">
        <v>1441</v>
      </c>
      <c r="D463" s="322" t="s">
        <v>1442</v>
      </c>
      <c r="E463" s="198" t="s">
        <v>506</v>
      </c>
      <c r="F463" s="325">
        <v>162.5</v>
      </c>
      <c r="G463" s="325">
        <v>162.5</v>
      </c>
      <c r="H463" s="299">
        <v>0</v>
      </c>
      <c r="I463" s="325">
        <v>162.5</v>
      </c>
      <c r="J463" s="314"/>
    </row>
    <row r="464" spans="1:10" ht="15">
      <c r="A464" s="194">
        <v>456</v>
      </c>
      <c r="B464" s="509">
        <v>41085</v>
      </c>
      <c r="C464" s="200" t="s">
        <v>1443</v>
      </c>
      <c r="D464" s="322" t="s">
        <v>1444</v>
      </c>
      <c r="E464" s="198" t="s">
        <v>506</v>
      </c>
      <c r="F464" s="325">
        <v>162.5</v>
      </c>
      <c r="G464" s="325">
        <v>162.5</v>
      </c>
      <c r="H464" s="299">
        <v>0</v>
      </c>
      <c r="I464" s="325">
        <v>162.5</v>
      </c>
      <c r="J464" s="314"/>
    </row>
    <row r="465" spans="1:10" ht="15">
      <c r="A465" s="194">
        <v>457</v>
      </c>
      <c r="B465" s="509">
        <v>41085</v>
      </c>
      <c r="C465" s="200" t="s">
        <v>1445</v>
      </c>
      <c r="D465" s="322" t="s">
        <v>1446</v>
      </c>
      <c r="E465" s="198" t="s">
        <v>506</v>
      </c>
      <c r="F465" s="325">
        <v>162.5</v>
      </c>
      <c r="G465" s="325">
        <v>162.5</v>
      </c>
      <c r="H465" s="299">
        <v>0</v>
      </c>
      <c r="I465" s="325">
        <v>162.5</v>
      </c>
      <c r="J465" s="314"/>
    </row>
    <row r="466" spans="1:10" ht="15">
      <c r="A466" s="194">
        <v>458</v>
      </c>
      <c r="B466" s="509">
        <v>41085</v>
      </c>
      <c r="C466" s="200" t="s">
        <v>1447</v>
      </c>
      <c r="D466" s="322" t="s">
        <v>1448</v>
      </c>
      <c r="E466" s="198" t="s">
        <v>506</v>
      </c>
      <c r="F466" s="325">
        <v>162.5</v>
      </c>
      <c r="G466" s="325">
        <v>162.5</v>
      </c>
      <c r="H466" s="299">
        <v>0</v>
      </c>
      <c r="I466" s="325">
        <v>162.5</v>
      </c>
      <c r="J466" s="314"/>
    </row>
    <row r="467" spans="1:10" ht="15">
      <c r="A467" s="194">
        <v>459</v>
      </c>
      <c r="B467" s="509">
        <v>41085</v>
      </c>
      <c r="C467" s="200" t="s">
        <v>1449</v>
      </c>
      <c r="D467" s="322" t="s">
        <v>1450</v>
      </c>
      <c r="E467" s="198" t="s">
        <v>506</v>
      </c>
      <c r="F467" s="325">
        <v>162.5</v>
      </c>
      <c r="G467" s="325">
        <v>162.5</v>
      </c>
      <c r="H467" s="299">
        <v>0</v>
      </c>
      <c r="I467" s="325">
        <v>162.5</v>
      </c>
      <c r="J467" s="314"/>
    </row>
    <row r="468" spans="1:10" ht="15">
      <c r="A468" s="194">
        <v>460</v>
      </c>
      <c r="B468" s="509">
        <v>41085</v>
      </c>
      <c r="C468" s="200" t="s">
        <v>1451</v>
      </c>
      <c r="D468" s="322" t="s">
        <v>1452</v>
      </c>
      <c r="E468" s="198" t="s">
        <v>506</v>
      </c>
      <c r="F468" s="325">
        <v>162.5</v>
      </c>
      <c r="G468" s="325">
        <v>162.5</v>
      </c>
      <c r="H468" s="299">
        <v>0</v>
      </c>
      <c r="I468" s="325">
        <v>162.5</v>
      </c>
      <c r="J468" s="314"/>
    </row>
    <row r="469" spans="1:10" ht="15">
      <c r="A469" s="194">
        <v>461</v>
      </c>
      <c r="B469" s="509">
        <v>41085</v>
      </c>
      <c r="C469" s="200" t="s">
        <v>1453</v>
      </c>
      <c r="D469" s="322" t="s">
        <v>1454</v>
      </c>
      <c r="E469" s="198" t="s">
        <v>506</v>
      </c>
      <c r="F469" s="325">
        <v>162.5</v>
      </c>
      <c r="G469" s="325">
        <v>162.5</v>
      </c>
      <c r="H469" s="299">
        <v>0</v>
      </c>
      <c r="I469" s="325">
        <v>162.5</v>
      </c>
      <c r="J469" s="314"/>
    </row>
    <row r="470" spans="1:10" ht="15">
      <c r="A470" s="194">
        <v>462</v>
      </c>
      <c r="B470" s="509">
        <v>41085</v>
      </c>
      <c r="C470" s="200" t="s">
        <v>1455</v>
      </c>
      <c r="D470" s="322" t="s">
        <v>1456</v>
      </c>
      <c r="E470" s="198" t="s">
        <v>506</v>
      </c>
      <c r="F470" s="325">
        <v>162.5</v>
      </c>
      <c r="G470" s="325">
        <v>162.5</v>
      </c>
      <c r="H470" s="299">
        <v>0</v>
      </c>
      <c r="I470" s="325">
        <v>162.5</v>
      </c>
      <c r="J470" s="314"/>
    </row>
    <row r="471" spans="1:10" ht="15">
      <c r="A471" s="194">
        <v>463</v>
      </c>
      <c r="B471" s="509">
        <v>41085</v>
      </c>
      <c r="C471" s="200" t="s">
        <v>1457</v>
      </c>
      <c r="D471" s="322" t="s">
        <v>1458</v>
      </c>
      <c r="E471" s="198" t="s">
        <v>506</v>
      </c>
      <c r="F471" s="325">
        <v>162.5</v>
      </c>
      <c r="G471" s="325">
        <v>162.5</v>
      </c>
      <c r="H471" s="299">
        <v>0</v>
      </c>
      <c r="I471" s="325">
        <v>162.5</v>
      </c>
      <c r="J471" s="314"/>
    </row>
    <row r="472" spans="1:10" ht="15">
      <c r="A472" s="194">
        <v>464</v>
      </c>
      <c r="B472" s="509">
        <v>41085</v>
      </c>
      <c r="C472" s="200" t="s">
        <v>1459</v>
      </c>
      <c r="D472" s="322" t="s">
        <v>1460</v>
      </c>
      <c r="E472" s="198" t="s">
        <v>506</v>
      </c>
      <c r="F472" s="325">
        <v>162.5</v>
      </c>
      <c r="G472" s="325">
        <v>162.5</v>
      </c>
      <c r="H472" s="299">
        <v>0</v>
      </c>
      <c r="I472" s="325">
        <v>162.5</v>
      </c>
      <c r="J472" s="314"/>
    </row>
    <row r="473" spans="1:10" ht="15">
      <c r="A473" s="194">
        <v>465</v>
      </c>
      <c r="B473" s="509">
        <v>41085</v>
      </c>
      <c r="C473" s="200" t="s">
        <v>1461</v>
      </c>
      <c r="D473" s="322" t="s">
        <v>1462</v>
      </c>
      <c r="E473" s="198" t="s">
        <v>506</v>
      </c>
      <c r="F473" s="325">
        <v>162.5</v>
      </c>
      <c r="G473" s="325">
        <v>162.5</v>
      </c>
      <c r="H473" s="299">
        <v>0</v>
      </c>
      <c r="I473" s="325">
        <v>162.5</v>
      </c>
      <c r="J473" s="314"/>
    </row>
    <row r="474" spans="1:10" ht="15">
      <c r="A474" s="194">
        <v>466</v>
      </c>
      <c r="B474" s="509">
        <v>41085</v>
      </c>
      <c r="C474" s="200" t="s">
        <v>1463</v>
      </c>
      <c r="D474" s="322" t="s">
        <v>1464</v>
      </c>
      <c r="E474" s="198" t="s">
        <v>506</v>
      </c>
      <c r="F474" s="325">
        <v>162.5</v>
      </c>
      <c r="G474" s="325">
        <v>162.5</v>
      </c>
      <c r="H474" s="299">
        <v>0</v>
      </c>
      <c r="I474" s="325">
        <v>162.5</v>
      </c>
      <c r="J474" s="314"/>
    </row>
    <row r="475" spans="1:10" ht="15">
      <c r="A475" s="194">
        <v>467</v>
      </c>
      <c r="B475" s="509">
        <v>41085</v>
      </c>
      <c r="C475" s="200" t="s">
        <v>1465</v>
      </c>
      <c r="D475" s="322" t="s">
        <v>1466</v>
      </c>
      <c r="E475" s="198" t="s">
        <v>506</v>
      </c>
      <c r="F475" s="325">
        <v>162.5</v>
      </c>
      <c r="G475" s="325">
        <v>162.5</v>
      </c>
      <c r="H475" s="299">
        <v>0</v>
      </c>
      <c r="I475" s="325">
        <v>162.5</v>
      </c>
      <c r="J475" s="314"/>
    </row>
    <row r="476" spans="1:10" ht="15">
      <c r="A476" s="194">
        <v>468</v>
      </c>
      <c r="B476" s="509">
        <v>41085</v>
      </c>
      <c r="C476" s="200" t="s">
        <v>1467</v>
      </c>
      <c r="D476" s="322" t="s">
        <v>1468</v>
      </c>
      <c r="E476" s="198" t="s">
        <v>506</v>
      </c>
      <c r="F476" s="325">
        <v>162.5</v>
      </c>
      <c r="G476" s="325">
        <v>162.5</v>
      </c>
      <c r="H476" s="299">
        <v>0</v>
      </c>
      <c r="I476" s="325">
        <v>162.5</v>
      </c>
      <c r="J476" s="314"/>
    </row>
    <row r="477" spans="1:10" ht="15">
      <c r="A477" s="194">
        <v>469</v>
      </c>
      <c r="B477" s="509">
        <v>41085</v>
      </c>
      <c r="C477" s="200" t="s">
        <v>1469</v>
      </c>
      <c r="D477" s="322" t="s">
        <v>1470</v>
      </c>
      <c r="E477" s="198" t="s">
        <v>506</v>
      </c>
      <c r="F477" s="325">
        <v>162.5</v>
      </c>
      <c r="G477" s="325">
        <v>162.5</v>
      </c>
      <c r="H477" s="299">
        <v>0</v>
      </c>
      <c r="I477" s="325">
        <v>162.5</v>
      </c>
      <c r="J477" s="314"/>
    </row>
    <row r="478" spans="1:10" ht="30">
      <c r="A478" s="194">
        <v>470</v>
      </c>
      <c r="B478" s="509">
        <v>41085</v>
      </c>
      <c r="C478" s="200" t="s">
        <v>1471</v>
      </c>
      <c r="D478" s="322" t="s">
        <v>1472</v>
      </c>
      <c r="E478" s="198" t="s">
        <v>506</v>
      </c>
      <c r="F478" s="325">
        <v>162.5</v>
      </c>
      <c r="G478" s="325">
        <v>162.5</v>
      </c>
      <c r="H478" s="299">
        <v>0</v>
      </c>
      <c r="I478" s="325">
        <v>162.5</v>
      </c>
      <c r="J478" s="314"/>
    </row>
    <row r="479" spans="1:10" ht="15">
      <c r="A479" s="194">
        <v>471</v>
      </c>
      <c r="B479" s="509">
        <v>41085</v>
      </c>
      <c r="C479" s="200" t="s">
        <v>1473</v>
      </c>
      <c r="D479" s="322" t="s">
        <v>1474</v>
      </c>
      <c r="E479" s="198" t="s">
        <v>506</v>
      </c>
      <c r="F479" s="325">
        <v>162.5</v>
      </c>
      <c r="G479" s="325">
        <v>162.5</v>
      </c>
      <c r="H479" s="299">
        <v>0</v>
      </c>
      <c r="I479" s="325">
        <v>162.5</v>
      </c>
      <c r="J479" s="314"/>
    </row>
    <row r="480" spans="1:10" ht="15">
      <c r="A480" s="194">
        <v>472</v>
      </c>
      <c r="B480" s="509">
        <v>41085</v>
      </c>
      <c r="C480" s="200" t="s">
        <v>1475</v>
      </c>
      <c r="D480" s="322" t="s">
        <v>1476</v>
      </c>
      <c r="E480" s="198" t="s">
        <v>506</v>
      </c>
      <c r="F480" s="325">
        <v>162.5</v>
      </c>
      <c r="G480" s="325">
        <v>162.5</v>
      </c>
      <c r="H480" s="299">
        <v>0</v>
      </c>
      <c r="I480" s="325">
        <v>162.5</v>
      </c>
      <c r="J480" s="314"/>
    </row>
    <row r="481" spans="1:10" ht="15">
      <c r="A481" s="194">
        <v>473</v>
      </c>
      <c r="B481" s="509">
        <v>41085</v>
      </c>
      <c r="C481" s="200" t="s">
        <v>1477</v>
      </c>
      <c r="D481" s="322" t="s">
        <v>1478</v>
      </c>
      <c r="E481" s="198" t="s">
        <v>506</v>
      </c>
      <c r="F481" s="325">
        <v>162.5</v>
      </c>
      <c r="G481" s="325">
        <v>162.5</v>
      </c>
      <c r="H481" s="299">
        <v>0</v>
      </c>
      <c r="I481" s="325">
        <v>162.5</v>
      </c>
      <c r="J481" s="314"/>
    </row>
    <row r="482" spans="1:10" ht="15">
      <c r="A482" s="194">
        <v>474</v>
      </c>
      <c r="B482" s="509">
        <v>41085</v>
      </c>
      <c r="C482" s="200" t="s">
        <v>1479</v>
      </c>
      <c r="D482" s="322" t="s">
        <v>1480</v>
      </c>
      <c r="E482" s="198" t="s">
        <v>506</v>
      </c>
      <c r="F482" s="325">
        <v>162.5</v>
      </c>
      <c r="G482" s="325">
        <v>162.5</v>
      </c>
      <c r="H482" s="299">
        <v>0</v>
      </c>
      <c r="I482" s="325">
        <v>162.5</v>
      </c>
      <c r="J482" s="314"/>
    </row>
    <row r="483" spans="1:10" ht="15">
      <c r="A483" s="194">
        <v>475</v>
      </c>
      <c r="B483" s="509">
        <v>41085</v>
      </c>
      <c r="C483" s="200" t="s">
        <v>1481</v>
      </c>
      <c r="D483" s="322" t="s">
        <v>1482</v>
      </c>
      <c r="E483" s="198" t="s">
        <v>506</v>
      </c>
      <c r="F483" s="325">
        <v>162.5</v>
      </c>
      <c r="G483" s="325">
        <v>162.5</v>
      </c>
      <c r="H483" s="299">
        <v>0</v>
      </c>
      <c r="I483" s="325">
        <v>162.5</v>
      </c>
      <c r="J483" s="314"/>
    </row>
    <row r="484" spans="1:10" ht="15">
      <c r="A484" s="194">
        <v>476</v>
      </c>
      <c r="B484" s="509">
        <v>41085</v>
      </c>
      <c r="C484" s="200" t="s">
        <v>1483</v>
      </c>
      <c r="D484" s="322" t="s">
        <v>1484</v>
      </c>
      <c r="E484" s="198" t="s">
        <v>506</v>
      </c>
      <c r="F484" s="325">
        <v>162.5</v>
      </c>
      <c r="G484" s="325">
        <v>162.5</v>
      </c>
      <c r="H484" s="299">
        <v>0</v>
      </c>
      <c r="I484" s="325">
        <v>162.5</v>
      </c>
      <c r="J484" s="314"/>
    </row>
    <row r="485" spans="1:10" ht="15">
      <c r="A485" s="194">
        <v>477</v>
      </c>
      <c r="B485" s="509">
        <v>41085</v>
      </c>
      <c r="C485" s="200" t="s">
        <v>1485</v>
      </c>
      <c r="D485" s="322" t="s">
        <v>1486</v>
      </c>
      <c r="E485" s="198" t="s">
        <v>506</v>
      </c>
      <c r="F485" s="325">
        <v>162.5</v>
      </c>
      <c r="G485" s="325">
        <v>162.5</v>
      </c>
      <c r="H485" s="299">
        <v>0</v>
      </c>
      <c r="I485" s="325">
        <v>162.5</v>
      </c>
      <c r="J485" s="314"/>
    </row>
    <row r="486" spans="1:10" ht="15">
      <c r="A486" s="194">
        <v>478</v>
      </c>
      <c r="B486" s="509">
        <v>41085</v>
      </c>
      <c r="C486" s="200" t="s">
        <v>1487</v>
      </c>
      <c r="D486" s="322" t="s">
        <v>1488</v>
      </c>
      <c r="E486" s="198" t="s">
        <v>506</v>
      </c>
      <c r="F486" s="325">
        <v>162.5</v>
      </c>
      <c r="G486" s="325">
        <v>162.5</v>
      </c>
      <c r="H486" s="299">
        <v>0</v>
      </c>
      <c r="I486" s="325">
        <v>162.5</v>
      </c>
      <c r="J486" s="314"/>
    </row>
    <row r="487" spans="1:10" ht="15">
      <c r="A487" s="194">
        <v>479</v>
      </c>
      <c r="B487" s="509">
        <v>41085</v>
      </c>
      <c r="C487" s="200" t="s">
        <v>1489</v>
      </c>
      <c r="D487" s="322" t="s">
        <v>1490</v>
      </c>
      <c r="E487" s="198" t="s">
        <v>506</v>
      </c>
      <c r="F487" s="325">
        <v>162.5</v>
      </c>
      <c r="G487" s="325">
        <v>162.5</v>
      </c>
      <c r="H487" s="299">
        <v>0</v>
      </c>
      <c r="I487" s="325">
        <v>162.5</v>
      </c>
      <c r="J487" s="314"/>
    </row>
    <row r="488" spans="1:10" ht="15">
      <c r="A488" s="194">
        <v>480</v>
      </c>
      <c r="B488" s="509">
        <v>41085</v>
      </c>
      <c r="C488" s="200" t="s">
        <v>1491</v>
      </c>
      <c r="D488" s="322" t="s">
        <v>1492</v>
      </c>
      <c r="E488" s="198" t="s">
        <v>506</v>
      </c>
      <c r="F488" s="325">
        <v>162.5</v>
      </c>
      <c r="G488" s="325">
        <v>162.5</v>
      </c>
      <c r="H488" s="299">
        <v>0</v>
      </c>
      <c r="I488" s="325">
        <v>162.5</v>
      </c>
      <c r="J488" s="314"/>
    </row>
    <row r="489" spans="1:10" ht="15">
      <c r="A489" s="194">
        <v>481</v>
      </c>
      <c r="B489" s="509">
        <v>41085</v>
      </c>
      <c r="C489" s="200" t="s">
        <v>1493</v>
      </c>
      <c r="D489" s="322" t="s">
        <v>1494</v>
      </c>
      <c r="E489" s="198" t="s">
        <v>506</v>
      </c>
      <c r="F489" s="325">
        <v>162.5</v>
      </c>
      <c r="G489" s="325">
        <v>162.5</v>
      </c>
      <c r="H489" s="299">
        <v>0</v>
      </c>
      <c r="I489" s="325">
        <v>162.5</v>
      </c>
      <c r="J489" s="314"/>
    </row>
    <row r="490" spans="1:10" ht="15">
      <c r="A490" s="194">
        <v>482</v>
      </c>
      <c r="B490" s="509">
        <v>41085</v>
      </c>
      <c r="C490" s="200" t="s">
        <v>1495</v>
      </c>
      <c r="D490" s="322" t="s">
        <v>1496</v>
      </c>
      <c r="E490" s="198" t="s">
        <v>506</v>
      </c>
      <c r="F490" s="325">
        <v>162.5</v>
      </c>
      <c r="G490" s="325">
        <v>162.5</v>
      </c>
      <c r="H490" s="299">
        <v>0</v>
      </c>
      <c r="I490" s="325">
        <v>162.5</v>
      </c>
      <c r="J490" s="314"/>
    </row>
    <row r="491" spans="1:10" ht="15">
      <c r="A491" s="194">
        <v>483</v>
      </c>
      <c r="B491" s="509">
        <v>41085</v>
      </c>
      <c r="C491" s="200" t="s">
        <v>1497</v>
      </c>
      <c r="D491" s="322" t="s">
        <v>1498</v>
      </c>
      <c r="E491" s="198" t="s">
        <v>506</v>
      </c>
      <c r="F491" s="325">
        <v>162.5</v>
      </c>
      <c r="G491" s="325">
        <v>162.5</v>
      </c>
      <c r="H491" s="299">
        <v>0</v>
      </c>
      <c r="I491" s="325">
        <v>162.5</v>
      </c>
      <c r="J491" s="314"/>
    </row>
    <row r="492" spans="1:10" ht="15">
      <c r="A492" s="194">
        <v>484</v>
      </c>
      <c r="B492" s="509">
        <v>41085</v>
      </c>
      <c r="C492" s="200" t="s">
        <v>1499</v>
      </c>
      <c r="D492" s="322" t="s">
        <v>1500</v>
      </c>
      <c r="E492" s="198" t="s">
        <v>506</v>
      </c>
      <c r="F492" s="325">
        <v>162.5</v>
      </c>
      <c r="G492" s="325">
        <v>162.5</v>
      </c>
      <c r="H492" s="299">
        <v>0</v>
      </c>
      <c r="I492" s="325">
        <v>162.5</v>
      </c>
      <c r="J492" s="314"/>
    </row>
    <row r="493" spans="1:10" ht="15">
      <c r="A493" s="194">
        <v>485</v>
      </c>
      <c r="B493" s="509">
        <v>41085</v>
      </c>
      <c r="C493" s="200" t="s">
        <v>1501</v>
      </c>
      <c r="D493" s="322" t="s">
        <v>1502</v>
      </c>
      <c r="E493" s="198" t="s">
        <v>506</v>
      </c>
      <c r="F493" s="325">
        <v>162.5</v>
      </c>
      <c r="G493" s="325">
        <v>162.5</v>
      </c>
      <c r="H493" s="299">
        <v>0</v>
      </c>
      <c r="I493" s="325">
        <v>162.5</v>
      </c>
      <c r="J493" s="314"/>
    </row>
    <row r="494" spans="1:10" ht="15">
      <c r="A494" s="194">
        <v>486</v>
      </c>
      <c r="B494" s="509">
        <v>41085</v>
      </c>
      <c r="C494" s="200" t="s">
        <v>1503</v>
      </c>
      <c r="D494" s="322" t="s">
        <v>1504</v>
      </c>
      <c r="E494" s="198" t="s">
        <v>506</v>
      </c>
      <c r="F494" s="325">
        <v>162.5</v>
      </c>
      <c r="G494" s="325">
        <v>162.5</v>
      </c>
      <c r="H494" s="299">
        <v>0</v>
      </c>
      <c r="I494" s="325">
        <v>162.5</v>
      </c>
      <c r="J494" s="314"/>
    </row>
    <row r="495" spans="1:10" ht="15">
      <c r="A495" s="194">
        <v>487</v>
      </c>
      <c r="B495" s="509">
        <v>41085</v>
      </c>
      <c r="C495" s="200" t="s">
        <v>1505</v>
      </c>
      <c r="D495" s="322" t="s">
        <v>1506</v>
      </c>
      <c r="E495" s="198" t="s">
        <v>506</v>
      </c>
      <c r="F495" s="325">
        <v>125</v>
      </c>
      <c r="G495" s="325">
        <v>125</v>
      </c>
      <c r="H495" s="299">
        <v>0</v>
      </c>
      <c r="I495" s="325">
        <v>125</v>
      </c>
      <c r="J495" s="314"/>
    </row>
    <row r="496" spans="1:10" ht="15">
      <c r="A496" s="194">
        <v>488</v>
      </c>
      <c r="B496" s="509">
        <v>41085</v>
      </c>
      <c r="C496" s="200" t="s">
        <v>1507</v>
      </c>
      <c r="D496" s="322" t="s">
        <v>1508</v>
      </c>
      <c r="E496" s="198" t="s">
        <v>506</v>
      </c>
      <c r="F496" s="325">
        <v>125</v>
      </c>
      <c r="G496" s="325">
        <v>125</v>
      </c>
      <c r="H496" s="299">
        <v>0</v>
      </c>
      <c r="I496" s="325">
        <v>125</v>
      </c>
      <c r="J496" s="314"/>
    </row>
    <row r="497" spans="1:10" ht="15">
      <c r="A497" s="194">
        <v>489</v>
      </c>
      <c r="B497" s="509">
        <v>41085</v>
      </c>
      <c r="C497" s="200" t="s">
        <v>1509</v>
      </c>
      <c r="D497" s="322" t="s">
        <v>1510</v>
      </c>
      <c r="E497" s="198" t="s">
        <v>506</v>
      </c>
      <c r="F497" s="325">
        <v>162.5</v>
      </c>
      <c r="G497" s="325">
        <v>162.5</v>
      </c>
      <c r="H497" s="299">
        <v>0</v>
      </c>
      <c r="I497" s="325">
        <v>162.5</v>
      </c>
      <c r="J497" s="314"/>
    </row>
    <row r="498" spans="1:10" ht="15">
      <c r="A498" s="194">
        <v>490</v>
      </c>
      <c r="B498" s="509">
        <v>41085</v>
      </c>
      <c r="C498" s="200" t="s">
        <v>1511</v>
      </c>
      <c r="D498" s="322" t="s">
        <v>1512</v>
      </c>
      <c r="E498" s="198" t="s">
        <v>506</v>
      </c>
      <c r="F498" s="325">
        <v>162.5</v>
      </c>
      <c r="G498" s="325">
        <v>162.5</v>
      </c>
      <c r="H498" s="299">
        <v>0</v>
      </c>
      <c r="I498" s="325">
        <v>162.5</v>
      </c>
      <c r="J498" s="314"/>
    </row>
    <row r="499" spans="1:10" ht="15">
      <c r="A499" s="194">
        <v>491</v>
      </c>
      <c r="B499" s="509">
        <v>41085</v>
      </c>
      <c r="C499" s="200" t="s">
        <v>1513</v>
      </c>
      <c r="D499" s="322" t="s">
        <v>1514</v>
      </c>
      <c r="E499" s="198" t="s">
        <v>506</v>
      </c>
      <c r="F499" s="325">
        <v>162.5</v>
      </c>
      <c r="G499" s="325">
        <v>162.5</v>
      </c>
      <c r="H499" s="299">
        <v>0</v>
      </c>
      <c r="I499" s="325">
        <v>162.5</v>
      </c>
      <c r="J499" s="314"/>
    </row>
    <row r="500" spans="1:10" ht="15">
      <c r="A500" s="194">
        <v>492</v>
      </c>
      <c r="B500" s="509">
        <v>41085</v>
      </c>
      <c r="C500" s="200" t="s">
        <v>1515</v>
      </c>
      <c r="D500" s="322" t="s">
        <v>1516</v>
      </c>
      <c r="E500" s="198" t="s">
        <v>506</v>
      </c>
      <c r="F500" s="325">
        <v>162.5</v>
      </c>
      <c r="G500" s="325">
        <v>162.5</v>
      </c>
      <c r="H500" s="299">
        <v>0</v>
      </c>
      <c r="I500" s="325">
        <v>162.5</v>
      </c>
      <c r="J500" s="314"/>
    </row>
    <row r="501" spans="1:10" ht="15">
      <c r="A501" s="194">
        <v>493</v>
      </c>
      <c r="B501" s="509">
        <v>41085</v>
      </c>
      <c r="C501" s="200" t="s">
        <v>1517</v>
      </c>
      <c r="D501" s="322" t="s">
        <v>1518</v>
      </c>
      <c r="E501" s="198" t="s">
        <v>506</v>
      </c>
      <c r="F501" s="325">
        <v>162.5</v>
      </c>
      <c r="G501" s="325">
        <v>162.5</v>
      </c>
      <c r="H501" s="299">
        <v>0</v>
      </c>
      <c r="I501" s="325">
        <v>162.5</v>
      </c>
      <c r="J501" s="314"/>
    </row>
    <row r="502" spans="1:10" ht="15">
      <c r="A502" s="194">
        <v>494</v>
      </c>
      <c r="B502" s="509">
        <v>41085</v>
      </c>
      <c r="C502" s="200" t="s">
        <v>1519</v>
      </c>
      <c r="D502" s="322" t="s">
        <v>1520</v>
      </c>
      <c r="E502" s="198" t="s">
        <v>506</v>
      </c>
      <c r="F502" s="325">
        <v>162.5</v>
      </c>
      <c r="G502" s="325">
        <v>162.5</v>
      </c>
      <c r="H502" s="299">
        <v>0</v>
      </c>
      <c r="I502" s="325">
        <v>162.5</v>
      </c>
      <c r="J502" s="314"/>
    </row>
    <row r="503" spans="1:10" ht="15">
      <c r="A503" s="194">
        <v>495</v>
      </c>
      <c r="B503" s="509">
        <v>41085</v>
      </c>
      <c r="C503" s="200" t="s">
        <v>1521</v>
      </c>
      <c r="D503" s="322" t="s">
        <v>1522</v>
      </c>
      <c r="E503" s="198" t="s">
        <v>506</v>
      </c>
      <c r="F503" s="325">
        <v>162.5</v>
      </c>
      <c r="G503" s="325">
        <v>162.5</v>
      </c>
      <c r="H503" s="299">
        <v>0</v>
      </c>
      <c r="I503" s="325">
        <v>162.5</v>
      </c>
      <c r="J503" s="314"/>
    </row>
    <row r="504" spans="1:10" ht="15">
      <c r="A504" s="194">
        <v>496</v>
      </c>
      <c r="B504" s="509">
        <v>41085</v>
      </c>
      <c r="C504" s="200" t="s">
        <v>1523</v>
      </c>
      <c r="D504" s="322" t="s">
        <v>1524</v>
      </c>
      <c r="E504" s="198" t="s">
        <v>506</v>
      </c>
      <c r="F504" s="325">
        <v>162.5</v>
      </c>
      <c r="G504" s="325">
        <v>162.5</v>
      </c>
      <c r="H504" s="299">
        <v>0</v>
      </c>
      <c r="I504" s="325">
        <v>162.5</v>
      </c>
      <c r="J504" s="314"/>
    </row>
    <row r="505" spans="1:10" ht="15">
      <c r="A505" s="194">
        <v>497</v>
      </c>
      <c r="B505" s="509">
        <v>41085</v>
      </c>
      <c r="C505" s="200" t="s">
        <v>1525</v>
      </c>
      <c r="D505" s="322" t="s">
        <v>1526</v>
      </c>
      <c r="E505" s="198" t="s">
        <v>506</v>
      </c>
      <c r="F505" s="325">
        <v>162.5</v>
      </c>
      <c r="G505" s="325">
        <v>162.5</v>
      </c>
      <c r="H505" s="299">
        <v>0</v>
      </c>
      <c r="I505" s="325">
        <v>162.5</v>
      </c>
      <c r="J505" s="314"/>
    </row>
    <row r="506" spans="1:10" ht="15">
      <c r="A506" s="194">
        <v>498</v>
      </c>
      <c r="B506" s="509">
        <v>41085</v>
      </c>
      <c r="C506" s="200" t="s">
        <v>1527</v>
      </c>
      <c r="D506" s="322" t="s">
        <v>1528</v>
      </c>
      <c r="E506" s="198" t="s">
        <v>506</v>
      </c>
      <c r="F506" s="325">
        <v>125</v>
      </c>
      <c r="G506" s="325">
        <v>125</v>
      </c>
      <c r="H506" s="299">
        <v>0</v>
      </c>
      <c r="I506" s="325">
        <v>125</v>
      </c>
      <c r="J506" s="314"/>
    </row>
    <row r="507" spans="1:10" ht="15">
      <c r="A507" s="194">
        <v>499</v>
      </c>
      <c r="B507" s="509">
        <v>41085</v>
      </c>
      <c r="C507" s="200" t="s">
        <v>1529</v>
      </c>
      <c r="D507" s="322" t="s">
        <v>1530</v>
      </c>
      <c r="E507" s="198" t="s">
        <v>506</v>
      </c>
      <c r="F507" s="325">
        <v>162.5</v>
      </c>
      <c r="G507" s="325">
        <v>162.5</v>
      </c>
      <c r="H507" s="299">
        <v>0</v>
      </c>
      <c r="I507" s="325">
        <v>162.5</v>
      </c>
      <c r="J507" s="314"/>
    </row>
    <row r="508" spans="1:10" ht="15">
      <c r="A508" s="194">
        <v>500</v>
      </c>
      <c r="B508" s="509">
        <v>41085</v>
      </c>
      <c r="C508" s="200" t="s">
        <v>1531</v>
      </c>
      <c r="D508" s="322" t="s">
        <v>1532</v>
      </c>
      <c r="E508" s="198" t="s">
        <v>506</v>
      </c>
      <c r="F508" s="325">
        <v>162.5</v>
      </c>
      <c r="G508" s="325">
        <v>162.5</v>
      </c>
      <c r="H508" s="299">
        <v>0</v>
      </c>
      <c r="I508" s="325">
        <v>162.5</v>
      </c>
      <c r="J508" s="314"/>
    </row>
    <row r="509" spans="1:10" ht="15">
      <c r="A509" s="194">
        <v>501</v>
      </c>
      <c r="B509" s="509">
        <v>41085</v>
      </c>
      <c r="C509" s="200" t="s">
        <v>1533</v>
      </c>
      <c r="D509" s="322" t="s">
        <v>1534</v>
      </c>
      <c r="E509" s="198" t="s">
        <v>506</v>
      </c>
      <c r="F509" s="325">
        <v>162.5</v>
      </c>
      <c r="G509" s="325">
        <v>162.5</v>
      </c>
      <c r="H509" s="299">
        <v>0</v>
      </c>
      <c r="I509" s="325">
        <v>162.5</v>
      </c>
      <c r="J509" s="314"/>
    </row>
    <row r="510" spans="1:10" ht="15">
      <c r="A510" s="194">
        <v>502</v>
      </c>
      <c r="B510" s="509">
        <v>41085</v>
      </c>
      <c r="C510" s="200" t="s">
        <v>1535</v>
      </c>
      <c r="D510" s="322" t="s">
        <v>1536</v>
      </c>
      <c r="E510" s="198" t="s">
        <v>506</v>
      </c>
      <c r="F510" s="325">
        <v>162.5</v>
      </c>
      <c r="G510" s="325">
        <v>162.5</v>
      </c>
      <c r="H510" s="299">
        <v>0</v>
      </c>
      <c r="I510" s="325">
        <v>162.5</v>
      </c>
      <c r="J510" s="314"/>
    </row>
    <row r="511" spans="1:10" ht="15">
      <c r="A511" s="194">
        <v>503</v>
      </c>
      <c r="B511" s="509">
        <v>41085</v>
      </c>
      <c r="C511" s="200" t="s">
        <v>1537</v>
      </c>
      <c r="D511" s="322" t="s">
        <v>1538</v>
      </c>
      <c r="E511" s="198" t="s">
        <v>506</v>
      </c>
      <c r="F511" s="325">
        <v>125</v>
      </c>
      <c r="G511" s="325">
        <v>125</v>
      </c>
      <c r="H511" s="299">
        <v>0</v>
      </c>
      <c r="I511" s="325">
        <v>125</v>
      </c>
      <c r="J511" s="314"/>
    </row>
    <row r="512" spans="1:10" ht="15">
      <c r="A512" s="194">
        <v>504</v>
      </c>
      <c r="B512" s="509">
        <v>41085</v>
      </c>
      <c r="C512" s="200" t="s">
        <v>1539</v>
      </c>
      <c r="D512" s="322" t="s">
        <v>1540</v>
      </c>
      <c r="E512" s="198" t="s">
        <v>506</v>
      </c>
      <c r="F512" s="325">
        <v>125</v>
      </c>
      <c r="G512" s="325">
        <v>125</v>
      </c>
      <c r="H512" s="299">
        <v>0</v>
      </c>
      <c r="I512" s="325">
        <v>125</v>
      </c>
      <c r="J512" s="314"/>
    </row>
    <row r="513" spans="1:10" ht="15">
      <c r="A513" s="194">
        <v>505</v>
      </c>
      <c r="B513" s="509">
        <v>41085</v>
      </c>
      <c r="C513" s="200" t="s">
        <v>1541</v>
      </c>
      <c r="D513" s="322" t="s">
        <v>1542</v>
      </c>
      <c r="E513" s="198" t="s">
        <v>506</v>
      </c>
      <c r="F513" s="325">
        <v>162.5</v>
      </c>
      <c r="G513" s="325">
        <v>162.5</v>
      </c>
      <c r="H513" s="299">
        <v>0</v>
      </c>
      <c r="I513" s="325">
        <v>162.5</v>
      </c>
      <c r="J513" s="314"/>
    </row>
    <row r="514" spans="1:10" ht="15">
      <c r="A514" s="194">
        <v>506</v>
      </c>
      <c r="B514" s="509">
        <v>41085</v>
      </c>
      <c r="C514" s="200" t="s">
        <v>1543</v>
      </c>
      <c r="D514" s="322" t="s">
        <v>1544</v>
      </c>
      <c r="E514" s="198" t="s">
        <v>506</v>
      </c>
      <c r="F514" s="325">
        <v>162.5</v>
      </c>
      <c r="G514" s="325">
        <v>162.5</v>
      </c>
      <c r="H514" s="299">
        <v>0</v>
      </c>
      <c r="I514" s="325">
        <v>162.5</v>
      </c>
      <c r="J514" s="314"/>
    </row>
    <row r="515" spans="1:10" ht="15">
      <c r="A515" s="194">
        <v>507</v>
      </c>
      <c r="B515" s="509">
        <v>41085</v>
      </c>
      <c r="C515" s="200" t="s">
        <v>1545</v>
      </c>
      <c r="D515" s="322" t="s">
        <v>1546</v>
      </c>
      <c r="E515" s="198" t="s">
        <v>506</v>
      </c>
      <c r="F515" s="325">
        <v>162.5</v>
      </c>
      <c r="G515" s="325">
        <v>162.5</v>
      </c>
      <c r="H515" s="299">
        <v>0</v>
      </c>
      <c r="I515" s="325">
        <v>162.5</v>
      </c>
      <c r="J515" s="314"/>
    </row>
    <row r="516" spans="1:10" ht="15">
      <c r="A516" s="194">
        <v>508</v>
      </c>
      <c r="B516" s="509">
        <v>41085</v>
      </c>
      <c r="C516" s="200" t="s">
        <v>1547</v>
      </c>
      <c r="D516" s="322" t="s">
        <v>1548</v>
      </c>
      <c r="E516" s="198" t="s">
        <v>506</v>
      </c>
      <c r="F516" s="325">
        <v>162.5</v>
      </c>
      <c r="G516" s="325">
        <v>162.5</v>
      </c>
      <c r="H516" s="299">
        <v>0</v>
      </c>
      <c r="I516" s="325">
        <v>162.5</v>
      </c>
      <c r="J516" s="314"/>
    </row>
    <row r="517" spans="1:10" ht="15">
      <c r="A517" s="194">
        <v>509</v>
      </c>
      <c r="B517" s="509">
        <v>41085</v>
      </c>
      <c r="C517" s="200" t="s">
        <v>1549</v>
      </c>
      <c r="D517" s="322" t="s">
        <v>1550</v>
      </c>
      <c r="E517" s="198" t="s">
        <v>506</v>
      </c>
      <c r="F517" s="325">
        <v>162.5</v>
      </c>
      <c r="G517" s="325">
        <v>162.5</v>
      </c>
      <c r="H517" s="299">
        <v>0</v>
      </c>
      <c r="I517" s="325">
        <v>162.5</v>
      </c>
      <c r="J517" s="314"/>
    </row>
    <row r="518" spans="1:10" ht="15">
      <c r="A518" s="194">
        <v>510</v>
      </c>
      <c r="B518" s="509">
        <v>41085</v>
      </c>
      <c r="C518" s="200" t="s">
        <v>700</v>
      </c>
      <c r="D518" s="322" t="s">
        <v>701</v>
      </c>
      <c r="E518" s="198" t="s">
        <v>506</v>
      </c>
      <c r="F518" s="325">
        <v>125</v>
      </c>
      <c r="G518" s="325">
        <v>125</v>
      </c>
      <c r="H518" s="299">
        <v>0</v>
      </c>
      <c r="I518" s="325">
        <v>125</v>
      </c>
      <c r="J518" s="314"/>
    </row>
    <row r="519" spans="1:10" ht="15">
      <c r="A519" s="194">
        <v>511</v>
      </c>
      <c r="B519" s="509">
        <v>41085</v>
      </c>
      <c r="C519" s="200" t="s">
        <v>1551</v>
      </c>
      <c r="D519" s="322" t="s">
        <v>1552</v>
      </c>
      <c r="E519" s="198" t="s">
        <v>506</v>
      </c>
      <c r="F519" s="325">
        <v>125</v>
      </c>
      <c r="G519" s="325">
        <v>125</v>
      </c>
      <c r="H519" s="299">
        <v>0</v>
      </c>
      <c r="I519" s="325">
        <v>125</v>
      </c>
      <c r="J519" s="314"/>
    </row>
    <row r="520" spans="1:10" ht="15">
      <c r="A520" s="194">
        <v>512</v>
      </c>
      <c r="B520" s="509">
        <v>41085</v>
      </c>
      <c r="C520" s="200" t="s">
        <v>702</v>
      </c>
      <c r="D520" s="322" t="s">
        <v>703</v>
      </c>
      <c r="E520" s="198" t="s">
        <v>506</v>
      </c>
      <c r="F520" s="325">
        <v>125</v>
      </c>
      <c r="G520" s="325">
        <v>125</v>
      </c>
      <c r="H520" s="299">
        <v>0</v>
      </c>
      <c r="I520" s="325">
        <v>125</v>
      </c>
      <c r="J520" s="314"/>
    </row>
    <row r="521" spans="1:10" ht="15">
      <c r="A521" s="194">
        <v>513</v>
      </c>
      <c r="B521" s="509">
        <v>41085</v>
      </c>
      <c r="C521" s="200" t="s">
        <v>1553</v>
      </c>
      <c r="D521" s="322" t="s">
        <v>1554</v>
      </c>
      <c r="E521" s="198" t="s">
        <v>506</v>
      </c>
      <c r="F521" s="325">
        <v>125</v>
      </c>
      <c r="G521" s="325">
        <v>125</v>
      </c>
      <c r="H521" s="299">
        <v>0</v>
      </c>
      <c r="I521" s="325">
        <v>125</v>
      </c>
      <c r="J521" s="314"/>
    </row>
    <row r="522" spans="1:10" ht="15">
      <c r="A522" s="194">
        <v>514</v>
      </c>
      <c r="B522" s="509">
        <v>41085</v>
      </c>
      <c r="C522" s="200" t="s">
        <v>696</v>
      </c>
      <c r="D522" s="322" t="s">
        <v>697</v>
      </c>
      <c r="E522" s="198" t="s">
        <v>506</v>
      </c>
      <c r="F522" s="325">
        <v>125</v>
      </c>
      <c r="G522" s="325">
        <v>125</v>
      </c>
      <c r="H522" s="299">
        <v>0</v>
      </c>
      <c r="I522" s="325">
        <v>125</v>
      </c>
      <c r="J522" s="314"/>
    </row>
    <row r="523" spans="1:10" ht="15">
      <c r="A523" s="194">
        <v>515</v>
      </c>
      <c r="B523" s="509">
        <v>41085</v>
      </c>
      <c r="C523" s="200" t="s">
        <v>694</v>
      </c>
      <c r="D523" s="322" t="s">
        <v>695</v>
      </c>
      <c r="E523" s="198" t="s">
        <v>506</v>
      </c>
      <c r="F523" s="325">
        <v>162.5</v>
      </c>
      <c r="G523" s="325">
        <v>162.5</v>
      </c>
      <c r="H523" s="299">
        <v>0</v>
      </c>
      <c r="I523" s="325">
        <v>162.5</v>
      </c>
      <c r="J523" s="314"/>
    </row>
    <row r="524" spans="1:10" ht="15">
      <c r="A524" s="194">
        <v>516</v>
      </c>
      <c r="B524" s="509">
        <v>41085</v>
      </c>
      <c r="C524" s="200" t="s">
        <v>704</v>
      </c>
      <c r="D524" s="322" t="s">
        <v>705</v>
      </c>
      <c r="E524" s="198" t="s">
        <v>506</v>
      </c>
      <c r="F524" s="325">
        <v>162.5</v>
      </c>
      <c r="G524" s="325">
        <v>162.5</v>
      </c>
      <c r="H524" s="299">
        <v>0</v>
      </c>
      <c r="I524" s="325">
        <v>162.5</v>
      </c>
      <c r="J524" s="314"/>
    </row>
    <row r="525" spans="1:10" ht="15">
      <c r="A525" s="194">
        <v>517</v>
      </c>
      <c r="B525" s="509">
        <v>41085</v>
      </c>
      <c r="C525" s="200" t="s">
        <v>1555</v>
      </c>
      <c r="D525" s="322" t="s">
        <v>1556</v>
      </c>
      <c r="E525" s="198" t="s">
        <v>506</v>
      </c>
      <c r="F525" s="325">
        <v>125</v>
      </c>
      <c r="G525" s="325">
        <v>125</v>
      </c>
      <c r="H525" s="299">
        <v>0</v>
      </c>
      <c r="I525" s="325">
        <v>125</v>
      </c>
      <c r="J525" s="314"/>
    </row>
    <row r="526" spans="1:10" ht="15">
      <c r="A526" s="194">
        <v>518</v>
      </c>
      <c r="B526" s="509">
        <v>41085</v>
      </c>
      <c r="C526" s="200" t="s">
        <v>1557</v>
      </c>
      <c r="D526" s="322" t="s">
        <v>667</v>
      </c>
      <c r="E526" s="198" t="s">
        <v>506</v>
      </c>
      <c r="F526" s="325">
        <v>125</v>
      </c>
      <c r="G526" s="325">
        <v>125</v>
      </c>
      <c r="H526" s="299">
        <v>0</v>
      </c>
      <c r="I526" s="325">
        <v>125</v>
      </c>
      <c r="J526" s="314"/>
    </row>
    <row r="527" spans="1:10" ht="15">
      <c r="A527" s="194">
        <v>519</v>
      </c>
      <c r="B527" s="509">
        <v>41085</v>
      </c>
      <c r="C527" s="200" t="s">
        <v>663</v>
      </c>
      <c r="D527" s="322" t="s">
        <v>664</v>
      </c>
      <c r="E527" s="198" t="s">
        <v>506</v>
      </c>
      <c r="F527" s="325">
        <v>162.5</v>
      </c>
      <c r="G527" s="325">
        <v>162.5</v>
      </c>
      <c r="H527" s="299">
        <v>0</v>
      </c>
      <c r="I527" s="325">
        <v>162.5</v>
      </c>
      <c r="J527" s="314"/>
    </row>
    <row r="528" spans="1:10" ht="15">
      <c r="A528" s="194">
        <v>520</v>
      </c>
      <c r="B528" s="509">
        <v>41085</v>
      </c>
      <c r="C528" s="200" t="s">
        <v>1555</v>
      </c>
      <c r="D528" s="322" t="s">
        <v>1556</v>
      </c>
      <c r="E528" s="198" t="s">
        <v>506</v>
      </c>
      <c r="F528" s="325">
        <v>125</v>
      </c>
      <c r="G528" s="325">
        <v>125</v>
      </c>
      <c r="H528" s="299">
        <v>0</v>
      </c>
      <c r="I528" s="325">
        <v>125</v>
      </c>
      <c r="J528" s="314"/>
    </row>
    <row r="529" spans="1:10" ht="15">
      <c r="A529" s="194">
        <v>521</v>
      </c>
      <c r="B529" s="509">
        <v>41085</v>
      </c>
      <c r="C529" s="200" t="s">
        <v>1558</v>
      </c>
      <c r="D529" s="322" t="s">
        <v>684</v>
      </c>
      <c r="E529" s="198" t="s">
        <v>506</v>
      </c>
      <c r="F529" s="325">
        <v>162.5</v>
      </c>
      <c r="G529" s="325">
        <v>162.5</v>
      </c>
      <c r="H529" s="299">
        <v>0</v>
      </c>
      <c r="I529" s="325">
        <v>162.5</v>
      </c>
      <c r="J529" s="314"/>
    </row>
    <row r="530" spans="1:10" ht="15">
      <c r="A530" s="194">
        <v>522</v>
      </c>
      <c r="B530" s="509">
        <v>41085</v>
      </c>
      <c r="C530" s="200" t="s">
        <v>682</v>
      </c>
      <c r="D530" s="322" t="s">
        <v>683</v>
      </c>
      <c r="E530" s="198" t="s">
        <v>506</v>
      </c>
      <c r="F530" s="325">
        <v>125</v>
      </c>
      <c r="G530" s="325">
        <v>125</v>
      </c>
      <c r="H530" s="299">
        <v>0</v>
      </c>
      <c r="I530" s="325">
        <v>125</v>
      </c>
      <c r="J530" s="314"/>
    </row>
    <row r="531" spans="1:10" ht="15">
      <c r="A531" s="194">
        <v>523</v>
      </c>
      <c r="B531" s="509">
        <v>41085</v>
      </c>
      <c r="C531" s="200" t="s">
        <v>1559</v>
      </c>
      <c r="D531" s="322" t="s">
        <v>685</v>
      </c>
      <c r="E531" s="198" t="s">
        <v>506</v>
      </c>
      <c r="F531" s="325">
        <v>125</v>
      </c>
      <c r="G531" s="325">
        <v>125</v>
      </c>
      <c r="H531" s="299">
        <v>0</v>
      </c>
      <c r="I531" s="325">
        <v>125</v>
      </c>
      <c r="J531" s="314"/>
    </row>
    <row r="532" spans="1:10" ht="15">
      <c r="A532" s="194">
        <v>524</v>
      </c>
      <c r="B532" s="509">
        <v>41085</v>
      </c>
      <c r="C532" s="200" t="s">
        <v>676</v>
      </c>
      <c r="D532" s="322" t="s">
        <v>677</v>
      </c>
      <c r="E532" s="198" t="s">
        <v>506</v>
      </c>
      <c r="F532" s="325">
        <v>162.5</v>
      </c>
      <c r="G532" s="325">
        <v>162.5</v>
      </c>
      <c r="H532" s="299">
        <v>0</v>
      </c>
      <c r="I532" s="325">
        <v>162.5</v>
      </c>
      <c r="J532" s="314"/>
    </row>
    <row r="533" spans="1:10" ht="15">
      <c r="A533" s="194">
        <v>525</v>
      </c>
      <c r="B533" s="509">
        <v>41085</v>
      </c>
      <c r="C533" s="200" t="s">
        <v>1560</v>
      </c>
      <c r="D533" s="322" t="s">
        <v>681</v>
      </c>
      <c r="E533" s="198" t="s">
        <v>506</v>
      </c>
      <c r="F533" s="325">
        <v>162.5</v>
      </c>
      <c r="G533" s="325">
        <v>162.5</v>
      </c>
      <c r="H533" s="299">
        <v>0</v>
      </c>
      <c r="I533" s="325">
        <v>162.5</v>
      </c>
      <c r="J533" s="314"/>
    </row>
    <row r="534" spans="1:10" ht="15">
      <c r="A534" s="194">
        <v>526</v>
      </c>
      <c r="B534" s="509">
        <v>41084</v>
      </c>
      <c r="C534" s="200" t="s">
        <v>1561</v>
      </c>
      <c r="D534" s="322" t="s">
        <v>1562</v>
      </c>
      <c r="E534" s="198" t="s">
        <v>506</v>
      </c>
      <c r="F534" s="325">
        <v>125</v>
      </c>
      <c r="G534" s="325">
        <v>125</v>
      </c>
      <c r="H534" s="299">
        <v>0</v>
      </c>
      <c r="I534" s="325">
        <v>125</v>
      </c>
      <c r="J534" s="314"/>
    </row>
    <row r="535" spans="1:10" ht="15">
      <c r="A535" s="194">
        <v>527</v>
      </c>
      <c r="B535" s="509">
        <v>41084</v>
      </c>
      <c r="C535" s="200" t="s">
        <v>1563</v>
      </c>
      <c r="D535" s="322" t="s">
        <v>1564</v>
      </c>
      <c r="E535" s="198" t="s">
        <v>506</v>
      </c>
      <c r="F535" s="325">
        <v>162.5</v>
      </c>
      <c r="G535" s="325">
        <v>162.5</v>
      </c>
      <c r="H535" s="299">
        <v>0</v>
      </c>
      <c r="I535" s="325">
        <v>162.5</v>
      </c>
      <c r="J535" s="314"/>
    </row>
    <row r="536" spans="1:10" ht="15">
      <c r="A536" s="194">
        <v>528</v>
      </c>
      <c r="B536" s="509">
        <v>41084</v>
      </c>
      <c r="C536" s="200" t="s">
        <v>1565</v>
      </c>
      <c r="D536" s="322" t="s">
        <v>1566</v>
      </c>
      <c r="E536" s="198" t="s">
        <v>506</v>
      </c>
      <c r="F536" s="325">
        <v>125</v>
      </c>
      <c r="G536" s="325">
        <v>125</v>
      </c>
      <c r="H536" s="299">
        <v>0</v>
      </c>
      <c r="I536" s="325">
        <v>125</v>
      </c>
      <c r="J536" s="314"/>
    </row>
    <row r="537" spans="1:10" ht="15">
      <c r="A537" s="194">
        <v>529</v>
      </c>
      <c r="B537" s="509">
        <v>41083</v>
      </c>
      <c r="C537" s="200" t="s">
        <v>1567</v>
      </c>
      <c r="D537" s="322" t="s">
        <v>1568</v>
      </c>
      <c r="E537" s="198" t="s">
        <v>506</v>
      </c>
      <c r="F537" s="325">
        <v>162.5</v>
      </c>
      <c r="G537" s="325">
        <v>162.5</v>
      </c>
      <c r="H537" s="299">
        <v>0</v>
      </c>
      <c r="I537" s="325">
        <v>162.5</v>
      </c>
      <c r="J537" s="314"/>
    </row>
    <row r="538" spans="1:10" ht="15">
      <c r="A538" s="194">
        <v>530</v>
      </c>
      <c r="B538" s="509">
        <v>41083</v>
      </c>
      <c r="C538" s="200" t="s">
        <v>1569</v>
      </c>
      <c r="D538" s="322" t="s">
        <v>1570</v>
      </c>
      <c r="E538" s="198" t="s">
        <v>506</v>
      </c>
      <c r="F538" s="325">
        <v>100</v>
      </c>
      <c r="G538" s="325">
        <v>100</v>
      </c>
      <c r="H538" s="299">
        <v>0</v>
      </c>
      <c r="I538" s="325">
        <v>100</v>
      </c>
      <c r="J538" s="314"/>
    </row>
    <row r="539" spans="1:10" ht="15">
      <c r="A539" s="194">
        <v>531</v>
      </c>
      <c r="B539" s="509">
        <v>41083</v>
      </c>
      <c r="C539" s="200" t="s">
        <v>1571</v>
      </c>
      <c r="D539" s="322" t="s">
        <v>1572</v>
      </c>
      <c r="E539" s="198" t="s">
        <v>506</v>
      </c>
      <c r="F539" s="325">
        <v>125</v>
      </c>
      <c r="G539" s="325">
        <v>125</v>
      </c>
      <c r="H539" s="299">
        <v>0</v>
      </c>
      <c r="I539" s="325">
        <v>125</v>
      </c>
      <c r="J539" s="314"/>
    </row>
    <row r="540" spans="1:10" ht="15">
      <c r="A540" s="194">
        <v>532</v>
      </c>
      <c r="B540" s="509">
        <v>41083</v>
      </c>
      <c r="C540" s="200" t="s">
        <v>1573</v>
      </c>
      <c r="D540" s="322" t="s">
        <v>1574</v>
      </c>
      <c r="E540" s="198" t="s">
        <v>506</v>
      </c>
      <c r="F540" s="325">
        <v>125</v>
      </c>
      <c r="G540" s="325">
        <v>125</v>
      </c>
      <c r="H540" s="299">
        <v>0</v>
      </c>
      <c r="I540" s="325">
        <v>125</v>
      </c>
      <c r="J540" s="314"/>
    </row>
    <row r="541" spans="1:10" ht="15">
      <c r="A541" s="194">
        <v>533</v>
      </c>
      <c r="B541" s="509">
        <v>41083</v>
      </c>
      <c r="C541" s="200" t="s">
        <v>1575</v>
      </c>
      <c r="D541" s="322" t="s">
        <v>1576</v>
      </c>
      <c r="E541" s="198" t="s">
        <v>506</v>
      </c>
      <c r="F541" s="325">
        <v>125</v>
      </c>
      <c r="G541" s="325">
        <v>125</v>
      </c>
      <c r="H541" s="299">
        <v>0</v>
      </c>
      <c r="I541" s="325">
        <v>125</v>
      </c>
      <c r="J541" s="314"/>
    </row>
    <row r="542" spans="1:10" ht="15">
      <c r="A542" s="194">
        <v>534</v>
      </c>
      <c r="B542" s="509">
        <v>41083</v>
      </c>
      <c r="C542" s="200" t="s">
        <v>1577</v>
      </c>
      <c r="D542" s="322" t="s">
        <v>1578</v>
      </c>
      <c r="E542" s="198" t="s">
        <v>506</v>
      </c>
      <c r="F542" s="325">
        <v>125</v>
      </c>
      <c r="G542" s="325">
        <v>125</v>
      </c>
      <c r="H542" s="299">
        <v>0</v>
      </c>
      <c r="I542" s="325">
        <v>125</v>
      </c>
      <c r="J542" s="314"/>
    </row>
    <row r="543" spans="1:10" ht="15">
      <c r="A543" s="194">
        <v>535</v>
      </c>
      <c r="B543" s="509">
        <v>41083</v>
      </c>
      <c r="C543" s="200" t="s">
        <v>1579</v>
      </c>
      <c r="D543" s="322" t="s">
        <v>1580</v>
      </c>
      <c r="E543" s="198" t="s">
        <v>506</v>
      </c>
      <c r="F543" s="325">
        <v>125</v>
      </c>
      <c r="G543" s="325">
        <v>125</v>
      </c>
      <c r="H543" s="299">
        <v>0</v>
      </c>
      <c r="I543" s="325">
        <v>125</v>
      </c>
      <c r="J543" s="314"/>
    </row>
    <row r="544" spans="1:10" ht="15">
      <c r="A544" s="194">
        <v>536</v>
      </c>
      <c r="B544" s="509">
        <v>41083</v>
      </c>
      <c r="C544" s="200" t="s">
        <v>1581</v>
      </c>
      <c r="D544" s="322" t="s">
        <v>1582</v>
      </c>
      <c r="E544" s="198" t="s">
        <v>506</v>
      </c>
      <c r="F544" s="325">
        <v>162.5</v>
      </c>
      <c r="G544" s="325">
        <v>162.5</v>
      </c>
      <c r="H544" s="299">
        <v>0</v>
      </c>
      <c r="I544" s="325">
        <v>162.5</v>
      </c>
      <c r="J544" s="314"/>
    </row>
    <row r="545" spans="1:10" ht="15">
      <c r="A545" s="194">
        <v>537</v>
      </c>
      <c r="B545" s="509">
        <v>41083</v>
      </c>
      <c r="C545" s="200" t="s">
        <v>1583</v>
      </c>
      <c r="D545" s="322" t="s">
        <v>1584</v>
      </c>
      <c r="E545" s="198" t="s">
        <v>506</v>
      </c>
      <c r="F545" s="325">
        <v>125</v>
      </c>
      <c r="G545" s="325">
        <v>125</v>
      </c>
      <c r="H545" s="299">
        <v>0</v>
      </c>
      <c r="I545" s="325">
        <v>125</v>
      </c>
      <c r="J545" s="314"/>
    </row>
    <row r="546" spans="1:10" ht="15">
      <c r="A546" s="194">
        <v>538</v>
      </c>
      <c r="B546" s="509">
        <v>41083</v>
      </c>
      <c r="C546" s="200" t="s">
        <v>1585</v>
      </c>
      <c r="D546" s="322" t="s">
        <v>1586</v>
      </c>
      <c r="E546" s="198" t="s">
        <v>506</v>
      </c>
      <c r="F546" s="325">
        <v>162.5</v>
      </c>
      <c r="G546" s="325">
        <v>162.5</v>
      </c>
      <c r="H546" s="299">
        <v>0</v>
      </c>
      <c r="I546" s="325">
        <v>162.5</v>
      </c>
      <c r="J546" s="314"/>
    </row>
    <row r="547" spans="1:10" ht="15">
      <c r="A547" s="194">
        <v>539</v>
      </c>
      <c r="B547" s="509">
        <v>41083</v>
      </c>
      <c r="C547" s="200" t="s">
        <v>1587</v>
      </c>
      <c r="D547" s="322" t="s">
        <v>1588</v>
      </c>
      <c r="E547" s="198" t="s">
        <v>506</v>
      </c>
      <c r="F547" s="325">
        <v>162.5</v>
      </c>
      <c r="G547" s="325">
        <v>162.5</v>
      </c>
      <c r="H547" s="299">
        <v>0</v>
      </c>
      <c r="I547" s="325">
        <v>162.5</v>
      </c>
      <c r="J547" s="314"/>
    </row>
    <row r="548" spans="1:10" ht="15">
      <c r="A548" s="194">
        <v>540</v>
      </c>
      <c r="B548" s="509">
        <v>41083</v>
      </c>
      <c r="C548" s="200" t="s">
        <v>1589</v>
      </c>
      <c r="D548" s="322" t="s">
        <v>1590</v>
      </c>
      <c r="E548" s="198" t="s">
        <v>506</v>
      </c>
      <c r="F548" s="325">
        <v>162.5</v>
      </c>
      <c r="G548" s="325">
        <v>162.5</v>
      </c>
      <c r="H548" s="299">
        <v>0</v>
      </c>
      <c r="I548" s="325">
        <v>162.5</v>
      </c>
      <c r="J548" s="314"/>
    </row>
    <row r="549" spans="1:10" ht="15">
      <c r="A549" s="194">
        <v>541</v>
      </c>
      <c r="B549" s="509">
        <v>41083</v>
      </c>
      <c r="C549" s="200" t="s">
        <v>1591</v>
      </c>
      <c r="D549" s="322" t="s">
        <v>1592</v>
      </c>
      <c r="E549" s="198" t="s">
        <v>506</v>
      </c>
      <c r="F549" s="325">
        <v>162.5</v>
      </c>
      <c r="G549" s="325">
        <v>162.5</v>
      </c>
      <c r="H549" s="299">
        <v>0</v>
      </c>
      <c r="I549" s="325">
        <v>162.5</v>
      </c>
      <c r="J549" s="314"/>
    </row>
    <row r="550" spans="1:10" ht="15">
      <c r="A550" s="194">
        <v>542</v>
      </c>
      <c r="B550" s="509">
        <v>41084</v>
      </c>
      <c r="C550" s="200" t="s">
        <v>1593</v>
      </c>
      <c r="D550" s="322" t="s">
        <v>1594</v>
      </c>
      <c r="E550" s="198" t="s">
        <v>506</v>
      </c>
      <c r="F550" s="325">
        <v>162.5</v>
      </c>
      <c r="G550" s="325">
        <v>162.5</v>
      </c>
      <c r="H550" s="299">
        <v>0</v>
      </c>
      <c r="I550" s="325">
        <v>162.5</v>
      </c>
      <c r="J550" s="314"/>
    </row>
    <row r="551" spans="1:10" ht="15">
      <c r="A551" s="194">
        <v>543</v>
      </c>
      <c r="B551" s="509">
        <v>41090</v>
      </c>
      <c r="C551" s="200" t="s">
        <v>1595</v>
      </c>
      <c r="D551" s="322" t="s">
        <v>1596</v>
      </c>
      <c r="E551" s="198" t="s">
        <v>506</v>
      </c>
      <c r="F551" s="325">
        <v>325</v>
      </c>
      <c r="G551" s="325">
        <v>325</v>
      </c>
      <c r="H551" s="299">
        <v>0</v>
      </c>
      <c r="I551" s="325">
        <v>325</v>
      </c>
      <c r="J551" s="314"/>
    </row>
    <row r="552" spans="1:10" ht="15">
      <c r="A552" s="194">
        <v>544</v>
      </c>
      <c r="B552" s="509">
        <v>41086</v>
      </c>
      <c r="C552" s="200" t="s">
        <v>1597</v>
      </c>
      <c r="D552" s="322" t="s">
        <v>1598</v>
      </c>
      <c r="E552" s="198" t="s">
        <v>506</v>
      </c>
      <c r="F552" s="325">
        <v>162.5</v>
      </c>
      <c r="G552" s="325">
        <v>162.5</v>
      </c>
      <c r="H552" s="299">
        <v>0</v>
      </c>
      <c r="I552" s="325">
        <v>162.5</v>
      </c>
      <c r="J552" s="314"/>
    </row>
    <row r="553" spans="1:10" ht="15">
      <c r="A553" s="194">
        <v>545</v>
      </c>
      <c r="B553" s="509">
        <v>41084</v>
      </c>
      <c r="C553" s="200" t="s">
        <v>1599</v>
      </c>
      <c r="D553" s="322" t="s">
        <v>1600</v>
      </c>
      <c r="E553" s="198" t="s">
        <v>506</v>
      </c>
      <c r="F553" s="325">
        <v>162.5</v>
      </c>
      <c r="G553" s="325">
        <v>162.5</v>
      </c>
      <c r="H553" s="299">
        <v>0</v>
      </c>
      <c r="I553" s="325">
        <v>162.5</v>
      </c>
      <c r="J553" s="314"/>
    </row>
    <row r="554" spans="1:10" ht="15">
      <c r="A554" s="194">
        <v>546</v>
      </c>
      <c r="B554" s="509">
        <v>41090</v>
      </c>
      <c r="C554" s="200" t="s">
        <v>1601</v>
      </c>
      <c r="D554" s="322" t="s">
        <v>1602</v>
      </c>
      <c r="E554" s="198" t="s">
        <v>506</v>
      </c>
      <c r="F554" s="325">
        <v>125</v>
      </c>
      <c r="G554" s="325">
        <v>125</v>
      </c>
      <c r="H554" s="299">
        <v>0</v>
      </c>
      <c r="I554" s="325">
        <v>125</v>
      </c>
      <c r="J554" s="314"/>
    </row>
    <row r="555" spans="1:10" ht="15">
      <c r="A555" s="194">
        <v>547</v>
      </c>
      <c r="B555" s="509">
        <v>41090</v>
      </c>
      <c r="C555" s="200" t="s">
        <v>1603</v>
      </c>
      <c r="D555" s="322" t="s">
        <v>1604</v>
      </c>
      <c r="E555" s="198" t="s">
        <v>506</v>
      </c>
      <c r="F555" s="325">
        <v>162.5</v>
      </c>
      <c r="G555" s="325">
        <v>162.5</v>
      </c>
      <c r="H555" s="299">
        <v>0</v>
      </c>
      <c r="I555" s="325">
        <v>162.5</v>
      </c>
      <c r="J555" s="314"/>
    </row>
    <row r="556" spans="1:10" ht="15">
      <c r="A556" s="194">
        <v>548</v>
      </c>
      <c r="B556" s="509">
        <v>41086</v>
      </c>
      <c r="C556" s="200" t="s">
        <v>1605</v>
      </c>
      <c r="D556" s="322" t="s">
        <v>1606</v>
      </c>
      <c r="E556" s="198" t="s">
        <v>506</v>
      </c>
      <c r="F556" s="325">
        <v>162.5</v>
      </c>
      <c r="G556" s="325">
        <v>162.5</v>
      </c>
      <c r="H556" s="299">
        <v>0</v>
      </c>
      <c r="I556" s="325">
        <v>162.5</v>
      </c>
      <c r="J556" s="314"/>
    </row>
    <row r="557" spans="1:10" ht="15">
      <c r="A557" s="194">
        <v>549</v>
      </c>
      <c r="B557" s="509">
        <v>41086</v>
      </c>
      <c r="C557" s="200" t="s">
        <v>1607</v>
      </c>
      <c r="D557" s="322" t="s">
        <v>1608</v>
      </c>
      <c r="E557" s="198" t="s">
        <v>506</v>
      </c>
      <c r="F557" s="325">
        <v>162.5</v>
      </c>
      <c r="G557" s="325">
        <v>162.5</v>
      </c>
      <c r="H557" s="299">
        <v>0</v>
      </c>
      <c r="I557" s="325">
        <v>162.5</v>
      </c>
      <c r="J557" s="314"/>
    </row>
    <row r="558" spans="1:10" ht="15">
      <c r="A558" s="194">
        <v>550</v>
      </c>
      <c r="B558" s="509">
        <v>41083</v>
      </c>
      <c r="C558" s="200" t="s">
        <v>1609</v>
      </c>
      <c r="D558" s="322" t="s">
        <v>1610</v>
      </c>
      <c r="E558" s="198" t="s">
        <v>506</v>
      </c>
      <c r="F558" s="325">
        <v>125</v>
      </c>
      <c r="G558" s="325">
        <v>125</v>
      </c>
      <c r="H558" s="299">
        <v>0</v>
      </c>
      <c r="I558" s="325">
        <v>125</v>
      </c>
      <c r="J558" s="314"/>
    </row>
    <row r="559" spans="1:10" ht="15">
      <c r="A559" s="194">
        <v>551</v>
      </c>
      <c r="B559" s="509">
        <v>41083</v>
      </c>
      <c r="C559" s="200" t="s">
        <v>1611</v>
      </c>
      <c r="D559" s="322" t="s">
        <v>1612</v>
      </c>
      <c r="E559" s="198" t="s">
        <v>506</v>
      </c>
      <c r="F559" s="325">
        <v>125</v>
      </c>
      <c r="G559" s="325">
        <v>125</v>
      </c>
      <c r="H559" s="299">
        <v>0</v>
      </c>
      <c r="I559" s="325">
        <v>125</v>
      </c>
      <c r="J559" s="314"/>
    </row>
    <row r="560" spans="1:10" ht="15">
      <c r="A560" s="194">
        <v>552</v>
      </c>
      <c r="B560" s="509">
        <v>41083</v>
      </c>
      <c r="C560" s="200" t="s">
        <v>1613</v>
      </c>
      <c r="D560" s="322" t="s">
        <v>1614</v>
      </c>
      <c r="E560" s="198" t="s">
        <v>506</v>
      </c>
      <c r="F560" s="325">
        <v>125</v>
      </c>
      <c r="G560" s="325">
        <v>125</v>
      </c>
      <c r="H560" s="299">
        <v>0</v>
      </c>
      <c r="I560" s="325">
        <v>125</v>
      </c>
      <c r="J560" s="314"/>
    </row>
    <row r="561" spans="1:10" ht="15">
      <c r="A561" s="194">
        <v>553</v>
      </c>
      <c r="B561" s="509">
        <v>41083</v>
      </c>
      <c r="C561" s="200" t="s">
        <v>1615</v>
      </c>
      <c r="D561" s="322" t="s">
        <v>1616</v>
      </c>
      <c r="E561" s="198" t="s">
        <v>506</v>
      </c>
      <c r="F561" s="325">
        <v>125</v>
      </c>
      <c r="G561" s="325">
        <v>125</v>
      </c>
      <c r="H561" s="299">
        <v>0</v>
      </c>
      <c r="I561" s="325">
        <v>125</v>
      </c>
      <c r="J561" s="314"/>
    </row>
    <row r="562" spans="1:10" ht="15">
      <c r="A562" s="194">
        <v>554</v>
      </c>
      <c r="B562" s="509">
        <v>41083</v>
      </c>
      <c r="C562" s="200" t="s">
        <v>1617</v>
      </c>
      <c r="D562" s="322" t="s">
        <v>1618</v>
      </c>
      <c r="E562" s="198" t="s">
        <v>506</v>
      </c>
      <c r="F562" s="325">
        <v>125</v>
      </c>
      <c r="G562" s="325">
        <v>125</v>
      </c>
      <c r="H562" s="299">
        <v>0</v>
      </c>
      <c r="I562" s="325">
        <v>125</v>
      </c>
      <c r="J562" s="314"/>
    </row>
    <row r="563" spans="1:10" ht="15">
      <c r="A563" s="194">
        <v>555</v>
      </c>
      <c r="B563" s="509">
        <v>41083</v>
      </c>
      <c r="C563" s="200" t="s">
        <v>1619</v>
      </c>
      <c r="D563" s="322" t="s">
        <v>1620</v>
      </c>
      <c r="E563" s="198" t="s">
        <v>506</v>
      </c>
      <c r="F563" s="325">
        <v>125</v>
      </c>
      <c r="G563" s="325">
        <v>125</v>
      </c>
      <c r="H563" s="299">
        <v>0</v>
      </c>
      <c r="I563" s="325">
        <v>125</v>
      </c>
      <c r="J563" s="314"/>
    </row>
    <row r="564" spans="1:10" ht="15">
      <c r="A564" s="194">
        <v>556</v>
      </c>
      <c r="B564" s="509">
        <v>41083</v>
      </c>
      <c r="C564" s="200" t="s">
        <v>1621</v>
      </c>
      <c r="D564" s="322" t="s">
        <v>1622</v>
      </c>
      <c r="E564" s="198" t="s">
        <v>506</v>
      </c>
      <c r="F564" s="325">
        <v>125</v>
      </c>
      <c r="G564" s="325">
        <v>125</v>
      </c>
      <c r="H564" s="299">
        <v>0</v>
      </c>
      <c r="I564" s="325">
        <v>125</v>
      </c>
      <c r="J564" s="314"/>
    </row>
    <row r="565" spans="1:10" ht="15">
      <c r="A565" s="194">
        <v>557</v>
      </c>
      <c r="B565" s="509">
        <v>41083</v>
      </c>
      <c r="C565" s="200" t="s">
        <v>1623</v>
      </c>
      <c r="D565" s="322" t="s">
        <v>1624</v>
      </c>
      <c r="E565" s="198" t="s">
        <v>506</v>
      </c>
      <c r="F565" s="325">
        <v>125</v>
      </c>
      <c r="G565" s="325">
        <v>125</v>
      </c>
      <c r="H565" s="299">
        <v>0</v>
      </c>
      <c r="I565" s="325">
        <v>125</v>
      </c>
      <c r="J565" s="314"/>
    </row>
    <row r="566" spans="1:10" ht="15">
      <c r="A566" s="194">
        <v>558</v>
      </c>
      <c r="B566" s="509">
        <v>41083</v>
      </c>
      <c r="C566" s="200" t="s">
        <v>1625</v>
      </c>
      <c r="D566" s="322" t="s">
        <v>1626</v>
      </c>
      <c r="E566" s="198" t="s">
        <v>506</v>
      </c>
      <c r="F566" s="325">
        <v>125</v>
      </c>
      <c r="G566" s="325">
        <v>125</v>
      </c>
      <c r="H566" s="299">
        <v>0</v>
      </c>
      <c r="I566" s="325">
        <v>125</v>
      </c>
      <c r="J566" s="314"/>
    </row>
    <row r="567" spans="1:10" ht="15">
      <c r="A567" s="194">
        <v>559</v>
      </c>
      <c r="B567" s="509">
        <v>41083</v>
      </c>
      <c r="C567" s="200" t="s">
        <v>1627</v>
      </c>
      <c r="D567" s="322" t="s">
        <v>1628</v>
      </c>
      <c r="E567" s="198" t="s">
        <v>506</v>
      </c>
      <c r="F567" s="325">
        <v>125</v>
      </c>
      <c r="G567" s="325">
        <v>125</v>
      </c>
      <c r="H567" s="299">
        <v>0</v>
      </c>
      <c r="I567" s="325">
        <v>125</v>
      </c>
      <c r="J567" s="314"/>
    </row>
    <row r="568" spans="1:10" ht="15">
      <c r="A568" s="194">
        <v>560</v>
      </c>
      <c r="B568" s="509">
        <v>41083</v>
      </c>
      <c r="C568" s="200" t="s">
        <v>1629</v>
      </c>
      <c r="D568" s="322" t="s">
        <v>1630</v>
      </c>
      <c r="E568" s="198" t="s">
        <v>506</v>
      </c>
      <c r="F568" s="325">
        <v>125</v>
      </c>
      <c r="G568" s="325">
        <v>125</v>
      </c>
      <c r="H568" s="299">
        <v>0</v>
      </c>
      <c r="I568" s="325">
        <v>125</v>
      </c>
      <c r="J568" s="314"/>
    </row>
    <row r="569" spans="1:10" ht="15">
      <c r="A569" s="194">
        <v>561</v>
      </c>
      <c r="B569" s="509">
        <v>41083</v>
      </c>
      <c r="C569" s="200" t="s">
        <v>1631</v>
      </c>
      <c r="D569" s="322" t="s">
        <v>1632</v>
      </c>
      <c r="E569" s="198" t="s">
        <v>506</v>
      </c>
      <c r="F569" s="325">
        <v>125</v>
      </c>
      <c r="G569" s="325">
        <v>125</v>
      </c>
      <c r="H569" s="299">
        <v>0</v>
      </c>
      <c r="I569" s="325">
        <v>125</v>
      </c>
      <c r="J569" s="314"/>
    </row>
    <row r="570" spans="1:10" ht="15">
      <c r="A570" s="194">
        <v>562</v>
      </c>
      <c r="B570" s="509">
        <v>41083</v>
      </c>
      <c r="C570" s="200" t="s">
        <v>1633</v>
      </c>
      <c r="D570" s="322" t="s">
        <v>1634</v>
      </c>
      <c r="E570" s="198" t="s">
        <v>506</v>
      </c>
      <c r="F570" s="325">
        <v>125</v>
      </c>
      <c r="G570" s="325">
        <v>125</v>
      </c>
      <c r="H570" s="299">
        <v>0</v>
      </c>
      <c r="I570" s="325">
        <v>125</v>
      </c>
      <c r="J570" s="314"/>
    </row>
    <row r="571" spans="1:10" ht="15">
      <c r="A571" s="194">
        <v>563</v>
      </c>
      <c r="B571" s="509">
        <v>41083</v>
      </c>
      <c r="C571" s="200" t="s">
        <v>1635</v>
      </c>
      <c r="D571" s="322" t="s">
        <v>1636</v>
      </c>
      <c r="E571" s="198" t="s">
        <v>506</v>
      </c>
      <c r="F571" s="325">
        <v>125</v>
      </c>
      <c r="G571" s="325">
        <v>125</v>
      </c>
      <c r="H571" s="299">
        <v>0</v>
      </c>
      <c r="I571" s="325">
        <v>125</v>
      </c>
      <c r="J571" s="314"/>
    </row>
    <row r="572" spans="1:10" ht="15">
      <c r="A572" s="194">
        <v>564</v>
      </c>
      <c r="B572" s="509">
        <v>41083</v>
      </c>
      <c r="C572" s="200" t="s">
        <v>1637</v>
      </c>
      <c r="D572" s="322" t="s">
        <v>1638</v>
      </c>
      <c r="E572" s="198" t="s">
        <v>506</v>
      </c>
      <c r="F572" s="325">
        <v>125</v>
      </c>
      <c r="G572" s="325">
        <v>125</v>
      </c>
      <c r="H572" s="299">
        <v>0</v>
      </c>
      <c r="I572" s="325">
        <v>125</v>
      </c>
      <c r="J572" s="314"/>
    </row>
    <row r="573" spans="1:10" ht="15">
      <c r="A573" s="194">
        <v>565</v>
      </c>
      <c r="B573" s="509">
        <v>41083</v>
      </c>
      <c r="C573" s="200" t="s">
        <v>1639</v>
      </c>
      <c r="D573" s="322" t="s">
        <v>1640</v>
      </c>
      <c r="E573" s="198" t="s">
        <v>506</v>
      </c>
      <c r="F573" s="325">
        <v>125</v>
      </c>
      <c r="G573" s="325">
        <v>125</v>
      </c>
      <c r="H573" s="299">
        <v>0</v>
      </c>
      <c r="I573" s="325">
        <v>125</v>
      </c>
      <c r="J573" s="314"/>
    </row>
    <row r="574" spans="1:10" ht="15">
      <c r="A574" s="194">
        <v>566</v>
      </c>
      <c r="B574" s="509">
        <v>41083</v>
      </c>
      <c r="C574" s="200" t="s">
        <v>1641</v>
      </c>
      <c r="D574" s="322" t="s">
        <v>1642</v>
      </c>
      <c r="E574" s="198" t="s">
        <v>506</v>
      </c>
      <c r="F574" s="325">
        <v>125</v>
      </c>
      <c r="G574" s="325">
        <v>125</v>
      </c>
      <c r="H574" s="299">
        <v>0</v>
      </c>
      <c r="I574" s="325">
        <v>125</v>
      </c>
      <c r="J574" s="314"/>
    </row>
    <row r="575" spans="1:10" ht="15">
      <c r="A575" s="194">
        <v>567</v>
      </c>
      <c r="B575" s="509">
        <v>41083</v>
      </c>
      <c r="C575" s="200" t="s">
        <v>1643</v>
      </c>
      <c r="D575" s="322" t="s">
        <v>1644</v>
      </c>
      <c r="E575" s="198" t="s">
        <v>506</v>
      </c>
      <c r="F575" s="325">
        <v>125</v>
      </c>
      <c r="G575" s="325">
        <v>125</v>
      </c>
      <c r="H575" s="299">
        <v>0</v>
      </c>
      <c r="I575" s="325">
        <v>125</v>
      </c>
      <c r="J575" s="314"/>
    </row>
    <row r="576" spans="1:10" ht="15">
      <c r="A576" s="194">
        <v>568</v>
      </c>
      <c r="B576" s="509">
        <v>41083</v>
      </c>
      <c r="C576" s="200" t="s">
        <v>1645</v>
      </c>
      <c r="D576" s="322" t="s">
        <v>1646</v>
      </c>
      <c r="E576" s="198" t="s">
        <v>506</v>
      </c>
      <c r="F576" s="325">
        <v>125</v>
      </c>
      <c r="G576" s="325">
        <v>125</v>
      </c>
      <c r="H576" s="299">
        <v>0</v>
      </c>
      <c r="I576" s="325">
        <v>125</v>
      </c>
      <c r="J576" s="314"/>
    </row>
    <row r="577" spans="1:10" ht="15">
      <c r="A577" s="194">
        <v>569</v>
      </c>
      <c r="B577" s="509">
        <v>41083</v>
      </c>
      <c r="C577" s="200" t="s">
        <v>1647</v>
      </c>
      <c r="D577" s="322" t="s">
        <v>1648</v>
      </c>
      <c r="E577" s="198" t="s">
        <v>506</v>
      </c>
      <c r="F577" s="325">
        <v>125</v>
      </c>
      <c r="G577" s="325">
        <v>125</v>
      </c>
      <c r="H577" s="299">
        <v>0</v>
      </c>
      <c r="I577" s="325">
        <v>125</v>
      </c>
      <c r="J577" s="314"/>
    </row>
    <row r="578" spans="1:10" ht="15">
      <c r="A578" s="194">
        <v>570</v>
      </c>
      <c r="B578" s="509">
        <v>41083</v>
      </c>
      <c r="C578" s="200" t="s">
        <v>1649</v>
      </c>
      <c r="D578" s="322" t="s">
        <v>1650</v>
      </c>
      <c r="E578" s="198" t="s">
        <v>506</v>
      </c>
      <c r="F578" s="325">
        <v>125</v>
      </c>
      <c r="G578" s="325">
        <v>125</v>
      </c>
      <c r="H578" s="299">
        <v>0</v>
      </c>
      <c r="I578" s="325">
        <v>125</v>
      </c>
      <c r="J578" s="314"/>
    </row>
    <row r="579" spans="1:10" ht="15">
      <c r="A579" s="194">
        <v>571</v>
      </c>
      <c r="B579" s="509">
        <v>41083</v>
      </c>
      <c r="C579" s="200" t="s">
        <v>1651</v>
      </c>
      <c r="D579" s="322" t="s">
        <v>1652</v>
      </c>
      <c r="E579" s="198" t="s">
        <v>506</v>
      </c>
      <c r="F579" s="325">
        <v>125</v>
      </c>
      <c r="G579" s="325">
        <v>125</v>
      </c>
      <c r="H579" s="299">
        <v>0</v>
      </c>
      <c r="I579" s="325">
        <v>125</v>
      </c>
      <c r="J579" s="314"/>
    </row>
    <row r="580" spans="1:10" ht="15">
      <c r="A580" s="194">
        <v>572</v>
      </c>
      <c r="B580" s="509">
        <v>41083</v>
      </c>
      <c r="C580" s="200" t="s">
        <v>1653</v>
      </c>
      <c r="D580" s="322" t="s">
        <v>1654</v>
      </c>
      <c r="E580" s="198" t="s">
        <v>506</v>
      </c>
      <c r="F580" s="325">
        <v>125</v>
      </c>
      <c r="G580" s="325">
        <v>125</v>
      </c>
      <c r="H580" s="299">
        <v>0</v>
      </c>
      <c r="I580" s="325">
        <v>125</v>
      </c>
      <c r="J580" s="314"/>
    </row>
    <row r="581" spans="1:10" ht="15">
      <c r="A581" s="194">
        <v>573</v>
      </c>
      <c r="B581" s="509">
        <v>41083</v>
      </c>
      <c r="C581" s="200" t="s">
        <v>1655</v>
      </c>
      <c r="D581" s="322" t="s">
        <v>1656</v>
      </c>
      <c r="E581" s="198" t="s">
        <v>506</v>
      </c>
      <c r="F581" s="325">
        <v>125</v>
      </c>
      <c r="G581" s="325">
        <v>125</v>
      </c>
      <c r="H581" s="299">
        <v>0</v>
      </c>
      <c r="I581" s="325">
        <v>125</v>
      </c>
      <c r="J581" s="314"/>
    </row>
    <row r="582" spans="1:10" ht="15">
      <c r="A582" s="194">
        <v>574</v>
      </c>
      <c r="B582" s="509">
        <v>41083</v>
      </c>
      <c r="C582" s="200" t="s">
        <v>1658</v>
      </c>
      <c r="D582" s="322" t="s">
        <v>1659</v>
      </c>
      <c r="E582" s="198" t="s">
        <v>506</v>
      </c>
      <c r="F582" s="325">
        <v>125</v>
      </c>
      <c r="G582" s="325">
        <v>125</v>
      </c>
      <c r="H582" s="299">
        <v>0</v>
      </c>
      <c r="I582" s="325">
        <v>125</v>
      </c>
      <c r="J582" s="314"/>
    </row>
    <row r="583" spans="1:10" ht="15">
      <c r="A583" s="194">
        <v>575</v>
      </c>
      <c r="B583" s="509">
        <v>41083</v>
      </c>
      <c r="C583" s="200" t="s">
        <v>1660</v>
      </c>
      <c r="D583" s="322" t="s">
        <v>1661</v>
      </c>
      <c r="E583" s="198" t="s">
        <v>506</v>
      </c>
      <c r="F583" s="325">
        <v>125</v>
      </c>
      <c r="G583" s="325">
        <v>125</v>
      </c>
      <c r="H583" s="299">
        <v>0</v>
      </c>
      <c r="I583" s="325">
        <v>125</v>
      </c>
      <c r="J583" s="314"/>
    </row>
    <row r="584" spans="1:10" ht="15">
      <c r="A584" s="194">
        <v>576</v>
      </c>
      <c r="B584" s="509">
        <v>41083</v>
      </c>
      <c r="C584" s="200" t="s">
        <v>1662</v>
      </c>
      <c r="D584" s="322" t="s">
        <v>1663</v>
      </c>
      <c r="E584" s="198" t="s">
        <v>506</v>
      </c>
      <c r="F584" s="325">
        <v>125</v>
      </c>
      <c r="G584" s="325">
        <v>125</v>
      </c>
      <c r="H584" s="299">
        <v>0</v>
      </c>
      <c r="I584" s="325">
        <v>125</v>
      </c>
      <c r="J584" s="314"/>
    </row>
    <row r="585" spans="1:10" ht="15">
      <c r="A585" s="194">
        <v>577</v>
      </c>
      <c r="B585" s="509">
        <v>41083</v>
      </c>
      <c r="C585" s="200" t="s">
        <v>1664</v>
      </c>
      <c r="D585" s="322" t="s">
        <v>1665</v>
      </c>
      <c r="E585" s="198" t="s">
        <v>506</v>
      </c>
      <c r="F585" s="325">
        <v>125</v>
      </c>
      <c r="G585" s="325">
        <v>125</v>
      </c>
      <c r="H585" s="299">
        <v>0</v>
      </c>
      <c r="I585" s="325">
        <v>125</v>
      </c>
      <c r="J585" s="314"/>
    </row>
    <row r="586" spans="1:10" ht="15">
      <c r="A586" s="194">
        <v>578</v>
      </c>
      <c r="B586" s="509">
        <v>41083</v>
      </c>
      <c r="C586" s="200" t="s">
        <v>1666</v>
      </c>
      <c r="D586" s="322" t="s">
        <v>1667</v>
      </c>
      <c r="E586" s="198" t="s">
        <v>506</v>
      </c>
      <c r="F586" s="325">
        <v>125</v>
      </c>
      <c r="G586" s="325">
        <v>125</v>
      </c>
      <c r="H586" s="299">
        <v>0</v>
      </c>
      <c r="I586" s="325">
        <v>125</v>
      </c>
      <c r="J586" s="314"/>
    </row>
    <row r="587" spans="1:10" ht="15">
      <c r="A587" s="194">
        <v>579</v>
      </c>
      <c r="B587" s="509">
        <v>41083</v>
      </c>
      <c r="C587" s="200" t="s">
        <v>1668</v>
      </c>
      <c r="D587" s="322" t="s">
        <v>1669</v>
      </c>
      <c r="E587" s="198" t="s">
        <v>506</v>
      </c>
      <c r="F587" s="325">
        <v>125</v>
      </c>
      <c r="G587" s="325">
        <v>125</v>
      </c>
      <c r="H587" s="299">
        <v>0</v>
      </c>
      <c r="I587" s="325">
        <v>125</v>
      </c>
      <c r="J587" s="314"/>
    </row>
    <row r="588" spans="1:10" ht="15">
      <c r="A588" s="194">
        <v>580</v>
      </c>
      <c r="B588" s="509">
        <v>41083</v>
      </c>
      <c r="C588" s="200" t="s">
        <v>1670</v>
      </c>
      <c r="D588" s="322" t="s">
        <v>1671</v>
      </c>
      <c r="E588" s="198" t="s">
        <v>506</v>
      </c>
      <c r="F588" s="325">
        <v>125</v>
      </c>
      <c r="G588" s="325">
        <v>125</v>
      </c>
      <c r="H588" s="299">
        <v>0</v>
      </c>
      <c r="I588" s="325">
        <v>125</v>
      </c>
      <c r="J588" s="314"/>
    </row>
    <row r="589" spans="1:10" ht="15">
      <c r="A589" s="194">
        <v>581</v>
      </c>
      <c r="B589" s="509">
        <v>41083</v>
      </c>
      <c r="C589" s="200" t="s">
        <v>1672</v>
      </c>
      <c r="D589" s="322" t="s">
        <v>1673</v>
      </c>
      <c r="E589" s="198" t="s">
        <v>506</v>
      </c>
      <c r="F589" s="325">
        <v>125</v>
      </c>
      <c r="G589" s="325">
        <v>125</v>
      </c>
      <c r="H589" s="299">
        <v>0</v>
      </c>
      <c r="I589" s="325">
        <v>125</v>
      </c>
      <c r="J589" s="314"/>
    </row>
    <row r="590" spans="1:10" ht="15">
      <c r="A590" s="194">
        <v>582</v>
      </c>
      <c r="B590" s="509">
        <v>41083</v>
      </c>
      <c r="C590" s="200" t="s">
        <v>1674</v>
      </c>
      <c r="D590" s="322" t="s">
        <v>1675</v>
      </c>
      <c r="E590" s="198" t="s">
        <v>506</v>
      </c>
      <c r="F590" s="325">
        <v>125</v>
      </c>
      <c r="G590" s="325">
        <v>125</v>
      </c>
      <c r="H590" s="299">
        <v>0</v>
      </c>
      <c r="I590" s="325">
        <v>125</v>
      </c>
      <c r="J590" s="314"/>
    </row>
    <row r="591" spans="1:10" ht="15">
      <c r="A591" s="194">
        <v>583</v>
      </c>
      <c r="B591" s="509">
        <v>41083</v>
      </c>
      <c r="C591" s="200" t="s">
        <v>1676</v>
      </c>
      <c r="D591" s="322" t="s">
        <v>1677</v>
      </c>
      <c r="E591" s="198" t="s">
        <v>506</v>
      </c>
      <c r="F591" s="325">
        <v>125</v>
      </c>
      <c r="G591" s="325">
        <v>125</v>
      </c>
      <c r="H591" s="299">
        <v>0</v>
      </c>
      <c r="I591" s="325">
        <v>125</v>
      </c>
      <c r="J591" s="314"/>
    </row>
    <row r="592" spans="1:10" ht="15">
      <c r="A592" s="194">
        <v>584</v>
      </c>
      <c r="B592" s="509">
        <v>41083</v>
      </c>
      <c r="C592" s="200" t="s">
        <v>1678</v>
      </c>
      <c r="D592" s="322" t="s">
        <v>1679</v>
      </c>
      <c r="E592" s="198" t="s">
        <v>506</v>
      </c>
      <c r="F592" s="325">
        <v>125</v>
      </c>
      <c r="G592" s="325">
        <v>125</v>
      </c>
      <c r="H592" s="299">
        <v>0</v>
      </c>
      <c r="I592" s="325">
        <v>125</v>
      </c>
      <c r="J592" s="314"/>
    </row>
    <row r="593" spans="1:10" ht="15">
      <c r="A593" s="194">
        <v>585</v>
      </c>
      <c r="B593" s="509">
        <v>41083</v>
      </c>
      <c r="C593" s="200" t="s">
        <v>1680</v>
      </c>
      <c r="D593" s="322" t="s">
        <v>1681</v>
      </c>
      <c r="E593" s="198" t="s">
        <v>506</v>
      </c>
      <c r="F593" s="325">
        <v>125</v>
      </c>
      <c r="G593" s="325">
        <v>125</v>
      </c>
      <c r="H593" s="299">
        <v>0</v>
      </c>
      <c r="I593" s="325">
        <v>125</v>
      </c>
      <c r="J593" s="314"/>
    </row>
    <row r="594" spans="1:10" ht="15">
      <c r="A594" s="194">
        <v>586</v>
      </c>
      <c r="B594" s="509">
        <v>41083</v>
      </c>
      <c r="C594" s="200" t="s">
        <v>1682</v>
      </c>
      <c r="D594" s="322" t="s">
        <v>1683</v>
      </c>
      <c r="E594" s="198" t="s">
        <v>506</v>
      </c>
      <c r="F594" s="325">
        <v>125</v>
      </c>
      <c r="G594" s="325">
        <v>125</v>
      </c>
      <c r="H594" s="299">
        <v>0</v>
      </c>
      <c r="I594" s="325">
        <v>125</v>
      </c>
      <c r="J594" s="314"/>
    </row>
    <row r="595" spans="1:10" ht="15">
      <c r="A595" s="194">
        <v>587</v>
      </c>
      <c r="B595" s="509">
        <v>41083</v>
      </c>
      <c r="C595" s="200" t="s">
        <v>1684</v>
      </c>
      <c r="D595" s="322" t="s">
        <v>1685</v>
      </c>
      <c r="E595" s="198" t="s">
        <v>506</v>
      </c>
      <c r="F595" s="325">
        <v>125</v>
      </c>
      <c r="G595" s="325">
        <v>125</v>
      </c>
      <c r="H595" s="299">
        <v>0</v>
      </c>
      <c r="I595" s="325">
        <v>125</v>
      </c>
      <c r="J595" s="314"/>
    </row>
    <row r="596" spans="1:10" ht="15">
      <c r="A596" s="194">
        <v>588</v>
      </c>
      <c r="B596" s="509">
        <v>41083</v>
      </c>
      <c r="C596" s="200" t="s">
        <v>1686</v>
      </c>
      <c r="D596" s="322" t="s">
        <v>1687</v>
      </c>
      <c r="E596" s="198" t="s">
        <v>506</v>
      </c>
      <c r="F596" s="325">
        <v>125</v>
      </c>
      <c r="G596" s="325">
        <v>125</v>
      </c>
      <c r="H596" s="299">
        <v>0</v>
      </c>
      <c r="I596" s="325">
        <v>125</v>
      </c>
      <c r="J596" s="314"/>
    </row>
    <row r="597" spans="1:10" ht="15">
      <c r="A597" s="194">
        <v>589</v>
      </c>
      <c r="B597" s="509">
        <v>41083</v>
      </c>
      <c r="C597" s="200" t="s">
        <v>1688</v>
      </c>
      <c r="D597" s="322" t="s">
        <v>1689</v>
      </c>
      <c r="E597" s="198" t="s">
        <v>506</v>
      </c>
      <c r="F597" s="325">
        <v>125</v>
      </c>
      <c r="G597" s="325">
        <v>125</v>
      </c>
      <c r="H597" s="299">
        <v>0</v>
      </c>
      <c r="I597" s="325">
        <v>125</v>
      </c>
      <c r="J597" s="314"/>
    </row>
    <row r="598" spans="1:10" ht="15">
      <c r="A598" s="194">
        <v>590</v>
      </c>
      <c r="B598" s="509">
        <v>41083</v>
      </c>
      <c r="C598" s="200" t="s">
        <v>1690</v>
      </c>
      <c r="D598" s="322" t="s">
        <v>1691</v>
      </c>
      <c r="E598" s="198" t="s">
        <v>506</v>
      </c>
      <c r="F598" s="325">
        <v>100</v>
      </c>
      <c r="G598" s="325">
        <v>100</v>
      </c>
      <c r="H598" s="299">
        <v>0</v>
      </c>
      <c r="I598" s="325">
        <v>100</v>
      </c>
      <c r="J598" s="314"/>
    </row>
    <row r="599" spans="1:10" ht="15">
      <c r="A599" s="194">
        <v>591</v>
      </c>
      <c r="B599" s="509">
        <v>41083</v>
      </c>
      <c r="C599" s="200" t="s">
        <v>1692</v>
      </c>
      <c r="D599" s="322" t="s">
        <v>1693</v>
      </c>
      <c r="E599" s="198" t="s">
        <v>506</v>
      </c>
      <c r="F599" s="325">
        <v>100</v>
      </c>
      <c r="G599" s="325">
        <v>100</v>
      </c>
      <c r="H599" s="299">
        <v>0</v>
      </c>
      <c r="I599" s="325">
        <v>100</v>
      </c>
      <c r="J599" s="314"/>
    </row>
    <row r="600" spans="1:10" ht="15">
      <c r="A600" s="194">
        <v>592</v>
      </c>
      <c r="B600" s="509">
        <v>41083</v>
      </c>
      <c r="C600" s="200" t="s">
        <v>1694</v>
      </c>
      <c r="D600" s="322" t="s">
        <v>1695</v>
      </c>
      <c r="E600" s="198" t="s">
        <v>506</v>
      </c>
      <c r="F600" s="325">
        <v>100</v>
      </c>
      <c r="G600" s="325">
        <v>100</v>
      </c>
      <c r="H600" s="299">
        <v>0</v>
      </c>
      <c r="I600" s="325">
        <v>100</v>
      </c>
      <c r="J600" s="314"/>
    </row>
    <row r="601" spans="1:10" ht="15">
      <c r="A601" s="194">
        <v>593</v>
      </c>
      <c r="B601" s="509">
        <v>41083</v>
      </c>
      <c r="C601" s="200" t="s">
        <v>1696</v>
      </c>
      <c r="D601" s="322" t="s">
        <v>1697</v>
      </c>
      <c r="E601" s="198" t="s">
        <v>506</v>
      </c>
      <c r="F601" s="325">
        <v>100</v>
      </c>
      <c r="G601" s="325">
        <v>100</v>
      </c>
      <c r="H601" s="299">
        <v>0</v>
      </c>
      <c r="I601" s="325">
        <v>100</v>
      </c>
      <c r="J601" s="314"/>
    </row>
    <row r="602" spans="1:10" ht="15">
      <c r="A602" s="194">
        <v>594</v>
      </c>
      <c r="B602" s="509">
        <v>41083</v>
      </c>
      <c r="C602" s="200" t="s">
        <v>1698</v>
      </c>
      <c r="D602" s="322" t="s">
        <v>1699</v>
      </c>
      <c r="E602" s="198" t="s">
        <v>506</v>
      </c>
      <c r="F602" s="325">
        <v>100</v>
      </c>
      <c r="G602" s="325">
        <v>100</v>
      </c>
      <c r="H602" s="299">
        <v>0</v>
      </c>
      <c r="I602" s="325">
        <v>100</v>
      </c>
      <c r="J602" s="314"/>
    </row>
    <row r="603" spans="1:10" ht="15">
      <c r="A603" s="194">
        <v>595</v>
      </c>
      <c r="B603" s="509">
        <v>41083</v>
      </c>
      <c r="C603" s="200" t="s">
        <v>1700</v>
      </c>
      <c r="D603" s="322" t="s">
        <v>1701</v>
      </c>
      <c r="E603" s="198" t="s">
        <v>506</v>
      </c>
      <c r="F603" s="325">
        <v>162.5</v>
      </c>
      <c r="G603" s="325">
        <v>162.5</v>
      </c>
      <c r="H603" s="299">
        <v>0</v>
      </c>
      <c r="I603" s="325">
        <v>162.5</v>
      </c>
      <c r="J603" s="314"/>
    </row>
    <row r="604" spans="1:10" ht="15">
      <c r="A604" s="194">
        <v>596</v>
      </c>
      <c r="B604" s="509">
        <v>41083</v>
      </c>
      <c r="C604" s="200" t="s">
        <v>1702</v>
      </c>
      <c r="D604" s="322" t="s">
        <v>1703</v>
      </c>
      <c r="E604" s="198" t="s">
        <v>506</v>
      </c>
      <c r="F604" s="325">
        <v>162.5</v>
      </c>
      <c r="G604" s="325">
        <v>162.5</v>
      </c>
      <c r="H604" s="299">
        <v>0</v>
      </c>
      <c r="I604" s="325">
        <v>162.5</v>
      </c>
      <c r="J604" s="314"/>
    </row>
    <row r="605" spans="1:10" ht="15">
      <c r="A605" s="194">
        <v>597</v>
      </c>
      <c r="B605" s="509">
        <v>41083</v>
      </c>
      <c r="C605" s="200" t="s">
        <v>1704</v>
      </c>
      <c r="D605" s="322" t="s">
        <v>1705</v>
      </c>
      <c r="E605" s="198" t="s">
        <v>506</v>
      </c>
      <c r="F605" s="325">
        <v>162.5</v>
      </c>
      <c r="G605" s="325">
        <v>162.5</v>
      </c>
      <c r="H605" s="299">
        <v>0</v>
      </c>
      <c r="I605" s="325">
        <v>162.5</v>
      </c>
      <c r="J605" s="314"/>
    </row>
    <row r="606" spans="1:10" ht="15">
      <c r="A606" s="194">
        <v>598</v>
      </c>
      <c r="B606" s="509">
        <v>41083</v>
      </c>
      <c r="C606" s="200" t="s">
        <v>1706</v>
      </c>
      <c r="D606" s="322" t="s">
        <v>1707</v>
      </c>
      <c r="E606" s="198" t="s">
        <v>506</v>
      </c>
      <c r="F606" s="325">
        <v>125</v>
      </c>
      <c r="G606" s="325">
        <v>125</v>
      </c>
      <c r="H606" s="299">
        <v>0</v>
      </c>
      <c r="I606" s="325">
        <v>125</v>
      </c>
      <c r="J606" s="314"/>
    </row>
    <row r="607" spans="1:10" ht="15">
      <c r="A607" s="194">
        <v>599</v>
      </c>
      <c r="B607" s="509">
        <v>41083</v>
      </c>
      <c r="C607" s="200" t="s">
        <v>1708</v>
      </c>
      <c r="D607" s="322" t="s">
        <v>1709</v>
      </c>
      <c r="E607" s="198" t="s">
        <v>506</v>
      </c>
      <c r="F607" s="325">
        <v>162.5</v>
      </c>
      <c r="G607" s="325">
        <v>162.5</v>
      </c>
      <c r="H607" s="299">
        <v>0</v>
      </c>
      <c r="I607" s="325">
        <v>162.5</v>
      </c>
      <c r="J607" s="314"/>
    </row>
    <row r="608" spans="1:10" ht="15">
      <c r="A608" s="194">
        <v>600</v>
      </c>
      <c r="B608" s="509">
        <v>41083</v>
      </c>
      <c r="C608" s="200" t="s">
        <v>1347</v>
      </c>
      <c r="D608" s="322" t="s">
        <v>1710</v>
      </c>
      <c r="E608" s="198" t="s">
        <v>506</v>
      </c>
      <c r="F608" s="325">
        <v>125</v>
      </c>
      <c r="G608" s="325">
        <v>125</v>
      </c>
      <c r="H608" s="299">
        <v>0</v>
      </c>
      <c r="I608" s="325">
        <v>125</v>
      </c>
      <c r="J608" s="314"/>
    </row>
    <row r="609" spans="1:10" ht="15">
      <c r="A609" s="194">
        <v>601</v>
      </c>
      <c r="B609" s="509">
        <v>41083</v>
      </c>
      <c r="C609" s="200" t="s">
        <v>1711</v>
      </c>
      <c r="D609" s="322" t="s">
        <v>1712</v>
      </c>
      <c r="E609" s="198" t="s">
        <v>506</v>
      </c>
      <c r="F609" s="325">
        <v>125</v>
      </c>
      <c r="G609" s="325">
        <v>125</v>
      </c>
      <c r="H609" s="299">
        <v>0</v>
      </c>
      <c r="I609" s="325">
        <v>125</v>
      </c>
      <c r="J609" s="314"/>
    </row>
    <row r="610" spans="1:10" ht="15">
      <c r="A610" s="194">
        <v>602</v>
      </c>
      <c r="B610" s="509">
        <v>41083</v>
      </c>
      <c r="C610" s="200" t="s">
        <v>1657</v>
      </c>
      <c r="D610" s="322" t="s">
        <v>1713</v>
      </c>
      <c r="E610" s="198" t="s">
        <v>506</v>
      </c>
      <c r="F610" s="325">
        <v>125</v>
      </c>
      <c r="G610" s="325">
        <v>125</v>
      </c>
      <c r="H610" s="299">
        <v>0</v>
      </c>
      <c r="I610" s="325">
        <v>125</v>
      </c>
      <c r="J610" s="314"/>
    </row>
    <row r="611" spans="1:10" ht="15">
      <c r="A611" s="194">
        <v>603</v>
      </c>
      <c r="B611" s="509">
        <v>41083</v>
      </c>
      <c r="C611" s="200" t="s">
        <v>1714</v>
      </c>
      <c r="D611" s="322" t="s">
        <v>1715</v>
      </c>
      <c r="E611" s="198" t="s">
        <v>506</v>
      </c>
      <c r="F611" s="325">
        <v>162.5</v>
      </c>
      <c r="G611" s="325">
        <v>162.5</v>
      </c>
      <c r="H611" s="299">
        <v>0</v>
      </c>
      <c r="I611" s="325">
        <v>162.5</v>
      </c>
      <c r="J611" s="314"/>
    </row>
    <row r="612" spans="1:10" ht="15">
      <c r="A612" s="194">
        <v>604</v>
      </c>
      <c r="B612" s="509">
        <v>41083</v>
      </c>
      <c r="C612" s="200" t="s">
        <v>1716</v>
      </c>
      <c r="D612" s="322" t="s">
        <v>1717</v>
      </c>
      <c r="E612" s="198" t="s">
        <v>506</v>
      </c>
      <c r="F612" s="325">
        <v>162.5</v>
      </c>
      <c r="G612" s="325">
        <v>162.5</v>
      </c>
      <c r="H612" s="299">
        <v>0</v>
      </c>
      <c r="I612" s="325">
        <v>162.5</v>
      </c>
      <c r="J612" s="314"/>
    </row>
    <row r="613" spans="1:10" ht="15">
      <c r="A613" s="194">
        <v>605</v>
      </c>
      <c r="B613" s="509">
        <v>41083</v>
      </c>
      <c r="C613" s="200" t="s">
        <v>1718</v>
      </c>
      <c r="D613" s="322" t="s">
        <v>1719</v>
      </c>
      <c r="E613" s="198" t="s">
        <v>506</v>
      </c>
      <c r="F613" s="325">
        <v>125</v>
      </c>
      <c r="G613" s="325">
        <v>125</v>
      </c>
      <c r="H613" s="299">
        <v>0</v>
      </c>
      <c r="I613" s="325">
        <v>125</v>
      </c>
      <c r="J613" s="314"/>
    </row>
    <row r="614" spans="1:10" ht="15">
      <c r="A614" s="194">
        <v>606</v>
      </c>
      <c r="B614" s="509">
        <v>41083</v>
      </c>
      <c r="C614" s="200" t="s">
        <v>1720</v>
      </c>
      <c r="D614" s="322" t="s">
        <v>1721</v>
      </c>
      <c r="E614" s="198" t="s">
        <v>506</v>
      </c>
      <c r="F614" s="325">
        <v>125</v>
      </c>
      <c r="G614" s="325">
        <v>125</v>
      </c>
      <c r="H614" s="299">
        <v>0</v>
      </c>
      <c r="I614" s="325">
        <v>125</v>
      </c>
      <c r="J614" s="314"/>
    </row>
    <row r="615" spans="1:10" ht="15">
      <c r="A615" s="194">
        <v>607</v>
      </c>
      <c r="B615" s="509">
        <v>41083</v>
      </c>
      <c r="C615" s="200" t="s">
        <v>1722</v>
      </c>
      <c r="D615" s="322" t="s">
        <v>1723</v>
      </c>
      <c r="E615" s="198" t="s">
        <v>506</v>
      </c>
      <c r="F615" s="325">
        <v>100</v>
      </c>
      <c r="G615" s="325">
        <v>100</v>
      </c>
      <c r="H615" s="299">
        <v>0</v>
      </c>
      <c r="I615" s="325">
        <v>100</v>
      </c>
      <c r="J615" s="314"/>
    </row>
    <row r="616" spans="1:10" ht="15">
      <c r="A616" s="194">
        <v>608</v>
      </c>
      <c r="B616" s="509">
        <v>41083</v>
      </c>
      <c r="C616" s="200" t="s">
        <v>1724</v>
      </c>
      <c r="D616" s="322" t="s">
        <v>1725</v>
      </c>
      <c r="E616" s="198" t="s">
        <v>506</v>
      </c>
      <c r="F616" s="325">
        <v>100</v>
      </c>
      <c r="G616" s="325">
        <v>100</v>
      </c>
      <c r="H616" s="299">
        <v>0</v>
      </c>
      <c r="I616" s="325">
        <v>100</v>
      </c>
      <c r="J616" s="314"/>
    </row>
    <row r="617" spans="1:10" ht="15">
      <c r="A617" s="194">
        <v>609</v>
      </c>
      <c r="B617" s="509">
        <v>41083</v>
      </c>
      <c r="C617" s="200" t="s">
        <v>1726</v>
      </c>
      <c r="D617" s="322" t="s">
        <v>1727</v>
      </c>
      <c r="E617" s="198" t="s">
        <v>506</v>
      </c>
      <c r="F617" s="325">
        <v>125</v>
      </c>
      <c r="G617" s="325">
        <v>125</v>
      </c>
      <c r="H617" s="299">
        <v>0</v>
      </c>
      <c r="I617" s="325">
        <v>125</v>
      </c>
      <c r="J617" s="314"/>
    </row>
    <row r="618" spans="1:10" ht="15">
      <c r="A618" s="194">
        <v>610</v>
      </c>
      <c r="B618" s="509">
        <v>41083</v>
      </c>
      <c r="C618" s="200" t="s">
        <v>1728</v>
      </c>
      <c r="D618" s="322" t="s">
        <v>1729</v>
      </c>
      <c r="E618" s="198" t="s">
        <v>506</v>
      </c>
      <c r="F618" s="325">
        <v>125</v>
      </c>
      <c r="G618" s="325">
        <v>125</v>
      </c>
      <c r="H618" s="299">
        <v>0</v>
      </c>
      <c r="I618" s="325">
        <v>125</v>
      </c>
      <c r="J618" s="314"/>
    </row>
    <row r="619" spans="1:10" ht="15">
      <c r="A619" s="194">
        <v>611</v>
      </c>
      <c r="B619" s="509">
        <v>41083</v>
      </c>
      <c r="C619" s="200" t="s">
        <v>1108</v>
      </c>
      <c r="D619" s="322" t="s">
        <v>1730</v>
      </c>
      <c r="E619" s="198" t="s">
        <v>506</v>
      </c>
      <c r="F619" s="325">
        <v>125</v>
      </c>
      <c r="G619" s="325">
        <v>125</v>
      </c>
      <c r="H619" s="299">
        <v>0</v>
      </c>
      <c r="I619" s="325">
        <v>125</v>
      </c>
      <c r="J619" s="314"/>
    </row>
    <row r="620" spans="1:10" ht="15">
      <c r="A620" s="194">
        <v>612</v>
      </c>
      <c r="B620" s="509">
        <v>41083</v>
      </c>
      <c r="C620" s="200" t="s">
        <v>1731</v>
      </c>
      <c r="D620" s="322" t="s">
        <v>1732</v>
      </c>
      <c r="E620" s="198" t="s">
        <v>506</v>
      </c>
      <c r="F620" s="325">
        <v>125</v>
      </c>
      <c r="G620" s="325">
        <v>125</v>
      </c>
      <c r="H620" s="299">
        <v>0</v>
      </c>
      <c r="I620" s="325">
        <v>125</v>
      </c>
      <c r="J620" s="314"/>
    </row>
    <row r="621" spans="1:10" ht="15">
      <c r="A621" s="194">
        <v>613</v>
      </c>
      <c r="B621" s="509">
        <v>41083</v>
      </c>
      <c r="C621" s="200" t="s">
        <v>1733</v>
      </c>
      <c r="D621" s="322" t="s">
        <v>1734</v>
      </c>
      <c r="E621" s="198" t="s">
        <v>506</v>
      </c>
      <c r="F621" s="325">
        <v>162.5</v>
      </c>
      <c r="G621" s="325">
        <v>162.5</v>
      </c>
      <c r="H621" s="299">
        <v>0</v>
      </c>
      <c r="I621" s="325">
        <v>162.5</v>
      </c>
      <c r="J621" s="314"/>
    </row>
    <row r="622" spans="1:10" ht="15">
      <c r="A622" s="194">
        <v>614</v>
      </c>
      <c r="B622" s="509">
        <v>41083</v>
      </c>
      <c r="C622" s="200" t="s">
        <v>1735</v>
      </c>
      <c r="D622" s="322" t="s">
        <v>1736</v>
      </c>
      <c r="E622" s="198" t="s">
        <v>506</v>
      </c>
      <c r="F622" s="325">
        <v>125</v>
      </c>
      <c r="G622" s="325">
        <v>125</v>
      </c>
      <c r="H622" s="299">
        <v>0</v>
      </c>
      <c r="I622" s="325">
        <v>125</v>
      </c>
      <c r="J622" s="314"/>
    </row>
    <row r="623" spans="1:10" ht="15">
      <c r="A623" s="194">
        <v>615</v>
      </c>
      <c r="B623" s="509">
        <v>41083</v>
      </c>
      <c r="C623" s="200" t="s">
        <v>1737</v>
      </c>
      <c r="D623" s="322" t="s">
        <v>1738</v>
      </c>
      <c r="E623" s="198" t="s">
        <v>506</v>
      </c>
      <c r="F623" s="325">
        <v>162.5</v>
      </c>
      <c r="G623" s="325">
        <v>162.5</v>
      </c>
      <c r="H623" s="299">
        <v>0</v>
      </c>
      <c r="I623" s="325">
        <v>162.5</v>
      </c>
      <c r="J623" s="314"/>
    </row>
    <row r="624" spans="1:10" ht="15">
      <c r="A624" s="194">
        <v>616</v>
      </c>
      <c r="B624" s="509">
        <v>41083</v>
      </c>
      <c r="C624" s="200" t="s">
        <v>1739</v>
      </c>
      <c r="D624" s="322" t="s">
        <v>1740</v>
      </c>
      <c r="E624" s="198" t="s">
        <v>506</v>
      </c>
      <c r="F624" s="325">
        <v>162.5</v>
      </c>
      <c r="G624" s="325">
        <v>162.5</v>
      </c>
      <c r="H624" s="299">
        <v>0</v>
      </c>
      <c r="I624" s="325">
        <v>162.5</v>
      </c>
      <c r="J624" s="314"/>
    </row>
    <row r="625" spans="1:10" ht="15">
      <c r="A625" s="194">
        <v>617</v>
      </c>
      <c r="B625" s="509">
        <v>41083</v>
      </c>
      <c r="C625" s="200" t="s">
        <v>1741</v>
      </c>
      <c r="D625" s="322" t="s">
        <v>1742</v>
      </c>
      <c r="E625" s="198" t="s">
        <v>506</v>
      </c>
      <c r="F625" s="325">
        <v>162.5</v>
      </c>
      <c r="G625" s="325">
        <v>162.5</v>
      </c>
      <c r="H625" s="299">
        <v>0</v>
      </c>
      <c r="I625" s="325">
        <v>162.5</v>
      </c>
      <c r="J625" s="314"/>
    </row>
    <row r="626" spans="1:10" ht="15">
      <c r="A626" s="194">
        <v>618</v>
      </c>
      <c r="B626" s="509">
        <v>41083</v>
      </c>
      <c r="C626" s="200" t="s">
        <v>1743</v>
      </c>
      <c r="D626" s="322" t="s">
        <v>1744</v>
      </c>
      <c r="E626" s="198" t="s">
        <v>506</v>
      </c>
      <c r="F626" s="325">
        <v>162.5</v>
      </c>
      <c r="G626" s="325">
        <v>162.5</v>
      </c>
      <c r="H626" s="299">
        <v>0</v>
      </c>
      <c r="I626" s="325">
        <v>162.5</v>
      </c>
      <c r="J626" s="314"/>
    </row>
    <row r="627" spans="1:10" ht="15">
      <c r="A627" s="194">
        <v>619</v>
      </c>
      <c r="B627" s="509">
        <v>41083</v>
      </c>
      <c r="C627" s="200" t="s">
        <v>1745</v>
      </c>
      <c r="D627" s="322" t="s">
        <v>1746</v>
      </c>
      <c r="E627" s="198" t="s">
        <v>506</v>
      </c>
      <c r="F627" s="325">
        <v>125</v>
      </c>
      <c r="G627" s="325">
        <v>125</v>
      </c>
      <c r="H627" s="299">
        <v>0</v>
      </c>
      <c r="I627" s="325">
        <v>125</v>
      </c>
      <c r="J627" s="314"/>
    </row>
    <row r="628" spans="1:10" ht="15">
      <c r="A628" s="194">
        <v>620</v>
      </c>
      <c r="B628" s="509">
        <v>41083</v>
      </c>
      <c r="C628" s="200" t="s">
        <v>1747</v>
      </c>
      <c r="D628" s="322" t="s">
        <v>1748</v>
      </c>
      <c r="E628" s="198" t="s">
        <v>506</v>
      </c>
      <c r="F628" s="325">
        <v>125</v>
      </c>
      <c r="G628" s="325">
        <v>125</v>
      </c>
      <c r="H628" s="299">
        <v>0</v>
      </c>
      <c r="I628" s="325">
        <v>125</v>
      </c>
      <c r="J628" s="314"/>
    </row>
    <row r="629" spans="1:10" ht="15">
      <c r="A629" s="194">
        <v>621</v>
      </c>
      <c r="B629" s="509">
        <v>41083</v>
      </c>
      <c r="C629" s="200" t="s">
        <v>1749</v>
      </c>
      <c r="D629" s="322" t="s">
        <v>1750</v>
      </c>
      <c r="E629" s="198" t="s">
        <v>506</v>
      </c>
      <c r="F629" s="325">
        <v>125</v>
      </c>
      <c r="G629" s="325">
        <v>125</v>
      </c>
      <c r="H629" s="299">
        <v>0</v>
      </c>
      <c r="I629" s="325">
        <v>125</v>
      </c>
      <c r="J629" s="314"/>
    </row>
    <row r="630" spans="1:10" ht="15">
      <c r="A630" s="194">
        <v>622</v>
      </c>
      <c r="B630" s="509">
        <v>41083</v>
      </c>
      <c r="C630" s="200" t="s">
        <v>1751</v>
      </c>
      <c r="D630" s="322" t="s">
        <v>1752</v>
      </c>
      <c r="E630" s="198" t="s">
        <v>506</v>
      </c>
      <c r="F630" s="325">
        <v>100</v>
      </c>
      <c r="G630" s="325">
        <v>100</v>
      </c>
      <c r="H630" s="299">
        <v>0</v>
      </c>
      <c r="I630" s="325">
        <v>100</v>
      </c>
      <c r="J630" s="314"/>
    </row>
    <row r="631" spans="1:10" ht="15">
      <c r="A631" s="194">
        <v>623</v>
      </c>
      <c r="B631" s="509">
        <v>41083</v>
      </c>
      <c r="C631" s="200" t="s">
        <v>1753</v>
      </c>
      <c r="D631" s="322" t="s">
        <v>1754</v>
      </c>
      <c r="E631" s="198" t="s">
        <v>506</v>
      </c>
      <c r="F631" s="325">
        <v>100</v>
      </c>
      <c r="G631" s="325">
        <v>100</v>
      </c>
      <c r="H631" s="299">
        <v>0</v>
      </c>
      <c r="I631" s="325">
        <v>100</v>
      </c>
      <c r="J631" s="314"/>
    </row>
    <row r="632" spans="1:10" ht="15">
      <c r="A632" s="194">
        <v>624</v>
      </c>
      <c r="B632" s="509">
        <v>41083</v>
      </c>
      <c r="C632" s="200" t="s">
        <v>1755</v>
      </c>
      <c r="D632" s="322" t="s">
        <v>1756</v>
      </c>
      <c r="E632" s="198" t="s">
        <v>506</v>
      </c>
      <c r="F632" s="325">
        <v>162.5</v>
      </c>
      <c r="G632" s="325">
        <v>162.5</v>
      </c>
      <c r="H632" s="299">
        <v>0</v>
      </c>
      <c r="I632" s="325">
        <v>162.5</v>
      </c>
      <c r="J632" s="314"/>
    </row>
    <row r="633" spans="1:10" ht="15">
      <c r="A633" s="194">
        <v>625</v>
      </c>
      <c r="B633" s="509">
        <v>41083</v>
      </c>
      <c r="C633" s="200" t="s">
        <v>1757</v>
      </c>
      <c r="D633" s="322" t="s">
        <v>1758</v>
      </c>
      <c r="E633" s="198" t="s">
        <v>506</v>
      </c>
      <c r="F633" s="325">
        <v>125</v>
      </c>
      <c r="G633" s="325">
        <v>125</v>
      </c>
      <c r="H633" s="299">
        <v>0</v>
      </c>
      <c r="I633" s="325">
        <v>125</v>
      </c>
      <c r="J633" s="314"/>
    </row>
    <row r="634" spans="1:10" ht="15">
      <c r="A634" s="194">
        <v>626</v>
      </c>
      <c r="B634" s="509">
        <v>41083</v>
      </c>
      <c r="C634" s="200" t="s">
        <v>1759</v>
      </c>
      <c r="D634" s="322" t="s">
        <v>1760</v>
      </c>
      <c r="E634" s="198" t="s">
        <v>506</v>
      </c>
      <c r="F634" s="325">
        <v>125</v>
      </c>
      <c r="G634" s="325">
        <v>125</v>
      </c>
      <c r="H634" s="299">
        <v>0</v>
      </c>
      <c r="I634" s="325">
        <v>125</v>
      </c>
      <c r="J634" s="314"/>
    </row>
    <row r="635" spans="1:10" ht="15">
      <c r="A635" s="194">
        <v>627</v>
      </c>
      <c r="B635" s="509">
        <v>41083</v>
      </c>
      <c r="C635" s="200" t="s">
        <v>1718</v>
      </c>
      <c r="D635" s="322" t="s">
        <v>1761</v>
      </c>
      <c r="E635" s="198" t="s">
        <v>506</v>
      </c>
      <c r="F635" s="325">
        <v>162.5</v>
      </c>
      <c r="G635" s="325">
        <v>162.5</v>
      </c>
      <c r="H635" s="299">
        <v>0</v>
      </c>
      <c r="I635" s="325">
        <v>162.5</v>
      </c>
      <c r="J635" s="314"/>
    </row>
    <row r="636" spans="1:10" ht="15">
      <c r="A636" s="194">
        <v>628</v>
      </c>
      <c r="B636" s="509">
        <v>41083</v>
      </c>
      <c r="C636" s="200" t="s">
        <v>1762</v>
      </c>
      <c r="D636" s="322" t="s">
        <v>1763</v>
      </c>
      <c r="E636" s="198" t="s">
        <v>506</v>
      </c>
      <c r="F636" s="325">
        <v>162.5</v>
      </c>
      <c r="G636" s="325">
        <v>162.5</v>
      </c>
      <c r="H636" s="299">
        <v>0</v>
      </c>
      <c r="I636" s="325">
        <v>162.5</v>
      </c>
      <c r="J636" s="314"/>
    </row>
    <row r="637" spans="1:10" ht="15">
      <c r="A637" s="194">
        <v>629</v>
      </c>
      <c r="B637" s="509">
        <v>41083</v>
      </c>
      <c r="C637" s="200" t="s">
        <v>1764</v>
      </c>
      <c r="D637" s="322" t="s">
        <v>1765</v>
      </c>
      <c r="E637" s="198" t="s">
        <v>506</v>
      </c>
      <c r="F637" s="325">
        <v>162.5</v>
      </c>
      <c r="G637" s="325">
        <v>162.5</v>
      </c>
      <c r="H637" s="299">
        <v>0</v>
      </c>
      <c r="I637" s="325">
        <v>162.5</v>
      </c>
      <c r="J637" s="314"/>
    </row>
    <row r="638" spans="1:10" ht="15">
      <c r="A638" s="194">
        <v>630</v>
      </c>
      <c r="B638" s="509">
        <v>41083</v>
      </c>
      <c r="C638" s="200" t="s">
        <v>1766</v>
      </c>
      <c r="D638" s="322" t="s">
        <v>1767</v>
      </c>
      <c r="E638" s="198" t="s">
        <v>506</v>
      </c>
      <c r="F638" s="325">
        <v>125</v>
      </c>
      <c r="G638" s="325">
        <v>125</v>
      </c>
      <c r="H638" s="299">
        <v>0</v>
      </c>
      <c r="I638" s="325">
        <v>125</v>
      </c>
      <c r="J638" s="314"/>
    </row>
    <row r="639" spans="1:10" ht="15">
      <c r="A639" s="194">
        <v>631</v>
      </c>
      <c r="B639" s="509">
        <v>41083</v>
      </c>
      <c r="C639" s="200" t="s">
        <v>1768</v>
      </c>
      <c r="D639" s="322" t="s">
        <v>1769</v>
      </c>
      <c r="E639" s="198" t="s">
        <v>506</v>
      </c>
      <c r="F639" s="325">
        <v>125</v>
      </c>
      <c r="G639" s="325">
        <v>125</v>
      </c>
      <c r="H639" s="299">
        <v>0</v>
      </c>
      <c r="I639" s="325">
        <v>125</v>
      </c>
      <c r="J639" s="314"/>
    </row>
    <row r="640" spans="1:10" ht="15">
      <c r="A640" s="194">
        <v>632</v>
      </c>
      <c r="B640" s="509">
        <v>41083</v>
      </c>
      <c r="C640" s="200" t="s">
        <v>1770</v>
      </c>
      <c r="D640" s="322" t="s">
        <v>1771</v>
      </c>
      <c r="E640" s="198" t="s">
        <v>506</v>
      </c>
      <c r="F640" s="325">
        <v>125</v>
      </c>
      <c r="G640" s="325">
        <v>125</v>
      </c>
      <c r="H640" s="299">
        <v>0</v>
      </c>
      <c r="I640" s="325">
        <v>125</v>
      </c>
      <c r="J640" s="314"/>
    </row>
    <row r="641" spans="1:10" ht="15">
      <c r="A641" s="194">
        <v>633</v>
      </c>
      <c r="B641" s="509">
        <v>41083</v>
      </c>
      <c r="C641" s="200" t="s">
        <v>1772</v>
      </c>
      <c r="D641" s="322" t="s">
        <v>1773</v>
      </c>
      <c r="E641" s="198" t="s">
        <v>506</v>
      </c>
      <c r="F641" s="325">
        <v>125</v>
      </c>
      <c r="G641" s="325">
        <v>125</v>
      </c>
      <c r="H641" s="299">
        <v>0</v>
      </c>
      <c r="I641" s="325">
        <v>125</v>
      </c>
      <c r="J641" s="314"/>
    </row>
    <row r="642" spans="1:10" ht="15">
      <c r="A642" s="194">
        <v>634</v>
      </c>
      <c r="B642" s="509">
        <v>41083</v>
      </c>
      <c r="C642" s="200" t="s">
        <v>1774</v>
      </c>
      <c r="D642" s="322" t="s">
        <v>1775</v>
      </c>
      <c r="E642" s="198" t="s">
        <v>506</v>
      </c>
      <c r="F642" s="325">
        <v>125</v>
      </c>
      <c r="G642" s="325">
        <v>125</v>
      </c>
      <c r="H642" s="299">
        <v>0</v>
      </c>
      <c r="I642" s="325">
        <v>125</v>
      </c>
      <c r="J642" s="314"/>
    </row>
    <row r="643" spans="1:10" ht="15">
      <c r="A643" s="194">
        <v>635</v>
      </c>
      <c r="B643" s="509">
        <v>41083</v>
      </c>
      <c r="C643" s="200" t="s">
        <v>1776</v>
      </c>
      <c r="D643" s="322" t="s">
        <v>1777</v>
      </c>
      <c r="E643" s="198" t="s">
        <v>506</v>
      </c>
      <c r="F643" s="325">
        <v>162.5</v>
      </c>
      <c r="G643" s="325">
        <v>162.5</v>
      </c>
      <c r="H643" s="299">
        <v>0</v>
      </c>
      <c r="I643" s="325">
        <v>162.5</v>
      </c>
      <c r="J643" s="314"/>
    </row>
    <row r="644" spans="1:10" ht="15">
      <c r="A644" s="194">
        <v>636</v>
      </c>
      <c r="B644" s="509">
        <v>41083</v>
      </c>
      <c r="C644" s="200" t="s">
        <v>1778</v>
      </c>
      <c r="D644" s="322" t="s">
        <v>1779</v>
      </c>
      <c r="E644" s="198" t="s">
        <v>506</v>
      </c>
      <c r="F644" s="325">
        <v>162.5</v>
      </c>
      <c r="G644" s="325">
        <v>162.5</v>
      </c>
      <c r="H644" s="299">
        <v>0</v>
      </c>
      <c r="I644" s="325">
        <v>162.5</v>
      </c>
      <c r="J644" s="314"/>
    </row>
    <row r="645" spans="1:10" ht="15">
      <c r="A645" s="194">
        <v>637</v>
      </c>
      <c r="B645" s="509">
        <v>41083</v>
      </c>
      <c r="C645" s="200" t="s">
        <v>1780</v>
      </c>
      <c r="D645" s="322" t="s">
        <v>1781</v>
      </c>
      <c r="E645" s="198" t="s">
        <v>506</v>
      </c>
      <c r="F645" s="325">
        <v>125</v>
      </c>
      <c r="G645" s="325">
        <v>125</v>
      </c>
      <c r="H645" s="299">
        <v>0</v>
      </c>
      <c r="I645" s="325">
        <v>125</v>
      </c>
      <c r="J645" s="314"/>
    </row>
    <row r="646" spans="1:10" ht="15">
      <c r="A646" s="194">
        <v>638</v>
      </c>
      <c r="B646" s="509">
        <v>41083</v>
      </c>
      <c r="C646" s="200" t="s">
        <v>1782</v>
      </c>
      <c r="D646" s="322" t="s">
        <v>1783</v>
      </c>
      <c r="E646" s="198" t="s">
        <v>506</v>
      </c>
      <c r="F646" s="325">
        <v>125</v>
      </c>
      <c r="G646" s="325">
        <v>125</v>
      </c>
      <c r="H646" s="299">
        <v>0</v>
      </c>
      <c r="I646" s="325">
        <v>125</v>
      </c>
      <c r="J646" s="314"/>
    </row>
    <row r="647" spans="1:10" ht="15">
      <c r="A647" s="194">
        <v>639</v>
      </c>
      <c r="B647" s="509">
        <v>41083</v>
      </c>
      <c r="C647" s="200" t="s">
        <v>1784</v>
      </c>
      <c r="D647" s="322" t="s">
        <v>1785</v>
      </c>
      <c r="E647" s="198" t="s">
        <v>506</v>
      </c>
      <c r="F647" s="325">
        <v>162.5</v>
      </c>
      <c r="G647" s="325">
        <v>162.5</v>
      </c>
      <c r="H647" s="299">
        <v>0</v>
      </c>
      <c r="I647" s="325">
        <v>162.5</v>
      </c>
      <c r="J647" s="314"/>
    </row>
    <row r="648" spans="1:10" ht="15">
      <c r="A648" s="194">
        <v>640</v>
      </c>
      <c r="B648" s="509">
        <v>41083</v>
      </c>
      <c r="C648" s="200" t="s">
        <v>1786</v>
      </c>
      <c r="D648" s="322" t="s">
        <v>1787</v>
      </c>
      <c r="E648" s="198" t="s">
        <v>506</v>
      </c>
      <c r="F648" s="325">
        <v>162.5</v>
      </c>
      <c r="G648" s="325">
        <v>162.5</v>
      </c>
      <c r="H648" s="299">
        <v>0</v>
      </c>
      <c r="I648" s="325">
        <v>162.5</v>
      </c>
      <c r="J648" s="314"/>
    </row>
    <row r="649" spans="1:10" ht="15">
      <c r="A649" s="194">
        <v>641</v>
      </c>
      <c r="B649" s="509">
        <v>41083</v>
      </c>
      <c r="C649" s="200" t="s">
        <v>548</v>
      </c>
      <c r="D649" s="322" t="s">
        <v>1788</v>
      </c>
      <c r="E649" s="198" t="s">
        <v>506</v>
      </c>
      <c r="F649" s="325">
        <v>162.5</v>
      </c>
      <c r="G649" s="325">
        <v>162.5</v>
      </c>
      <c r="H649" s="299">
        <v>0</v>
      </c>
      <c r="I649" s="325">
        <v>162.5</v>
      </c>
      <c r="J649" s="314"/>
    </row>
    <row r="650" spans="1:10" ht="15">
      <c r="A650" s="194">
        <v>642</v>
      </c>
      <c r="B650" s="509">
        <v>41083</v>
      </c>
      <c r="C650" s="200" t="s">
        <v>557</v>
      </c>
      <c r="D650" s="322" t="s">
        <v>558</v>
      </c>
      <c r="E650" s="198" t="s">
        <v>506</v>
      </c>
      <c r="F650" s="325">
        <v>100</v>
      </c>
      <c r="G650" s="325">
        <v>100</v>
      </c>
      <c r="H650" s="299">
        <v>0</v>
      </c>
      <c r="I650" s="325">
        <v>100</v>
      </c>
      <c r="J650" s="314"/>
    </row>
    <row r="651" spans="1:10" ht="15">
      <c r="A651" s="194">
        <v>643</v>
      </c>
      <c r="B651" s="509">
        <v>41083</v>
      </c>
      <c r="C651" s="200" t="s">
        <v>1789</v>
      </c>
      <c r="D651" s="322" t="s">
        <v>522</v>
      </c>
      <c r="E651" s="198" t="s">
        <v>506</v>
      </c>
      <c r="F651" s="325">
        <v>162.5</v>
      </c>
      <c r="G651" s="325">
        <v>162.5</v>
      </c>
      <c r="H651" s="299">
        <v>0</v>
      </c>
      <c r="I651" s="325">
        <v>162.5</v>
      </c>
      <c r="J651" s="314"/>
    </row>
    <row r="652" spans="1:10" ht="15">
      <c r="A652" s="194">
        <v>644</v>
      </c>
      <c r="B652" s="509">
        <v>41083</v>
      </c>
      <c r="C652" s="200" t="s">
        <v>553</v>
      </c>
      <c r="D652" s="322" t="s">
        <v>554</v>
      </c>
      <c r="E652" s="198" t="s">
        <v>506</v>
      </c>
      <c r="F652" s="325">
        <v>162.5</v>
      </c>
      <c r="G652" s="325">
        <v>162.5</v>
      </c>
      <c r="H652" s="299">
        <v>0</v>
      </c>
      <c r="I652" s="325">
        <v>162.5</v>
      </c>
      <c r="J652" s="314"/>
    </row>
    <row r="653" spans="1:10" ht="15">
      <c r="A653" s="194">
        <v>645</v>
      </c>
      <c r="B653" s="509">
        <v>41083</v>
      </c>
      <c r="C653" s="200" t="s">
        <v>541</v>
      </c>
      <c r="D653" s="322" t="s">
        <v>542</v>
      </c>
      <c r="E653" s="198" t="s">
        <v>506</v>
      </c>
      <c r="F653" s="325">
        <v>100</v>
      </c>
      <c r="G653" s="325">
        <v>100</v>
      </c>
      <c r="H653" s="299">
        <v>0</v>
      </c>
      <c r="I653" s="325">
        <v>100</v>
      </c>
      <c r="J653" s="314"/>
    </row>
    <row r="654" spans="1:10" ht="15">
      <c r="A654" s="194">
        <v>646</v>
      </c>
      <c r="B654" s="509">
        <v>41083</v>
      </c>
      <c r="C654" s="200" t="s">
        <v>539</v>
      </c>
      <c r="D654" s="322" t="s">
        <v>540</v>
      </c>
      <c r="E654" s="198" t="s">
        <v>506</v>
      </c>
      <c r="F654" s="325">
        <v>100</v>
      </c>
      <c r="G654" s="325">
        <v>100</v>
      </c>
      <c r="H654" s="299">
        <v>0</v>
      </c>
      <c r="I654" s="325">
        <v>100</v>
      </c>
      <c r="J654" s="314"/>
    </row>
    <row r="655" spans="1:10" ht="15">
      <c r="A655" s="194">
        <v>647</v>
      </c>
      <c r="B655" s="509">
        <v>41083</v>
      </c>
      <c r="C655" s="200" t="s">
        <v>547</v>
      </c>
      <c r="D655" s="322" t="s">
        <v>1790</v>
      </c>
      <c r="E655" s="198" t="s">
        <v>506</v>
      </c>
      <c r="F655" s="325">
        <v>162.5</v>
      </c>
      <c r="G655" s="325">
        <v>162.5</v>
      </c>
      <c r="H655" s="299">
        <v>0</v>
      </c>
      <c r="I655" s="325">
        <v>162.5</v>
      </c>
      <c r="J655" s="314"/>
    </row>
    <row r="656" spans="1:10" ht="15">
      <c r="A656" s="194">
        <v>648</v>
      </c>
      <c r="B656" s="509">
        <v>41083</v>
      </c>
      <c r="C656" s="200" t="s">
        <v>1791</v>
      </c>
      <c r="D656" s="322" t="s">
        <v>560</v>
      </c>
      <c r="E656" s="198" t="s">
        <v>506</v>
      </c>
      <c r="F656" s="325">
        <v>100</v>
      </c>
      <c r="G656" s="325">
        <v>100</v>
      </c>
      <c r="H656" s="299">
        <v>0</v>
      </c>
      <c r="I656" s="325">
        <v>100</v>
      </c>
      <c r="J656" s="314"/>
    </row>
    <row r="657" spans="1:10" ht="15">
      <c r="A657" s="194">
        <v>649</v>
      </c>
      <c r="B657" s="509">
        <v>41083</v>
      </c>
      <c r="C657" s="200" t="s">
        <v>555</v>
      </c>
      <c r="D657" s="322" t="s">
        <v>556</v>
      </c>
      <c r="E657" s="198" t="s">
        <v>506</v>
      </c>
      <c r="F657" s="325">
        <v>162.5</v>
      </c>
      <c r="G657" s="325">
        <v>162.5</v>
      </c>
      <c r="H657" s="299">
        <v>0</v>
      </c>
      <c r="I657" s="325">
        <v>162.5</v>
      </c>
      <c r="J657" s="314"/>
    </row>
    <row r="658" spans="1:10" ht="15">
      <c r="A658" s="194">
        <v>650</v>
      </c>
      <c r="B658" s="509">
        <v>41083</v>
      </c>
      <c r="C658" s="200" t="s">
        <v>551</v>
      </c>
      <c r="D658" s="322" t="s">
        <v>552</v>
      </c>
      <c r="E658" s="198" t="s">
        <v>506</v>
      </c>
      <c r="F658" s="325">
        <v>162.5</v>
      </c>
      <c r="G658" s="325">
        <v>162.5</v>
      </c>
      <c r="H658" s="299">
        <v>0</v>
      </c>
      <c r="I658" s="325">
        <v>162.5</v>
      </c>
      <c r="J658" s="314"/>
    </row>
    <row r="659" spans="1:10" ht="15">
      <c r="A659" s="194">
        <v>651</v>
      </c>
      <c r="B659" s="509">
        <v>41083</v>
      </c>
      <c r="C659" s="200" t="s">
        <v>1792</v>
      </c>
      <c r="D659" s="322" t="s">
        <v>1793</v>
      </c>
      <c r="E659" s="198" t="s">
        <v>506</v>
      </c>
      <c r="F659" s="325">
        <v>100</v>
      </c>
      <c r="G659" s="325">
        <v>100</v>
      </c>
      <c r="H659" s="299">
        <v>0</v>
      </c>
      <c r="I659" s="325">
        <v>100</v>
      </c>
      <c r="J659" s="314"/>
    </row>
    <row r="660" spans="1:10" ht="15">
      <c r="A660" s="194">
        <v>652</v>
      </c>
      <c r="B660" s="509">
        <v>41083</v>
      </c>
      <c r="C660" s="200" t="s">
        <v>1794</v>
      </c>
      <c r="D660" s="322" t="s">
        <v>1795</v>
      </c>
      <c r="E660" s="198" t="s">
        <v>506</v>
      </c>
      <c r="F660" s="325">
        <v>100</v>
      </c>
      <c r="G660" s="325">
        <v>100</v>
      </c>
      <c r="H660" s="299">
        <v>0</v>
      </c>
      <c r="I660" s="325">
        <v>100</v>
      </c>
      <c r="J660" s="314"/>
    </row>
    <row r="661" spans="1:10" ht="15">
      <c r="A661" s="194">
        <v>653</v>
      </c>
      <c r="B661" s="509">
        <v>41083</v>
      </c>
      <c r="C661" s="200" t="s">
        <v>1796</v>
      </c>
      <c r="D661" s="322" t="s">
        <v>1797</v>
      </c>
      <c r="E661" s="198" t="s">
        <v>506</v>
      </c>
      <c r="F661" s="325">
        <v>100</v>
      </c>
      <c r="G661" s="325">
        <v>100</v>
      </c>
      <c r="H661" s="299">
        <v>0</v>
      </c>
      <c r="I661" s="325">
        <v>100</v>
      </c>
      <c r="J661" s="314"/>
    </row>
    <row r="662" spans="1:10" ht="15">
      <c r="A662" s="194">
        <v>654</v>
      </c>
      <c r="B662" s="509">
        <v>41083</v>
      </c>
      <c r="C662" s="200" t="s">
        <v>1798</v>
      </c>
      <c r="D662" s="322" t="s">
        <v>1799</v>
      </c>
      <c r="E662" s="198" t="s">
        <v>506</v>
      </c>
      <c r="F662" s="325">
        <v>100</v>
      </c>
      <c r="G662" s="325">
        <v>100</v>
      </c>
      <c r="H662" s="299">
        <v>0</v>
      </c>
      <c r="I662" s="325">
        <v>100</v>
      </c>
      <c r="J662" s="314"/>
    </row>
    <row r="663" spans="1:10" ht="15">
      <c r="A663" s="194">
        <v>655</v>
      </c>
      <c r="B663" s="509">
        <v>41083</v>
      </c>
      <c r="C663" s="200" t="s">
        <v>1800</v>
      </c>
      <c r="D663" s="322" t="s">
        <v>1801</v>
      </c>
      <c r="E663" s="198" t="s">
        <v>506</v>
      </c>
      <c r="F663" s="325">
        <v>100</v>
      </c>
      <c r="G663" s="325">
        <v>100</v>
      </c>
      <c r="H663" s="299">
        <v>0</v>
      </c>
      <c r="I663" s="325">
        <v>100</v>
      </c>
      <c r="J663" s="314"/>
    </row>
    <row r="664" spans="1:10" ht="15">
      <c r="A664" s="194">
        <v>656</v>
      </c>
      <c r="B664" s="509">
        <v>41083</v>
      </c>
      <c r="C664" s="200" t="s">
        <v>1802</v>
      </c>
      <c r="D664" s="322" t="s">
        <v>1803</v>
      </c>
      <c r="E664" s="198" t="s">
        <v>506</v>
      </c>
      <c r="F664" s="325">
        <v>100</v>
      </c>
      <c r="G664" s="325">
        <v>100</v>
      </c>
      <c r="H664" s="299">
        <v>0</v>
      </c>
      <c r="I664" s="325">
        <v>100</v>
      </c>
      <c r="J664" s="314"/>
    </row>
    <row r="665" spans="1:10" ht="15">
      <c r="A665" s="194">
        <v>657</v>
      </c>
      <c r="B665" s="509">
        <v>41083</v>
      </c>
      <c r="C665" s="200" t="s">
        <v>1804</v>
      </c>
      <c r="D665" s="322" t="s">
        <v>1805</v>
      </c>
      <c r="E665" s="198" t="s">
        <v>506</v>
      </c>
      <c r="F665" s="325">
        <v>100</v>
      </c>
      <c r="G665" s="325">
        <v>100</v>
      </c>
      <c r="H665" s="299">
        <v>0</v>
      </c>
      <c r="I665" s="325">
        <v>100</v>
      </c>
      <c r="J665" s="314"/>
    </row>
    <row r="666" spans="1:10" ht="15">
      <c r="A666" s="194">
        <v>658</v>
      </c>
      <c r="B666" s="509">
        <v>41083</v>
      </c>
      <c r="C666" s="200" t="s">
        <v>1806</v>
      </c>
      <c r="D666" s="322" t="s">
        <v>1807</v>
      </c>
      <c r="E666" s="198" t="s">
        <v>506</v>
      </c>
      <c r="F666" s="325">
        <v>100</v>
      </c>
      <c r="G666" s="325">
        <v>100</v>
      </c>
      <c r="H666" s="299">
        <v>0</v>
      </c>
      <c r="I666" s="325">
        <v>100</v>
      </c>
      <c r="J666" s="314"/>
    </row>
    <row r="667" spans="1:10" ht="15">
      <c r="A667" s="194">
        <v>659</v>
      </c>
      <c r="B667" s="509">
        <v>41083</v>
      </c>
      <c r="C667" s="200" t="s">
        <v>1808</v>
      </c>
      <c r="D667" s="322" t="s">
        <v>1809</v>
      </c>
      <c r="E667" s="198" t="s">
        <v>506</v>
      </c>
      <c r="F667" s="325">
        <v>100</v>
      </c>
      <c r="G667" s="325">
        <v>100</v>
      </c>
      <c r="H667" s="299">
        <v>0</v>
      </c>
      <c r="I667" s="325">
        <v>100</v>
      </c>
      <c r="J667" s="314"/>
    </row>
    <row r="668" spans="1:10" ht="15">
      <c r="A668" s="194">
        <v>660</v>
      </c>
      <c r="B668" s="509">
        <v>41083</v>
      </c>
      <c r="C668" s="200" t="s">
        <v>1810</v>
      </c>
      <c r="D668" s="322" t="s">
        <v>1811</v>
      </c>
      <c r="E668" s="198" t="s">
        <v>506</v>
      </c>
      <c r="F668" s="325">
        <v>100</v>
      </c>
      <c r="G668" s="325">
        <v>100</v>
      </c>
      <c r="H668" s="299">
        <v>0</v>
      </c>
      <c r="I668" s="325">
        <v>100</v>
      </c>
      <c r="J668" s="314"/>
    </row>
    <row r="669" spans="1:10" ht="15">
      <c r="A669" s="194">
        <v>661</v>
      </c>
      <c r="B669" s="509">
        <v>41083</v>
      </c>
      <c r="C669" s="200" t="s">
        <v>1812</v>
      </c>
      <c r="D669" s="322" t="s">
        <v>1813</v>
      </c>
      <c r="E669" s="198" t="s">
        <v>506</v>
      </c>
      <c r="F669" s="325">
        <v>100</v>
      </c>
      <c r="G669" s="325">
        <v>100</v>
      </c>
      <c r="H669" s="299">
        <v>0</v>
      </c>
      <c r="I669" s="325">
        <v>100</v>
      </c>
      <c r="J669" s="314"/>
    </row>
    <row r="670" spans="1:10" ht="15">
      <c r="A670" s="194">
        <v>662</v>
      </c>
      <c r="B670" s="509">
        <v>41083</v>
      </c>
      <c r="C670" s="200" t="s">
        <v>1814</v>
      </c>
      <c r="D670" s="322" t="s">
        <v>1815</v>
      </c>
      <c r="E670" s="198" t="s">
        <v>506</v>
      </c>
      <c r="F670" s="325">
        <v>100</v>
      </c>
      <c r="G670" s="325">
        <v>100</v>
      </c>
      <c r="H670" s="299">
        <v>0</v>
      </c>
      <c r="I670" s="325">
        <v>100</v>
      </c>
      <c r="J670" s="314"/>
    </row>
    <row r="671" spans="1:10" ht="15">
      <c r="A671" s="194">
        <v>663</v>
      </c>
      <c r="B671" s="509">
        <v>41083</v>
      </c>
      <c r="C671" s="200" t="s">
        <v>1816</v>
      </c>
      <c r="D671" s="322" t="s">
        <v>1817</v>
      </c>
      <c r="E671" s="198" t="s">
        <v>506</v>
      </c>
      <c r="F671" s="325">
        <v>125</v>
      </c>
      <c r="G671" s="325">
        <v>125</v>
      </c>
      <c r="H671" s="299">
        <v>0</v>
      </c>
      <c r="I671" s="325">
        <v>125</v>
      </c>
      <c r="J671" s="314"/>
    </row>
    <row r="672" spans="1:10" ht="15">
      <c r="A672" s="194">
        <v>664</v>
      </c>
      <c r="B672" s="509">
        <v>41083</v>
      </c>
      <c r="C672" s="200" t="s">
        <v>1818</v>
      </c>
      <c r="D672" s="322" t="s">
        <v>1819</v>
      </c>
      <c r="E672" s="198" t="s">
        <v>506</v>
      </c>
      <c r="F672" s="325">
        <v>125</v>
      </c>
      <c r="G672" s="325">
        <v>125</v>
      </c>
      <c r="H672" s="299">
        <v>0</v>
      </c>
      <c r="I672" s="325">
        <v>125</v>
      </c>
      <c r="J672" s="314"/>
    </row>
    <row r="673" spans="1:10" ht="15">
      <c r="A673" s="194">
        <v>665</v>
      </c>
      <c r="B673" s="509">
        <v>41083</v>
      </c>
      <c r="C673" s="200" t="s">
        <v>1820</v>
      </c>
      <c r="D673" s="322" t="s">
        <v>1821</v>
      </c>
      <c r="E673" s="198" t="s">
        <v>506</v>
      </c>
      <c r="F673" s="325">
        <v>125</v>
      </c>
      <c r="G673" s="325">
        <v>125</v>
      </c>
      <c r="H673" s="299">
        <v>0</v>
      </c>
      <c r="I673" s="325">
        <v>125</v>
      </c>
      <c r="J673" s="314"/>
    </row>
    <row r="674" spans="1:10" ht="15">
      <c r="A674" s="194">
        <v>666</v>
      </c>
      <c r="B674" s="509">
        <v>41083</v>
      </c>
      <c r="C674" s="200" t="s">
        <v>1822</v>
      </c>
      <c r="D674" s="322" t="s">
        <v>1823</v>
      </c>
      <c r="E674" s="198" t="s">
        <v>506</v>
      </c>
      <c r="F674" s="325">
        <v>125</v>
      </c>
      <c r="G674" s="325">
        <v>125</v>
      </c>
      <c r="H674" s="299">
        <v>0</v>
      </c>
      <c r="I674" s="325">
        <v>125</v>
      </c>
      <c r="J674" s="314"/>
    </row>
    <row r="675" spans="1:10" ht="15">
      <c r="A675" s="194">
        <v>667</v>
      </c>
      <c r="B675" s="509">
        <v>41083</v>
      </c>
      <c r="C675" s="200" t="s">
        <v>1824</v>
      </c>
      <c r="D675" s="322" t="s">
        <v>1825</v>
      </c>
      <c r="E675" s="198" t="s">
        <v>506</v>
      </c>
      <c r="F675" s="325">
        <v>100</v>
      </c>
      <c r="G675" s="325">
        <v>100</v>
      </c>
      <c r="H675" s="299">
        <v>0</v>
      </c>
      <c r="I675" s="325">
        <v>100</v>
      </c>
      <c r="J675" s="314"/>
    </row>
    <row r="676" spans="1:10" ht="15">
      <c r="A676" s="194">
        <v>668</v>
      </c>
      <c r="B676" s="509">
        <v>41083</v>
      </c>
      <c r="C676" s="200" t="s">
        <v>1826</v>
      </c>
      <c r="D676" s="322" t="s">
        <v>1827</v>
      </c>
      <c r="E676" s="198" t="s">
        <v>506</v>
      </c>
      <c r="F676" s="325">
        <v>100</v>
      </c>
      <c r="G676" s="325">
        <v>100</v>
      </c>
      <c r="H676" s="299">
        <v>0</v>
      </c>
      <c r="I676" s="325">
        <v>100</v>
      </c>
      <c r="J676" s="314"/>
    </row>
    <row r="677" spans="1:10" ht="15">
      <c r="A677" s="194">
        <v>669</v>
      </c>
      <c r="B677" s="509">
        <v>41083</v>
      </c>
      <c r="C677" s="200" t="s">
        <v>1828</v>
      </c>
      <c r="D677" s="322" t="s">
        <v>1829</v>
      </c>
      <c r="E677" s="198" t="s">
        <v>506</v>
      </c>
      <c r="F677" s="325">
        <v>100</v>
      </c>
      <c r="G677" s="325">
        <v>100</v>
      </c>
      <c r="H677" s="299">
        <v>0</v>
      </c>
      <c r="I677" s="325">
        <v>100</v>
      </c>
      <c r="J677" s="314"/>
    </row>
    <row r="678" spans="1:10" ht="15">
      <c r="A678" s="194">
        <v>670</v>
      </c>
      <c r="B678" s="509">
        <v>41083</v>
      </c>
      <c r="C678" s="200" t="s">
        <v>1830</v>
      </c>
      <c r="D678" s="322" t="s">
        <v>1831</v>
      </c>
      <c r="E678" s="198" t="s">
        <v>506</v>
      </c>
      <c r="F678" s="325">
        <v>100</v>
      </c>
      <c r="G678" s="325">
        <v>100</v>
      </c>
      <c r="H678" s="299">
        <v>0</v>
      </c>
      <c r="I678" s="325">
        <v>100</v>
      </c>
      <c r="J678" s="314"/>
    </row>
    <row r="679" spans="1:10" ht="15">
      <c r="A679" s="194">
        <v>671</v>
      </c>
      <c r="B679" s="509">
        <v>41083</v>
      </c>
      <c r="C679" s="200" t="s">
        <v>1832</v>
      </c>
      <c r="D679" s="322" t="s">
        <v>1833</v>
      </c>
      <c r="E679" s="198" t="s">
        <v>506</v>
      </c>
      <c r="F679" s="325">
        <v>125</v>
      </c>
      <c r="G679" s="325">
        <v>125</v>
      </c>
      <c r="H679" s="299">
        <v>0</v>
      </c>
      <c r="I679" s="325">
        <v>125</v>
      </c>
      <c r="J679" s="314"/>
    </row>
    <row r="680" spans="1:10" ht="15">
      <c r="A680" s="194">
        <v>672</v>
      </c>
      <c r="B680" s="509">
        <v>41083</v>
      </c>
      <c r="C680" s="200" t="s">
        <v>1834</v>
      </c>
      <c r="D680" s="322" t="s">
        <v>1835</v>
      </c>
      <c r="E680" s="198" t="s">
        <v>506</v>
      </c>
      <c r="F680" s="325">
        <v>125</v>
      </c>
      <c r="G680" s="325">
        <v>125</v>
      </c>
      <c r="H680" s="299">
        <v>0</v>
      </c>
      <c r="I680" s="325">
        <v>125</v>
      </c>
      <c r="J680" s="314"/>
    </row>
    <row r="681" spans="1:10" ht="15">
      <c r="A681" s="194">
        <v>673</v>
      </c>
      <c r="B681" s="509">
        <v>41083</v>
      </c>
      <c r="C681" s="200" t="s">
        <v>1836</v>
      </c>
      <c r="D681" s="322" t="s">
        <v>1837</v>
      </c>
      <c r="E681" s="198" t="s">
        <v>506</v>
      </c>
      <c r="F681" s="325">
        <v>100</v>
      </c>
      <c r="G681" s="325">
        <v>100</v>
      </c>
      <c r="H681" s="299">
        <v>0</v>
      </c>
      <c r="I681" s="325">
        <v>100</v>
      </c>
      <c r="J681" s="314"/>
    </row>
    <row r="682" spans="1:10" ht="15">
      <c r="A682" s="194">
        <v>674</v>
      </c>
      <c r="B682" s="509">
        <v>41083</v>
      </c>
      <c r="C682" s="200" t="s">
        <v>1838</v>
      </c>
      <c r="D682" s="322" t="s">
        <v>1839</v>
      </c>
      <c r="E682" s="198" t="s">
        <v>506</v>
      </c>
      <c r="F682" s="325">
        <v>100</v>
      </c>
      <c r="G682" s="325">
        <v>100</v>
      </c>
      <c r="H682" s="299">
        <v>0</v>
      </c>
      <c r="I682" s="325">
        <v>100</v>
      </c>
      <c r="J682" s="314"/>
    </row>
    <row r="683" spans="1:10" ht="15">
      <c r="A683" s="194">
        <v>675</v>
      </c>
      <c r="B683" s="509">
        <v>41083</v>
      </c>
      <c r="C683" s="200" t="s">
        <v>1840</v>
      </c>
      <c r="D683" s="322" t="s">
        <v>1841</v>
      </c>
      <c r="E683" s="198" t="s">
        <v>506</v>
      </c>
      <c r="F683" s="325">
        <v>100</v>
      </c>
      <c r="G683" s="325">
        <v>100</v>
      </c>
      <c r="H683" s="299">
        <v>0</v>
      </c>
      <c r="I683" s="325">
        <v>100</v>
      </c>
      <c r="J683" s="314"/>
    </row>
    <row r="684" spans="1:10" ht="15">
      <c r="A684" s="194">
        <v>676</v>
      </c>
      <c r="B684" s="509">
        <v>41083</v>
      </c>
      <c r="C684" s="200" t="s">
        <v>1842</v>
      </c>
      <c r="D684" s="322" t="s">
        <v>1843</v>
      </c>
      <c r="E684" s="198" t="s">
        <v>506</v>
      </c>
      <c r="F684" s="325">
        <v>100</v>
      </c>
      <c r="G684" s="325">
        <v>100</v>
      </c>
      <c r="H684" s="299">
        <v>0</v>
      </c>
      <c r="I684" s="325">
        <v>100</v>
      </c>
      <c r="J684" s="314"/>
    </row>
    <row r="685" spans="1:10" ht="15">
      <c r="A685" s="194">
        <v>677</v>
      </c>
      <c r="B685" s="509">
        <v>41083</v>
      </c>
      <c r="C685" s="200" t="s">
        <v>1844</v>
      </c>
      <c r="D685" s="322" t="s">
        <v>1845</v>
      </c>
      <c r="E685" s="198" t="s">
        <v>506</v>
      </c>
      <c r="F685" s="325">
        <v>125</v>
      </c>
      <c r="G685" s="325">
        <v>125</v>
      </c>
      <c r="H685" s="299">
        <v>0</v>
      </c>
      <c r="I685" s="325">
        <v>125</v>
      </c>
      <c r="J685" s="314"/>
    </row>
    <row r="686" spans="1:10" ht="15">
      <c r="A686" s="194">
        <v>678</v>
      </c>
      <c r="B686" s="509">
        <v>41083</v>
      </c>
      <c r="C686" s="200" t="s">
        <v>1846</v>
      </c>
      <c r="D686" s="322" t="s">
        <v>1847</v>
      </c>
      <c r="E686" s="198" t="s">
        <v>506</v>
      </c>
      <c r="F686" s="325">
        <v>125</v>
      </c>
      <c r="G686" s="325">
        <v>125</v>
      </c>
      <c r="H686" s="299">
        <v>0</v>
      </c>
      <c r="I686" s="325">
        <v>125</v>
      </c>
      <c r="J686" s="314"/>
    </row>
    <row r="687" spans="1:10" ht="15">
      <c r="A687" s="194">
        <v>679</v>
      </c>
      <c r="B687" s="509">
        <v>41083</v>
      </c>
      <c r="C687" s="200" t="s">
        <v>1848</v>
      </c>
      <c r="D687" s="322" t="s">
        <v>1849</v>
      </c>
      <c r="E687" s="198" t="s">
        <v>506</v>
      </c>
      <c r="F687" s="325">
        <v>100</v>
      </c>
      <c r="G687" s="325">
        <v>100</v>
      </c>
      <c r="H687" s="299">
        <v>0</v>
      </c>
      <c r="I687" s="325">
        <v>100</v>
      </c>
      <c r="J687" s="314"/>
    </row>
    <row r="688" spans="1:10" ht="15">
      <c r="A688" s="194">
        <v>680</v>
      </c>
      <c r="B688" s="509">
        <v>41083</v>
      </c>
      <c r="C688" s="200" t="s">
        <v>1850</v>
      </c>
      <c r="D688" s="322" t="s">
        <v>1851</v>
      </c>
      <c r="E688" s="198" t="s">
        <v>506</v>
      </c>
      <c r="F688" s="325">
        <v>100</v>
      </c>
      <c r="G688" s="325">
        <v>100</v>
      </c>
      <c r="H688" s="299">
        <v>0</v>
      </c>
      <c r="I688" s="325">
        <v>100</v>
      </c>
      <c r="J688" s="314"/>
    </row>
    <row r="689" spans="1:10" ht="15">
      <c r="A689" s="194">
        <v>681</v>
      </c>
      <c r="B689" s="509">
        <v>41083</v>
      </c>
      <c r="C689" s="200" t="s">
        <v>1852</v>
      </c>
      <c r="D689" s="322" t="s">
        <v>1853</v>
      </c>
      <c r="E689" s="198" t="s">
        <v>506</v>
      </c>
      <c r="F689" s="325">
        <v>125</v>
      </c>
      <c r="G689" s="325">
        <v>125</v>
      </c>
      <c r="H689" s="299">
        <v>0</v>
      </c>
      <c r="I689" s="325">
        <v>125</v>
      </c>
      <c r="J689" s="314"/>
    </row>
    <row r="690" spans="1:10" ht="15">
      <c r="A690" s="194">
        <v>682</v>
      </c>
      <c r="B690" s="509">
        <v>41083</v>
      </c>
      <c r="C690" s="200" t="s">
        <v>1854</v>
      </c>
      <c r="D690" s="322" t="s">
        <v>1855</v>
      </c>
      <c r="E690" s="198" t="s">
        <v>506</v>
      </c>
      <c r="F690" s="325">
        <v>125</v>
      </c>
      <c r="G690" s="325">
        <v>125</v>
      </c>
      <c r="H690" s="299">
        <v>0</v>
      </c>
      <c r="I690" s="325">
        <v>125</v>
      </c>
      <c r="J690" s="314"/>
    </row>
    <row r="691" spans="1:10" ht="15">
      <c r="A691" s="194">
        <v>683</v>
      </c>
      <c r="B691" s="509">
        <v>41083</v>
      </c>
      <c r="C691" s="200" t="s">
        <v>1856</v>
      </c>
      <c r="D691" s="322" t="s">
        <v>1857</v>
      </c>
      <c r="E691" s="198" t="s">
        <v>506</v>
      </c>
      <c r="F691" s="325">
        <v>125</v>
      </c>
      <c r="G691" s="325">
        <v>125</v>
      </c>
      <c r="H691" s="299">
        <v>0</v>
      </c>
      <c r="I691" s="325">
        <v>125</v>
      </c>
      <c r="J691" s="314"/>
    </row>
    <row r="692" spans="1:10" ht="15">
      <c r="A692" s="194">
        <v>684</v>
      </c>
      <c r="B692" s="509">
        <v>41083</v>
      </c>
      <c r="C692" s="200" t="s">
        <v>1858</v>
      </c>
      <c r="D692" s="322" t="s">
        <v>1859</v>
      </c>
      <c r="E692" s="198" t="s">
        <v>506</v>
      </c>
      <c r="F692" s="325">
        <v>125</v>
      </c>
      <c r="G692" s="325">
        <v>125</v>
      </c>
      <c r="H692" s="299">
        <v>0</v>
      </c>
      <c r="I692" s="325">
        <v>125</v>
      </c>
      <c r="J692" s="314"/>
    </row>
    <row r="693" spans="1:10" ht="15">
      <c r="A693" s="194">
        <v>685</v>
      </c>
      <c r="B693" s="509">
        <v>41083</v>
      </c>
      <c r="C693" s="200" t="s">
        <v>1860</v>
      </c>
      <c r="D693" s="322" t="s">
        <v>1861</v>
      </c>
      <c r="E693" s="198" t="s">
        <v>506</v>
      </c>
      <c r="F693" s="325">
        <v>125</v>
      </c>
      <c r="G693" s="325">
        <v>125</v>
      </c>
      <c r="H693" s="299">
        <v>0</v>
      </c>
      <c r="I693" s="325">
        <v>125</v>
      </c>
      <c r="J693" s="314"/>
    </row>
    <row r="694" spans="1:10" ht="15">
      <c r="A694" s="194">
        <v>686</v>
      </c>
      <c r="B694" s="509">
        <v>41083</v>
      </c>
      <c r="C694" s="200" t="s">
        <v>1862</v>
      </c>
      <c r="D694" s="322" t="s">
        <v>1863</v>
      </c>
      <c r="E694" s="198" t="s">
        <v>506</v>
      </c>
      <c r="F694" s="325">
        <v>125</v>
      </c>
      <c r="G694" s="325">
        <v>125</v>
      </c>
      <c r="H694" s="299">
        <v>0</v>
      </c>
      <c r="I694" s="325">
        <v>125</v>
      </c>
      <c r="J694" s="314"/>
    </row>
    <row r="695" spans="1:10" ht="15">
      <c r="A695" s="194">
        <v>687</v>
      </c>
      <c r="B695" s="509">
        <v>41083</v>
      </c>
      <c r="C695" s="200" t="s">
        <v>1864</v>
      </c>
      <c r="D695" s="322" t="s">
        <v>1865</v>
      </c>
      <c r="E695" s="198" t="s">
        <v>506</v>
      </c>
      <c r="F695" s="325">
        <v>125</v>
      </c>
      <c r="G695" s="325">
        <v>125</v>
      </c>
      <c r="H695" s="299">
        <v>0</v>
      </c>
      <c r="I695" s="325">
        <v>125</v>
      </c>
      <c r="J695" s="314"/>
    </row>
    <row r="696" spans="1:10" ht="15">
      <c r="A696" s="194">
        <v>688</v>
      </c>
      <c r="B696" s="509">
        <v>41083</v>
      </c>
      <c r="C696" s="200" t="s">
        <v>1866</v>
      </c>
      <c r="D696" s="322" t="s">
        <v>1867</v>
      </c>
      <c r="E696" s="198" t="s">
        <v>506</v>
      </c>
      <c r="F696" s="325">
        <v>125</v>
      </c>
      <c r="G696" s="325">
        <v>125</v>
      </c>
      <c r="H696" s="299">
        <v>0</v>
      </c>
      <c r="I696" s="325">
        <v>125</v>
      </c>
      <c r="J696" s="314"/>
    </row>
    <row r="697" spans="1:10" ht="15">
      <c r="A697" s="194">
        <v>689</v>
      </c>
      <c r="B697" s="509">
        <v>41083</v>
      </c>
      <c r="C697" s="200" t="s">
        <v>1868</v>
      </c>
      <c r="D697" s="322" t="s">
        <v>1869</v>
      </c>
      <c r="E697" s="198" t="s">
        <v>506</v>
      </c>
      <c r="F697" s="325">
        <v>100</v>
      </c>
      <c r="G697" s="325">
        <v>100</v>
      </c>
      <c r="H697" s="299">
        <v>0</v>
      </c>
      <c r="I697" s="325">
        <v>100</v>
      </c>
      <c r="J697" s="314"/>
    </row>
    <row r="698" spans="1:10" ht="15">
      <c r="A698" s="194">
        <v>690</v>
      </c>
      <c r="B698" s="509">
        <v>41083</v>
      </c>
      <c r="C698" s="200" t="s">
        <v>1870</v>
      </c>
      <c r="D698" s="322" t="s">
        <v>1871</v>
      </c>
      <c r="E698" s="198" t="s">
        <v>506</v>
      </c>
      <c r="F698" s="325">
        <v>100</v>
      </c>
      <c r="G698" s="325">
        <v>100</v>
      </c>
      <c r="H698" s="299">
        <v>0</v>
      </c>
      <c r="I698" s="325">
        <v>100</v>
      </c>
      <c r="J698" s="314"/>
    </row>
    <row r="699" spans="1:10" ht="15">
      <c r="A699" s="194">
        <v>691</v>
      </c>
      <c r="B699" s="509">
        <v>41085</v>
      </c>
      <c r="C699" s="200" t="s">
        <v>1872</v>
      </c>
      <c r="D699" s="322" t="s">
        <v>1873</v>
      </c>
      <c r="E699" s="198" t="s">
        <v>506</v>
      </c>
      <c r="F699" s="325">
        <v>100</v>
      </c>
      <c r="G699" s="325">
        <v>100</v>
      </c>
      <c r="H699" s="299">
        <v>0</v>
      </c>
      <c r="I699" s="325">
        <v>100</v>
      </c>
      <c r="J699" s="314"/>
    </row>
    <row r="700" spans="1:10" ht="15">
      <c r="A700" s="194">
        <v>692</v>
      </c>
      <c r="B700" s="509">
        <v>41085</v>
      </c>
      <c r="C700" s="200" t="s">
        <v>1201</v>
      </c>
      <c r="D700" s="322" t="s">
        <v>1874</v>
      </c>
      <c r="E700" s="198" t="s">
        <v>506</v>
      </c>
      <c r="F700" s="325">
        <v>100</v>
      </c>
      <c r="G700" s="325">
        <v>100</v>
      </c>
      <c r="H700" s="299">
        <v>0</v>
      </c>
      <c r="I700" s="325">
        <v>100</v>
      </c>
      <c r="J700" s="314"/>
    </row>
    <row r="701" spans="1:10" ht="15">
      <c r="A701" s="194">
        <v>693</v>
      </c>
      <c r="B701" s="509">
        <v>41085</v>
      </c>
      <c r="C701" s="200" t="s">
        <v>1875</v>
      </c>
      <c r="D701" s="322" t="s">
        <v>1876</v>
      </c>
      <c r="E701" s="198" t="s">
        <v>506</v>
      </c>
      <c r="F701" s="325">
        <v>100</v>
      </c>
      <c r="G701" s="325">
        <v>100</v>
      </c>
      <c r="H701" s="299">
        <v>0</v>
      </c>
      <c r="I701" s="325">
        <v>100</v>
      </c>
      <c r="J701" s="314"/>
    </row>
    <row r="702" spans="1:10" ht="15">
      <c r="A702" s="194">
        <v>694</v>
      </c>
      <c r="B702" s="509">
        <v>41085</v>
      </c>
      <c r="C702" s="200" t="s">
        <v>1877</v>
      </c>
      <c r="D702" s="322" t="s">
        <v>1878</v>
      </c>
      <c r="E702" s="198" t="s">
        <v>506</v>
      </c>
      <c r="F702" s="325">
        <v>125</v>
      </c>
      <c r="G702" s="325">
        <v>125</v>
      </c>
      <c r="H702" s="299">
        <v>0</v>
      </c>
      <c r="I702" s="325">
        <v>125</v>
      </c>
      <c r="J702" s="314"/>
    </row>
    <row r="703" spans="1:10" ht="15">
      <c r="A703" s="194">
        <v>695</v>
      </c>
      <c r="B703" s="509">
        <v>41085</v>
      </c>
      <c r="C703" s="200" t="s">
        <v>1221</v>
      </c>
      <c r="D703" s="322" t="s">
        <v>1222</v>
      </c>
      <c r="E703" s="198" t="s">
        <v>506</v>
      </c>
      <c r="F703" s="325">
        <v>125</v>
      </c>
      <c r="G703" s="325">
        <v>125</v>
      </c>
      <c r="H703" s="299">
        <v>0</v>
      </c>
      <c r="I703" s="325">
        <v>125</v>
      </c>
      <c r="J703" s="314"/>
    </row>
    <row r="704" spans="1:10" ht="15">
      <c r="A704" s="194">
        <v>696</v>
      </c>
      <c r="B704" s="509">
        <v>41085</v>
      </c>
      <c r="C704" s="200" t="s">
        <v>1879</v>
      </c>
      <c r="D704" s="322" t="s">
        <v>1880</v>
      </c>
      <c r="E704" s="198" t="s">
        <v>506</v>
      </c>
      <c r="F704" s="325">
        <v>100</v>
      </c>
      <c r="G704" s="325">
        <v>100</v>
      </c>
      <c r="H704" s="299">
        <v>0</v>
      </c>
      <c r="I704" s="325">
        <v>100</v>
      </c>
      <c r="J704" s="314"/>
    </row>
    <row r="705" spans="1:10" ht="15">
      <c r="A705" s="194">
        <v>697</v>
      </c>
      <c r="B705" s="509">
        <v>41085</v>
      </c>
      <c r="C705" s="200" t="s">
        <v>1881</v>
      </c>
      <c r="D705" s="322" t="s">
        <v>1882</v>
      </c>
      <c r="E705" s="198" t="s">
        <v>506</v>
      </c>
      <c r="F705" s="325">
        <v>100</v>
      </c>
      <c r="G705" s="325">
        <v>100</v>
      </c>
      <c r="H705" s="299">
        <v>0</v>
      </c>
      <c r="I705" s="325">
        <v>100</v>
      </c>
      <c r="J705" s="314"/>
    </row>
    <row r="706" spans="1:10" ht="15">
      <c r="A706" s="194">
        <v>698</v>
      </c>
      <c r="B706" s="509">
        <v>41085</v>
      </c>
      <c r="C706" s="200" t="s">
        <v>1883</v>
      </c>
      <c r="D706" s="322" t="s">
        <v>1884</v>
      </c>
      <c r="E706" s="198" t="s">
        <v>506</v>
      </c>
      <c r="F706" s="325">
        <v>100</v>
      </c>
      <c r="G706" s="325">
        <v>100</v>
      </c>
      <c r="H706" s="299">
        <v>0</v>
      </c>
      <c r="I706" s="325">
        <v>100</v>
      </c>
      <c r="J706" s="314"/>
    </row>
    <row r="707" spans="1:10" ht="15">
      <c r="A707" s="194">
        <v>699</v>
      </c>
      <c r="B707" s="509">
        <v>41085</v>
      </c>
      <c r="C707" s="200" t="s">
        <v>1885</v>
      </c>
      <c r="D707" s="322" t="s">
        <v>1886</v>
      </c>
      <c r="E707" s="198" t="s">
        <v>506</v>
      </c>
      <c r="F707" s="325">
        <v>100</v>
      </c>
      <c r="G707" s="325">
        <v>100</v>
      </c>
      <c r="H707" s="299">
        <v>0</v>
      </c>
      <c r="I707" s="325">
        <v>100</v>
      </c>
      <c r="J707" s="314"/>
    </row>
    <row r="708" spans="1:10" ht="15">
      <c r="A708" s="194">
        <v>700</v>
      </c>
      <c r="B708" s="509">
        <v>41085</v>
      </c>
      <c r="C708" s="200" t="s">
        <v>1887</v>
      </c>
      <c r="D708" s="322" t="s">
        <v>1888</v>
      </c>
      <c r="E708" s="198" t="s">
        <v>506</v>
      </c>
      <c r="F708" s="325">
        <v>100</v>
      </c>
      <c r="G708" s="325">
        <v>100</v>
      </c>
      <c r="H708" s="299">
        <v>0</v>
      </c>
      <c r="I708" s="325">
        <v>100</v>
      </c>
      <c r="J708" s="314"/>
    </row>
    <row r="709" spans="1:10" ht="15">
      <c r="A709" s="194">
        <v>701</v>
      </c>
      <c r="B709" s="509">
        <v>41085</v>
      </c>
      <c r="C709" s="200" t="s">
        <v>1889</v>
      </c>
      <c r="D709" s="322" t="s">
        <v>1890</v>
      </c>
      <c r="E709" s="198" t="s">
        <v>506</v>
      </c>
      <c r="F709" s="325">
        <v>125</v>
      </c>
      <c r="G709" s="325">
        <v>125</v>
      </c>
      <c r="H709" s="299">
        <v>0</v>
      </c>
      <c r="I709" s="325">
        <v>125</v>
      </c>
      <c r="J709" s="314"/>
    </row>
    <row r="710" spans="1:10" ht="15">
      <c r="A710" s="194">
        <v>702</v>
      </c>
      <c r="B710" s="509">
        <v>41085</v>
      </c>
      <c r="C710" s="200" t="s">
        <v>1891</v>
      </c>
      <c r="D710" s="322" t="s">
        <v>1892</v>
      </c>
      <c r="E710" s="198" t="s">
        <v>506</v>
      </c>
      <c r="F710" s="325">
        <v>125</v>
      </c>
      <c r="G710" s="325">
        <v>125</v>
      </c>
      <c r="H710" s="299">
        <v>0</v>
      </c>
      <c r="I710" s="325">
        <v>125</v>
      </c>
      <c r="J710" s="314"/>
    </row>
    <row r="711" spans="1:10" ht="15">
      <c r="A711" s="194">
        <v>703</v>
      </c>
      <c r="B711" s="509">
        <v>41085</v>
      </c>
      <c r="C711" s="200" t="s">
        <v>625</v>
      </c>
      <c r="D711" s="322" t="s">
        <v>626</v>
      </c>
      <c r="E711" s="198" t="s">
        <v>506</v>
      </c>
      <c r="F711" s="325">
        <v>162.5</v>
      </c>
      <c r="G711" s="325">
        <v>162.5</v>
      </c>
      <c r="H711" s="299">
        <v>0</v>
      </c>
      <c r="I711" s="325">
        <v>162.5</v>
      </c>
      <c r="J711" s="314"/>
    </row>
    <row r="712" spans="1:10" ht="15">
      <c r="A712" s="194">
        <v>704</v>
      </c>
      <c r="B712" s="509">
        <v>41085</v>
      </c>
      <c r="C712" s="200" t="s">
        <v>1893</v>
      </c>
      <c r="D712" s="322" t="s">
        <v>1894</v>
      </c>
      <c r="E712" s="198" t="s">
        <v>506</v>
      </c>
      <c r="F712" s="325">
        <v>125</v>
      </c>
      <c r="G712" s="325">
        <v>125</v>
      </c>
      <c r="H712" s="299">
        <v>0</v>
      </c>
      <c r="I712" s="325">
        <v>125</v>
      </c>
      <c r="J712" s="314"/>
    </row>
    <row r="713" spans="1:10" ht="15">
      <c r="A713" s="194">
        <v>705</v>
      </c>
      <c r="B713" s="509">
        <v>41085</v>
      </c>
      <c r="C713" s="200" t="s">
        <v>1895</v>
      </c>
      <c r="D713" s="322" t="s">
        <v>1896</v>
      </c>
      <c r="E713" s="198" t="s">
        <v>506</v>
      </c>
      <c r="F713" s="325">
        <v>125</v>
      </c>
      <c r="G713" s="325">
        <v>125</v>
      </c>
      <c r="H713" s="299">
        <v>0</v>
      </c>
      <c r="I713" s="325">
        <v>125</v>
      </c>
      <c r="J713" s="314"/>
    </row>
    <row r="714" spans="1:10" ht="15">
      <c r="A714" s="194">
        <v>706</v>
      </c>
      <c r="B714" s="509">
        <v>41085</v>
      </c>
      <c r="C714" s="200" t="s">
        <v>1897</v>
      </c>
      <c r="D714" s="322" t="s">
        <v>1898</v>
      </c>
      <c r="E714" s="198" t="s">
        <v>506</v>
      </c>
      <c r="F714" s="325">
        <v>125</v>
      </c>
      <c r="G714" s="325">
        <v>125</v>
      </c>
      <c r="H714" s="299">
        <v>0</v>
      </c>
      <c r="I714" s="325">
        <v>125</v>
      </c>
      <c r="J714" s="314"/>
    </row>
    <row r="715" spans="1:10" ht="15">
      <c r="A715" s="194">
        <v>707</v>
      </c>
      <c r="B715" s="509">
        <v>41085</v>
      </c>
      <c r="C715" s="200" t="s">
        <v>1899</v>
      </c>
      <c r="D715" s="322" t="s">
        <v>1900</v>
      </c>
      <c r="E715" s="198" t="s">
        <v>506</v>
      </c>
      <c r="F715" s="325">
        <v>125</v>
      </c>
      <c r="G715" s="325">
        <v>125</v>
      </c>
      <c r="H715" s="299">
        <v>0</v>
      </c>
      <c r="I715" s="325">
        <v>125</v>
      </c>
      <c r="J715" s="314"/>
    </row>
    <row r="716" spans="1:10" ht="15">
      <c r="A716" s="194">
        <v>708</v>
      </c>
      <c r="B716" s="509">
        <v>41085</v>
      </c>
      <c r="C716" s="200" t="s">
        <v>1901</v>
      </c>
      <c r="D716" s="322" t="s">
        <v>1902</v>
      </c>
      <c r="E716" s="198" t="s">
        <v>506</v>
      </c>
      <c r="F716" s="325">
        <v>125</v>
      </c>
      <c r="G716" s="325">
        <v>125</v>
      </c>
      <c r="H716" s="299">
        <v>0</v>
      </c>
      <c r="I716" s="325">
        <v>125</v>
      </c>
      <c r="J716" s="314"/>
    </row>
    <row r="717" spans="1:10" ht="15">
      <c r="A717" s="194">
        <v>709</v>
      </c>
      <c r="B717" s="509">
        <v>41085</v>
      </c>
      <c r="C717" s="200" t="s">
        <v>1903</v>
      </c>
      <c r="D717" s="322" t="s">
        <v>1904</v>
      </c>
      <c r="E717" s="198" t="s">
        <v>506</v>
      </c>
      <c r="F717" s="325">
        <v>100</v>
      </c>
      <c r="G717" s="325">
        <v>100</v>
      </c>
      <c r="H717" s="299">
        <v>0</v>
      </c>
      <c r="I717" s="325">
        <v>100</v>
      </c>
      <c r="J717" s="314"/>
    </row>
    <row r="718" spans="1:10" ht="15">
      <c r="A718" s="194">
        <v>710</v>
      </c>
      <c r="B718" s="509">
        <v>41085</v>
      </c>
      <c r="C718" s="200" t="s">
        <v>619</v>
      </c>
      <c r="D718" s="322" t="s">
        <v>620</v>
      </c>
      <c r="E718" s="198" t="s">
        <v>506</v>
      </c>
      <c r="F718" s="325">
        <v>100</v>
      </c>
      <c r="G718" s="325">
        <v>100</v>
      </c>
      <c r="H718" s="299">
        <v>0</v>
      </c>
      <c r="I718" s="325">
        <v>100</v>
      </c>
      <c r="J718" s="314"/>
    </row>
    <row r="719" spans="1:10" ht="15">
      <c r="A719" s="194">
        <v>711</v>
      </c>
      <c r="B719" s="509">
        <v>41085</v>
      </c>
      <c r="C719" s="200" t="s">
        <v>1905</v>
      </c>
      <c r="D719" s="322" t="s">
        <v>1906</v>
      </c>
      <c r="E719" s="198" t="s">
        <v>506</v>
      </c>
      <c r="F719" s="325">
        <v>100</v>
      </c>
      <c r="G719" s="325">
        <v>100</v>
      </c>
      <c r="H719" s="299">
        <v>0</v>
      </c>
      <c r="I719" s="325">
        <v>100</v>
      </c>
      <c r="J719" s="314"/>
    </row>
    <row r="720" spans="1:10" ht="15">
      <c r="A720" s="194">
        <v>712</v>
      </c>
      <c r="B720" s="509">
        <v>41085</v>
      </c>
      <c r="C720" s="200" t="s">
        <v>1907</v>
      </c>
      <c r="D720" s="322" t="s">
        <v>1908</v>
      </c>
      <c r="E720" s="198" t="s">
        <v>506</v>
      </c>
      <c r="F720" s="325">
        <v>100</v>
      </c>
      <c r="G720" s="325">
        <v>100</v>
      </c>
      <c r="H720" s="299">
        <v>0</v>
      </c>
      <c r="I720" s="325">
        <v>100</v>
      </c>
      <c r="J720" s="314"/>
    </row>
    <row r="721" spans="1:10" ht="15">
      <c r="A721" s="194">
        <v>713</v>
      </c>
      <c r="B721" s="509">
        <v>41085</v>
      </c>
      <c r="C721" s="200" t="s">
        <v>1909</v>
      </c>
      <c r="D721" s="322" t="s">
        <v>1910</v>
      </c>
      <c r="E721" s="198" t="s">
        <v>506</v>
      </c>
      <c r="F721" s="325">
        <v>100</v>
      </c>
      <c r="G721" s="325">
        <v>100</v>
      </c>
      <c r="H721" s="299">
        <v>0</v>
      </c>
      <c r="I721" s="325">
        <v>100</v>
      </c>
      <c r="J721" s="314"/>
    </row>
    <row r="722" spans="1:10" ht="15">
      <c r="A722" s="194">
        <v>714</v>
      </c>
      <c r="B722" s="509">
        <v>41085</v>
      </c>
      <c r="C722" s="200" t="s">
        <v>645</v>
      </c>
      <c r="D722" s="322" t="s">
        <v>1911</v>
      </c>
      <c r="E722" s="198" t="s">
        <v>506</v>
      </c>
      <c r="F722" s="325">
        <v>100</v>
      </c>
      <c r="G722" s="325">
        <v>100</v>
      </c>
      <c r="H722" s="299">
        <v>0</v>
      </c>
      <c r="I722" s="325">
        <v>100</v>
      </c>
      <c r="J722" s="314"/>
    </row>
    <row r="723" spans="1:10" ht="15">
      <c r="A723" s="194">
        <v>715</v>
      </c>
      <c r="B723" s="509">
        <v>41085</v>
      </c>
      <c r="C723" s="200" t="s">
        <v>1912</v>
      </c>
      <c r="D723" s="322" t="s">
        <v>616</v>
      </c>
      <c r="E723" s="198" t="s">
        <v>506</v>
      </c>
      <c r="F723" s="325">
        <v>125</v>
      </c>
      <c r="G723" s="325">
        <v>125</v>
      </c>
      <c r="H723" s="299">
        <v>0</v>
      </c>
      <c r="I723" s="325">
        <v>125</v>
      </c>
      <c r="J723" s="314"/>
    </row>
    <row r="724" spans="1:10" ht="15">
      <c r="A724" s="194">
        <v>716</v>
      </c>
      <c r="B724" s="509">
        <v>41085</v>
      </c>
      <c r="C724" s="200" t="s">
        <v>1913</v>
      </c>
      <c r="D724" s="322" t="s">
        <v>1914</v>
      </c>
      <c r="E724" s="198" t="s">
        <v>506</v>
      </c>
      <c r="F724" s="325">
        <v>100</v>
      </c>
      <c r="G724" s="325">
        <v>100</v>
      </c>
      <c r="H724" s="299">
        <v>0</v>
      </c>
      <c r="I724" s="325">
        <v>100</v>
      </c>
      <c r="J724" s="314"/>
    </row>
    <row r="725" spans="1:10" ht="15">
      <c r="A725" s="194">
        <v>717</v>
      </c>
      <c r="B725" s="509">
        <v>41085</v>
      </c>
      <c r="C725" s="200" t="s">
        <v>1915</v>
      </c>
      <c r="D725" s="322" t="s">
        <v>1916</v>
      </c>
      <c r="E725" s="198" t="s">
        <v>506</v>
      </c>
      <c r="F725" s="325">
        <v>100</v>
      </c>
      <c r="G725" s="325">
        <v>100</v>
      </c>
      <c r="H725" s="299">
        <v>0</v>
      </c>
      <c r="I725" s="325">
        <v>100</v>
      </c>
      <c r="J725" s="314"/>
    </row>
    <row r="726" spans="1:10" ht="15">
      <c r="A726" s="194">
        <v>718</v>
      </c>
      <c r="B726" s="509">
        <v>41085</v>
      </c>
      <c r="C726" s="200" t="s">
        <v>1917</v>
      </c>
      <c r="D726" s="322" t="s">
        <v>1918</v>
      </c>
      <c r="E726" s="198" t="s">
        <v>506</v>
      </c>
      <c r="F726" s="325">
        <v>100</v>
      </c>
      <c r="G726" s="325">
        <v>100</v>
      </c>
      <c r="H726" s="299">
        <v>0</v>
      </c>
      <c r="I726" s="325">
        <v>100</v>
      </c>
      <c r="J726" s="314"/>
    </row>
    <row r="727" spans="1:10" ht="15">
      <c r="A727" s="194">
        <v>719</v>
      </c>
      <c r="B727" s="509">
        <v>41085</v>
      </c>
      <c r="C727" s="200" t="s">
        <v>1919</v>
      </c>
      <c r="D727" s="322" t="s">
        <v>1920</v>
      </c>
      <c r="E727" s="198" t="s">
        <v>506</v>
      </c>
      <c r="F727" s="325">
        <v>125</v>
      </c>
      <c r="G727" s="325">
        <v>125</v>
      </c>
      <c r="H727" s="299">
        <v>0</v>
      </c>
      <c r="I727" s="325">
        <v>125</v>
      </c>
      <c r="J727" s="314"/>
    </row>
    <row r="728" spans="1:10" ht="15">
      <c r="A728" s="194">
        <v>720</v>
      </c>
      <c r="B728" s="509">
        <v>41085</v>
      </c>
      <c r="C728" s="200" t="s">
        <v>1921</v>
      </c>
      <c r="D728" s="322" t="s">
        <v>1922</v>
      </c>
      <c r="E728" s="198" t="s">
        <v>506</v>
      </c>
      <c r="F728" s="325">
        <v>100</v>
      </c>
      <c r="G728" s="325">
        <v>100</v>
      </c>
      <c r="H728" s="299">
        <v>0</v>
      </c>
      <c r="I728" s="325">
        <v>100</v>
      </c>
      <c r="J728" s="314"/>
    </row>
    <row r="729" spans="1:10" ht="15">
      <c r="A729" s="194">
        <v>721</v>
      </c>
      <c r="B729" s="509">
        <v>41085</v>
      </c>
      <c r="C729" s="200" t="s">
        <v>1923</v>
      </c>
      <c r="D729" s="322" t="s">
        <v>1924</v>
      </c>
      <c r="E729" s="198" t="s">
        <v>506</v>
      </c>
      <c r="F729" s="325">
        <v>100</v>
      </c>
      <c r="G729" s="325">
        <v>100</v>
      </c>
      <c r="H729" s="299">
        <v>0</v>
      </c>
      <c r="I729" s="325">
        <v>100</v>
      </c>
      <c r="J729" s="314"/>
    </row>
    <row r="730" spans="1:10" ht="15">
      <c r="A730" s="194">
        <v>722</v>
      </c>
      <c r="B730" s="509">
        <v>41085</v>
      </c>
      <c r="C730" s="200" t="s">
        <v>643</v>
      </c>
      <c r="D730" s="322" t="s">
        <v>644</v>
      </c>
      <c r="E730" s="198" t="s">
        <v>506</v>
      </c>
      <c r="F730" s="325">
        <v>162.5</v>
      </c>
      <c r="G730" s="325">
        <v>162.5</v>
      </c>
      <c r="H730" s="299">
        <v>0</v>
      </c>
      <c r="I730" s="325">
        <v>162.5</v>
      </c>
      <c r="J730" s="314"/>
    </row>
    <row r="731" spans="1:10" ht="15">
      <c r="A731" s="194">
        <v>723</v>
      </c>
      <c r="B731" s="509">
        <v>41085</v>
      </c>
      <c r="C731" s="200" t="s">
        <v>651</v>
      </c>
      <c r="D731" s="322" t="s">
        <v>652</v>
      </c>
      <c r="E731" s="198" t="s">
        <v>506</v>
      </c>
      <c r="F731" s="325">
        <v>100</v>
      </c>
      <c r="G731" s="325">
        <v>100</v>
      </c>
      <c r="H731" s="299">
        <v>0</v>
      </c>
      <c r="I731" s="325">
        <v>100</v>
      </c>
      <c r="J731" s="314"/>
    </row>
    <row r="732" spans="1:10" ht="15">
      <c r="A732" s="194">
        <v>724</v>
      </c>
      <c r="B732" s="509">
        <v>41085</v>
      </c>
      <c r="C732" s="200" t="s">
        <v>1925</v>
      </c>
      <c r="D732" s="322" t="s">
        <v>1926</v>
      </c>
      <c r="E732" s="198" t="s">
        <v>506</v>
      </c>
      <c r="F732" s="325">
        <v>100</v>
      </c>
      <c r="G732" s="325">
        <v>100</v>
      </c>
      <c r="H732" s="299">
        <v>0</v>
      </c>
      <c r="I732" s="325">
        <v>100</v>
      </c>
      <c r="J732" s="314"/>
    </row>
    <row r="733" spans="1:10" ht="15">
      <c r="A733" s="194">
        <v>725</v>
      </c>
      <c r="B733" s="509">
        <v>41085</v>
      </c>
      <c r="C733" s="200" t="s">
        <v>1927</v>
      </c>
      <c r="D733" s="322" t="s">
        <v>1928</v>
      </c>
      <c r="E733" s="198" t="s">
        <v>506</v>
      </c>
      <c r="F733" s="325">
        <v>125</v>
      </c>
      <c r="G733" s="325">
        <v>125</v>
      </c>
      <c r="H733" s="299">
        <v>0</v>
      </c>
      <c r="I733" s="325">
        <v>125</v>
      </c>
      <c r="J733" s="314"/>
    </row>
    <row r="734" spans="1:10" ht="15">
      <c r="A734" s="194">
        <v>726</v>
      </c>
      <c r="B734" s="509">
        <v>41085</v>
      </c>
      <c r="C734" s="200" t="s">
        <v>1929</v>
      </c>
      <c r="D734" s="322" t="s">
        <v>1930</v>
      </c>
      <c r="E734" s="198" t="s">
        <v>506</v>
      </c>
      <c r="F734" s="325">
        <v>100</v>
      </c>
      <c r="G734" s="325">
        <v>100</v>
      </c>
      <c r="H734" s="299">
        <v>0</v>
      </c>
      <c r="I734" s="325">
        <v>100</v>
      </c>
      <c r="J734" s="314"/>
    </row>
    <row r="735" spans="1:10" ht="15">
      <c r="A735" s="194">
        <v>727</v>
      </c>
      <c r="B735" s="509">
        <v>41085</v>
      </c>
      <c r="C735" s="200" t="s">
        <v>1931</v>
      </c>
      <c r="D735" s="322" t="s">
        <v>1932</v>
      </c>
      <c r="E735" s="198" t="s">
        <v>506</v>
      </c>
      <c r="F735" s="325">
        <v>100</v>
      </c>
      <c r="G735" s="325">
        <v>100</v>
      </c>
      <c r="H735" s="299">
        <v>0</v>
      </c>
      <c r="I735" s="325">
        <v>100</v>
      </c>
      <c r="J735" s="314"/>
    </row>
    <row r="736" spans="1:10" ht="15">
      <c r="A736" s="194">
        <v>728</v>
      </c>
      <c r="B736" s="509">
        <v>41085</v>
      </c>
      <c r="C736" s="200" t="s">
        <v>1933</v>
      </c>
      <c r="D736" s="322" t="s">
        <v>1934</v>
      </c>
      <c r="E736" s="198" t="s">
        <v>506</v>
      </c>
      <c r="F736" s="325">
        <v>125</v>
      </c>
      <c r="G736" s="325">
        <v>125</v>
      </c>
      <c r="H736" s="299">
        <v>0</v>
      </c>
      <c r="I736" s="325">
        <v>125</v>
      </c>
      <c r="J736" s="314"/>
    </row>
    <row r="737" spans="1:10" ht="15">
      <c r="A737" s="194">
        <v>729</v>
      </c>
      <c r="B737" s="509">
        <v>41085</v>
      </c>
      <c r="C737" s="200" t="s">
        <v>1935</v>
      </c>
      <c r="D737" s="322" t="s">
        <v>1936</v>
      </c>
      <c r="E737" s="198" t="s">
        <v>506</v>
      </c>
      <c r="F737" s="325">
        <v>100</v>
      </c>
      <c r="G737" s="325">
        <v>100</v>
      </c>
      <c r="H737" s="299">
        <v>0</v>
      </c>
      <c r="I737" s="325">
        <v>100</v>
      </c>
      <c r="J737" s="314"/>
    </row>
    <row r="738" spans="1:10" ht="15">
      <c r="A738" s="194">
        <v>730</v>
      </c>
      <c r="B738" s="509">
        <v>41085</v>
      </c>
      <c r="C738" s="200" t="s">
        <v>1937</v>
      </c>
      <c r="D738" s="322" t="s">
        <v>1938</v>
      </c>
      <c r="E738" s="198" t="s">
        <v>506</v>
      </c>
      <c r="F738" s="325">
        <v>100</v>
      </c>
      <c r="G738" s="325">
        <v>100</v>
      </c>
      <c r="H738" s="299">
        <v>0</v>
      </c>
      <c r="I738" s="325">
        <v>100</v>
      </c>
      <c r="J738" s="314"/>
    </row>
    <row r="739" spans="1:10" ht="15">
      <c r="A739" s="194">
        <v>731</v>
      </c>
      <c r="B739" s="509">
        <v>41085</v>
      </c>
      <c r="C739" s="200" t="s">
        <v>1939</v>
      </c>
      <c r="D739" s="322" t="s">
        <v>1940</v>
      </c>
      <c r="E739" s="198" t="s">
        <v>506</v>
      </c>
      <c r="F739" s="325">
        <v>125</v>
      </c>
      <c r="G739" s="325">
        <v>125</v>
      </c>
      <c r="H739" s="299">
        <v>0</v>
      </c>
      <c r="I739" s="325">
        <v>125</v>
      </c>
      <c r="J739" s="314"/>
    </row>
    <row r="740" spans="1:10" ht="15">
      <c r="A740" s="194">
        <v>732</v>
      </c>
      <c r="B740" s="509">
        <v>41085</v>
      </c>
      <c r="C740" s="200" t="s">
        <v>1941</v>
      </c>
      <c r="D740" s="322" t="s">
        <v>1942</v>
      </c>
      <c r="E740" s="198" t="s">
        <v>506</v>
      </c>
      <c r="F740" s="325">
        <v>162.5</v>
      </c>
      <c r="G740" s="325">
        <v>162.5</v>
      </c>
      <c r="H740" s="299">
        <v>0</v>
      </c>
      <c r="I740" s="325">
        <v>162.5</v>
      </c>
      <c r="J740" s="314"/>
    </row>
    <row r="741" spans="1:10" ht="15">
      <c r="A741" s="194">
        <v>733</v>
      </c>
      <c r="B741" s="509">
        <v>41085</v>
      </c>
      <c r="C741" s="200" t="s">
        <v>1943</v>
      </c>
      <c r="D741" s="322" t="s">
        <v>1944</v>
      </c>
      <c r="E741" s="198" t="s">
        <v>506</v>
      </c>
      <c r="F741" s="325">
        <v>162.5</v>
      </c>
      <c r="G741" s="325">
        <v>162.5</v>
      </c>
      <c r="H741" s="299">
        <v>0</v>
      </c>
      <c r="I741" s="325">
        <v>162.5</v>
      </c>
      <c r="J741" s="314"/>
    </row>
    <row r="742" spans="1:10" ht="15">
      <c r="A742" s="194">
        <v>734</v>
      </c>
      <c r="B742" s="509">
        <v>41085</v>
      </c>
      <c r="C742" s="200" t="s">
        <v>1945</v>
      </c>
      <c r="D742" s="322" t="s">
        <v>1946</v>
      </c>
      <c r="E742" s="198" t="s">
        <v>506</v>
      </c>
      <c r="F742" s="325">
        <v>162.5</v>
      </c>
      <c r="G742" s="325">
        <v>162.5</v>
      </c>
      <c r="H742" s="299">
        <v>0</v>
      </c>
      <c r="I742" s="325">
        <v>162.5</v>
      </c>
      <c r="J742" s="314"/>
    </row>
    <row r="743" spans="1:10" ht="15">
      <c r="A743" s="194">
        <v>735</v>
      </c>
      <c r="B743" s="509">
        <v>41085</v>
      </c>
      <c r="C743" s="200" t="s">
        <v>1947</v>
      </c>
      <c r="D743" s="322" t="s">
        <v>1948</v>
      </c>
      <c r="E743" s="198" t="s">
        <v>506</v>
      </c>
      <c r="F743" s="325">
        <v>125</v>
      </c>
      <c r="G743" s="325">
        <v>125</v>
      </c>
      <c r="H743" s="299">
        <v>0</v>
      </c>
      <c r="I743" s="325">
        <v>125</v>
      </c>
      <c r="J743" s="314"/>
    </row>
    <row r="744" spans="1:10" ht="15">
      <c r="A744" s="194">
        <v>736</v>
      </c>
      <c r="B744" s="509">
        <v>41085</v>
      </c>
      <c r="C744" s="200" t="s">
        <v>1949</v>
      </c>
      <c r="D744" s="322" t="s">
        <v>1950</v>
      </c>
      <c r="E744" s="198" t="s">
        <v>506</v>
      </c>
      <c r="F744" s="325">
        <v>162.5</v>
      </c>
      <c r="G744" s="325">
        <v>162.5</v>
      </c>
      <c r="H744" s="299">
        <v>0</v>
      </c>
      <c r="I744" s="325">
        <v>162.5</v>
      </c>
      <c r="J744" s="314"/>
    </row>
    <row r="745" spans="1:10" ht="15">
      <c r="A745" s="194">
        <v>737</v>
      </c>
      <c r="B745" s="509">
        <v>41085</v>
      </c>
      <c r="C745" s="200" t="s">
        <v>1951</v>
      </c>
      <c r="D745" s="322" t="s">
        <v>1952</v>
      </c>
      <c r="E745" s="198" t="s">
        <v>506</v>
      </c>
      <c r="F745" s="325">
        <v>162.5</v>
      </c>
      <c r="G745" s="325">
        <v>162.5</v>
      </c>
      <c r="H745" s="299">
        <v>0</v>
      </c>
      <c r="I745" s="325">
        <v>162.5</v>
      </c>
      <c r="J745" s="314"/>
    </row>
    <row r="746" spans="1:10" ht="15">
      <c r="A746" s="194">
        <v>738</v>
      </c>
      <c r="B746" s="509">
        <v>41085</v>
      </c>
      <c r="C746" s="200" t="s">
        <v>1953</v>
      </c>
      <c r="D746" s="322" t="s">
        <v>1954</v>
      </c>
      <c r="E746" s="198" t="s">
        <v>506</v>
      </c>
      <c r="F746" s="325">
        <v>125</v>
      </c>
      <c r="G746" s="325">
        <v>125</v>
      </c>
      <c r="H746" s="299">
        <v>0</v>
      </c>
      <c r="I746" s="325">
        <v>125</v>
      </c>
      <c r="J746" s="314"/>
    </row>
    <row r="747" spans="1:10" ht="15">
      <c r="A747" s="194">
        <v>739</v>
      </c>
      <c r="B747" s="509">
        <v>41085</v>
      </c>
      <c r="C747" s="200" t="s">
        <v>1955</v>
      </c>
      <c r="D747" s="322" t="s">
        <v>1956</v>
      </c>
      <c r="E747" s="198" t="s">
        <v>506</v>
      </c>
      <c r="F747" s="325">
        <v>162.5</v>
      </c>
      <c r="G747" s="325">
        <v>162.5</v>
      </c>
      <c r="H747" s="299">
        <v>0</v>
      </c>
      <c r="I747" s="325">
        <v>162.5</v>
      </c>
      <c r="J747" s="314"/>
    </row>
    <row r="748" spans="1:10" ht="15">
      <c r="A748" s="194">
        <v>740</v>
      </c>
      <c r="B748" s="509">
        <v>41085</v>
      </c>
      <c r="C748" s="200" t="s">
        <v>1957</v>
      </c>
      <c r="D748" s="322" t="s">
        <v>1958</v>
      </c>
      <c r="E748" s="198" t="s">
        <v>506</v>
      </c>
      <c r="F748" s="325">
        <v>162.5</v>
      </c>
      <c r="G748" s="325">
        <v>162.5</v>
      </c>
      <c r="H748" s="299">
        <v>0</v>
      </c>
      <c r="I748" s="325">
        <v>162.5</v>
      </c>
      <c r="J748" s="314"/>
    </row>
    <row r="749" spans="1:10" ht="15">
      <c r="A749" s="194">
        <v>741</v>
      </c>
      <c r="B749" s="509">
        <v>41085</v>
      </c>
      <c r="C749" s="200" t="s">
        <v>1959</v>
      </c>
      <c r="D749" s="322" t="s">
        <v>1960</v>
      </c>
      <c r="E749" s="198" t="s">
        <v>506</v>
      </c>
      <c r="F749" s="325">
        <v>162.5</v>
      </c>
      <c r="G749" s="325">
        <v>162.5</v>
      </c>
      <c r="H749" s="299">
        <v>0</v>
      </c>
      <c r="I749" s="325">
        <v>162.5</v>
      </c>
      <c r="J749" s="314"/>
    </row>
    <row r="750" spans="1:10" ht="15">
      <c r="A750" s="194">
        <v>742</v>
      </c>
      <c r="B750" s="509">
        <v>41085</v>
      </c>
      <c r="C750" s="200" t="s">
        <v>1961</v>
      </c>
      <c r="D750" s="322" t="s">
        <v>1962</v>
      </c>
      <c r="E750" s="198" t="s">
        <v>506</v>
      </c>
      <c r="F750" s="325">
        <v>162.5</v>
      </c>
      <c r="G750" s="325">
        <v>162.5</v>
      </c>
      <c r="H750" s="299">
        <v>0</v>
      </c>
      <c r="I750" s="325">
        <v>162.5</v>
      </c>
      <c r="J750" s="314"/>
    </row>
    <row r="751" spans="1:10" ht="15">
      <c r="A751" s="194">
        <v>743</v>
      </c>
      <c r="B751" s="509">
        <v>41085</v>
      </c>
      <c r="C751" s="200" t="s">
        <v>1963</v>
      </c>
      <c r="D751" s="322" t="s">
        <v>1964</v>
      </c>
      <c r="E751" s="198" t="s">
        <v>506</v>
      </c>
      <c r="F751" s="325">
        <v>162.5</v>
      </c>
      <c r="G751" s="325">
        <v>162.5</v>
      </c>
      <c r="H751" s="299">
        <v>0</v>
      </c>
      <c r="I751" s="325">
        <v>162.5</v>
      </c>
      <c r="J751" s="314"/>
    </row>
    <row r="752" spans="1:10" ht="15">
      <c r="A752" s="194">
        <v>744</v>
      </c>
      <c r="B752" s="509">
        <v>41085</v>
      </c>
      <c r="C752" s="200" t="s">
        <v>1965</v>
      </c>
      <c r="D752" s="322" t="s">
        <v>1966</v>
      </c>
      <c r="E752" s="198" t="s">
        <v>506</v>
      </c>
      <c r="F752" s="325">
        <v>100</v>
      </c>
      <c r="G752" s="325">
        <v>100</v>
      </c>
      <c r="H752" s="299">
        <v>0</v>
      </c>
      <c r="I752" s="325">
        <v>100</v>
      </c>
      <c r="J752" s="314"/>
    </row>
    <row r="753" spans="1:10" ht="15">
      <c r="A753" s="194">
        <v>745</v>
      </c>
      <c r="B753" s="509">
        <v>41085</v>
      </c>
      <c r="C753" s="200" t="s">
        <v>1967</v>
      </c>
      <c r="D753" s="322" t="s">
        <v>1968</v>
      </c>
      <c r="E753" s="198" t="s">
        <v>506</v>
      </c>
      <c r="F753" s="325">
        <v>125</v>
      </c>
      <c r="G753" s="325">
        <v>125</v>
      </c>
      <c r="H753" s="299">
        <v>0</v>
      </c>
      <c r="I753" s="325">
        <v>125</v>
      </c>
      <c r="J753" s="314"/>
    </row>
    <row r="754" spans="1:10" ht="15">
      <c r="A754" s="194">
        <v>746</v>
      </c>
      <c r="B754" s="509">
        <v>41085</v>
      </c>
      <c r="C754" s="200" t="s">
        <v>1969</v>
      </c>
      <c r="D754" s="322" t="s">
        <v>1970</v>
      </c>
      <c r="E754" s="198" t="s">
        <v>506</v>
      </c>
      <c r="F754" s="325">
        <v>162.5</v>
      </c>
      <c r="G754" s="325">
        <v>162.5</v>
      </c>
      <c r="H754" s="299">
        <v>0</v>
      </c>
      <c r="I754" s="325">
        <v>162.5</v>
      </c>
      <c r="J754" s="314"/>
    </row>
    <row r="755" spans="1:10" ht="15">
      <c r="A755" s="194">
        <v>747</v>
      </c>
      <c r="B755" s="509">
        <v>41085</v>
      </c>
      <c r="C755" s="200" t="s">
        <v>1971</v>
      </c>
      <c r="D755" s="322" t="s">
        <v>1972</v>
      </c>
      <c r="E755" s="198" t="s">
        <v>506</v>
      </c>
      <c r="F755" s="325">
        <v>162.5</v>
      </c>
      <c r="G755" s="325">
        <v>162.5</v>
      </c>
      <c r="H755" s="299">
        <v>0</v>
      </c>
      <c r="I755" s="325">
        <v>162.5</v>
      </c>
      <c r="J755" s="314"/>
    </row>
    <row r="756" spans="1:10" ht="15">
      <c r="A756" s="194">
        <v>748</v>
      </c>
      <c r="B756" s="509">
        <v>41085</v>
      </c>
      <c r="C756" s="200" t="s">
        <v>1973</v>
      </c>
      <c r="D756" s="322" t="s">
        <v>1974</v>
      </c>
      <c r="E756" s="198" t="s">
        <v>506</v>
      </c>
      <c r="F756" s="325">
        <v>162.5</v>
      </c>
      <c r="G756" s="325">
        <v>162.5</v>
      </c>
      <c r="H756" s="299">
        <v>0</v>
      </c>
      <c r="I756" s="325">
        <v>162.5</v>
      </c>
      <c r="J756" s="314"/>
    </row>
    <row r="757" spans="1:10" ht="15">
      <c r="A757" s="194">
        <v>749</v>
      </c>
      <c r="B757" s="509">
        <v>41085</v>
      </c>
      <c r="C757" s="200" t="s">
        <v>1975</v>
      </c>
      <c r="D757" s="322" t="s">
        <v>1976</v>
      </c>
      <c r="E757" s="198" t="s">
        <v>506</v>
      </c>
      <c r="F757" s="325">
        <v>162.5</v>
      </c>
      <c r="G757" s="325">
        <v>162.5</v>
      </c>
      <c r="H757" s="299">
        <v>0</v>
      </c>
      <c r="I757" s="325">
        <v>162.5</v>
      </c>
      <c r="J757" s="314"/>
    </row>
    <row r="758" spans="1:10" ht="15">
      <c r="A758" s="194">
        <v>750</v>
      </c>
      <c r="B758" s="509">
        <v>41085</v>
      </c>
      <c r="C758" s="200" t="s">
        <v>1977</v>
      </c>
      <c r="D758" s="322" t="s">
        <v>1978</v>
      </c>
      <c r="E758" s="198" t="s">
        <v>506</v>
      </c>
      <c r="F758" s="325">
        <v>162.5</v>
      </c>
      <c r="G758" s="325">
        <v>162.5</v>
      </c>
      <c r="H758" s="299">
        <v>0</v>
      </c>
      <c r="I758" s="325">
        <v>162.5</v>
      </c>
      <c r="J758" s="314"/>
    </row>
    <row r="759" spans="1:10" ht="15">
      <c r="A759" s="194">
        <v>751</v>
      </c>
      <c r="B759" s="509">
        <v>41085</v>
      </c>
      <c r="C759" s="200" t="s">
        <v>1979</v>
      </c>
      <c r="D759" s="322" t="s">
        <v>1980</v>
      </c>
      <c r="E759" s="198" t="s">
        <v>506</v>
      </c>
      <c r="F759" s="325">
        <v>162.5</v>
      </c>
      <c r="G759" s="325">
        <v>162.5</v>
      </c>
      <c r="H759" s="299">
        <v>0</v>
      </c>
      <c r="I759" s="325">
        <v>162.5</v>
      </c>
      <c r="J759" s="314"/>
    </row>
    <row r="760" spans="1:10" ht="15">
      <c r="A760" s="194">
        <v>752</v>
      </c>
      <c r="B760" s="509">
        <v>41085</v>
      </c>
      <c r="C760" s="200" t="s">
        <v>1981</v>
      </c>
      <c r="D760" s="322" t="s">
        <v>1982</v>
      </c>
      <c r="E760" s="198" t="s">
        <v>506</v>
      </c>
      <c r="F760" s="325">
        <v>100</v>
      </c>
      <c r="G760" s="325">
        <v>100</v>
      </c>
      <c r="H760" s="299">
        <v>0</v>
      </c>
      <c r="I760" s="325">
        <v>100</v>
      </c>
      <c r="J760" s="314"/>
    </row>
    <row r="761" spans="1:10" ht="15">
      <c r="A761" s="194">
        <v>753</v>
      </c>
      <c r="B761" s="509">
        <v>41085</v>
      </c>
      <c r="C761" s="200" t="s">
        <v>1983</v>
      </c>
      <c r="D761" s="322" t="s">
        <v>1984</v>
      </c>
      <c r="E761" s="198" t="s">
        <v>506</v>
      </c>
      <c r="F761" s="325">
        <v>162.5</v>
      </c>
      <c r="G761" s="325">
        <v>162.5</v>
      </c>
      <c r="H761" s="299">
        <v>0</v>
      </c>
      <c r="I761" s="325">
        <v>162.5</v>
      </c>
      <c r="J761" s="314"/>
    </row>
    <row r="762" spans="1:10" ht="15">
      <c r="A762" s="194">
        <v>754</v>
      </c>
      <c r="B762" s="509">
        <v>41083</v>
      </c>
      <c r="C762" s="200" t="s">
        <v>1985</v>
      </c>
      <c r="D762" s="322" t="s">
        <v>1986</v>
      </c>
      <c r="E762" s="198" t="s">
        <v>506</v>
      </c>
      <c r="F762" s="325">
        <v>100</v>
      </c>
      <c r="G762" s="325">
        <v>100</v>
      </c>
      <c r="H762" s="299">
        <v>0</v>
      </c>
      <c r="I762" s="325">
        <v>100</v>
      </c>
      <c r="J762" s="314"/>
    </row>
    <row r="763" spans="1:10" ht="15">
      <c r="A763" s="194">
        <v>755</v>
      </c>
      <c r="B763" s="509">
        <v>41083</v>
      </c>
      <c r="C763" s="200" t="s">
        <v>1987</v>
      </c>
      <c r="D763" s="322" t="s">
        <v>1988</v>
      </c>
      <c r="E763" s="198" t="s">
        <v>506</v>
      </c>
      <c r="F763" s="325">
        <v>100</v>
      </c>
      <c r="G763" s="325">
        <v>100</v>
      </c>
      <c r="H763" s="299">
        <v>0</v>
      </c>
      <c r="I763" s="325">
        <v>100</v>
      </c>
      <c r="J763" s="314"/>
    </row>
    <row r="764" spans="1:10" ht="15">
      <c r="A764" s="194">
        <v>756</v>
      </c>
      <c r="B764" s="509">
        <v>41083</v>
      </c>
      <c r="C764" s="200" t="s">
        <v>1989</v>
      </c>
      <c r="D764" s="322" t="s">
        <v>1990</v>
      </c>
      <c r="E764" s="198" t="s">
        <v>506</v>
      </c>
      <c r="F764" s="325">
        <v>125</v>
      </c>
      <c r="G764" s="325">
        <v>125</v>
      </c>
      <c r="H764" s="299">
        <v>0</v>
      </c>
      <c r="I764" s="325">
        <v>125</v>
      </c>
      <c r="J764" s="314"/>
    </row>
    <row r="765" spans="1:10" ht="15">
      <c r="A765" s="194">
        <v>757</v>
      </c>
      <c r="B765" s="509">
        <v>41083</v>
      </c>
      <c r="C765" s="200" t="s">
        <v>1991</v>
      </c>
      <c r="D765" s="322" t="s">
        <v>1992</v>
      </c>
      <c r="E765" s="198" t="s">
        <v>506</v>
      </c>
      <c r="F765" s="325">
        <v>125</v>
      </c>
      <c r="G765" s="325">
        <v>125</v>
      </c>
      <c r="H765" s="299">
        <v>0</v>
      </c>
      <c r="I765" s="325">
        <v>125</v>
      </c>
      <c r="J765" s="314"/>
    </row>
    <row r="766" spans="1:10" ht="15">
      <c r="A766" s="194">
        <v>758</v>
      </c>
      <c r="B766" s="509">
        <v>41083</v>
      </c>
      <c r="C766" s="200" t="s">
        <v>1993</v>
      </c>
      <c r="D766" s="322" t="s">
        <v>1994</v>
      </c>
      <c r="E766" s="198" t="s">
        <v>506</v>
      </c>
      <c r="F766" s="325">
        <v>125</v>
      </c>
      <c r="G766" s="325">
        <v>125</v>
      </c>
      <c r="H766" s="299">
        <v>0</v>
      </c>
      <c r="I766" s="325">
        <v>125</v>
      </c>
      <c r="J766" s="314"/>
    </row>
    <row r="767" spans="1:10" ht="15">
      <c r="A767" s="194">
        <v>759</v>
      </c>
      <c r="B767" s="509">
        <v>41083</v>
      </c>
      <c r="C767" s="200" t="s">
        <v>1995</v>
      </c>
      <c r="D767" s="322" t="s">
        <v>1996</v>
      </c>
      <c r="E767" s="198" t="s">
        <v>506</v>
      </c>
      <c r="F767" s="325">
        <v>125</v>
      </c>
      <c r="G767" s="325">
        <v>125</v>
      </c>
      <c r="H767" s="299">
        <v>0</v>
      </c>
      <c r="I767" s="325">
        <v>125</v>
      </c>
      <c r="J767" s="314"/>
    </row>
    <row r="768" spans="1:10" ht="15">
      <c r="A768" s="194">
        <v>760</v>
      </c>
      <c r="B768" s="509">
        <v>41083</v>
      </c>
      <c r="C768" s="200" t="s">
        <v>1997</v>
      </c>
      <c r="D768" s="322" t="s">
        <v>1998</v>
      </c>
      <c r="E768" s="198" t="s">
        <v>506</v>
      </c>
      <c r="F768" s="325">
        <v>125</v>
      </c>
      <c r="G768" s="325">
        <v>125</v>
      </c>
      <c r="H768" s="299">
        <v>0</v>
      </c>
      <c r="I768" s="325">
        <v>125</v>
      </c>
      <c r="J768" s="314"/>
    </row>
    <row r="769" spans="1:10" ht="15">
      <c r="A769" s="194">
        <v>761</v>
      </c>
      <c r="B769" s="509">
        <v>41083</v>
      </c>
      <c r="C769" s="200" t="s">
        <v>1999</v>
      </c>
      <c r="D769" s="322" t="s">
        <v>2000</v>
      </c>
      <c r="E769" s="198" t="s">
        <v>506</v>
      </c>
      <c r="F769" s="325">
        <v>100</v>
      </c>
      <c r="G769" s="325">
        <v>100</v>
      </c>
      <c r="H769" s="299">
        <v>0</v>
      </c>
      <c r="I769" s="325">
        <v>100</v>
      </c>
      <c r="J769" s="314"/>
    </row>
    <row r="770" spans="1:10" ht="15">
      <c r="A770" s="194">
        <v>762</v>
      </c>
      <c r="B770" s="509">
        <v>41083</v>
      </c>
      <c r="C770" s="200" t="s">
        <v>2001</v>
      </c>
      <c r="D770" s="322" t="s">
        <v>2002</v>
      </c>
      <c r="E770" s="198" t="s">
        <v>506</v>
      </c>
      <c r="F770" s="325">
        <v>100</v>
      </c>
      <c r="G770" s="325">
        <v>100</v>
      </c>
      <c r="H770" s="299">
        <v>0</v>
      </c>
      <c r="I770" s="325">
        <v>100</v>
      </c>
      <c r="J770" s="314"/>
    </row>
    <row r="771" spans="1:10" ht="15">
      <c r="A771" s="194">
        <v>763</v>
      </c>
      <c r="B771" s="509">
        <v>41083</v>
      </c>
      <c r="C771" s="200" t="s">
        <v>2003</v>
      </c>
      <c r="D771" s="322" t="s">
        <v>2004</v>
      </c>
      <c r="E771" s="198" t="s">
        <v>506</v>
      </c>
      <c r="F771" s="325">
        <v>100</v>
      </c>
      <c r="G771" s="325">
        <v>100</v>
      </c>
      <c r="H771" s="299">
        <v>0</v>
      </c>
      <c r="I771" s="325">
        <v>100</v>
      </c>
      <c r="J771" s="314"/>
    </row>
    <row r="772" spans="1:10" ht="15">
      <c r="A772" s="194">
        <v>764</v>
      </c>
      <c r="B772" s="509">
        <v>41083</v>
      </c>
      <c r="C772" s="200" t="s">
        <v>2005</v>
      </c>
      <c r="D772" s="322" t="s">
        <v>2006</v>
      </c>
      <c r="E772" s="198" t="s">
        <v>506</v>
      </c>
      <c r="F772" s="325">
        <v>100</v>
      </c>
      <c r="G772" s="325">
        <v>100</v>
      </c>
      <c r="H772" s="299">
        <v>0</v>
      </c>
      <c r="I772" s="325">
        <v>100</v>
      </c>
      <c r="J772" s="314"/>
    </row>
    <row r="773" spans="1:10" ht="15">
      <c r="A773" s="194">
        <v>765</v>
      </c>
      <c r="B773" s="509">
        <v>41083</v>
      </c>
      <c r="C773" s="200" t="s">
        <v>2007</v>
      </c>
      <c r="D773" s="322" t="s">
        <v>2008</v>
      </c>
      <c r="E773" s="198" t="s">
        <v>506</v>
      </c>
      <c r="F773" s="325">
        <v>125</v>
      </c>
      <c r="G773" s="325">
        <v>125</v>
      </c>
      <c r="H773" s="299">
        <v>0</v>
      </c>
      <c r="I773" s="325">
        <v>125</v>
      </c>
      <c r="J773" s="314"/>
    </row>
    <row r="774" spans="1:10" ht="15">
      <c r="A774" s="194">
        <v>766</v>
      </c>
      <c r="B774" s="509">
        <v>41083</v>
      </c>
      <c r="C774" s="200" t="s">
        <v>2009</v>
      </c>
      <c r="D774" s="322" t="s">
        <v>2010</v>
      </c>
      <c r="E774" s="198" t="s">
        <v>506</v>
      </c>
      <c r="F774" s="325">
        <v>125</v>
      </c>
      <c r="G774" s="325">
        <v>125</v>
      </c>
      <c r="H774" s="299">
        <v>0</v>
      </c>
      <c r="I774" s="325">
        <v>125</v>
      </c>
      <c r="J774" s="314"/>
    </row>
    <row r="775" spans="1:10" ht="15">
      <c r="A775" s="194">
        <v>767</v>
      </c>
      <c r="B775" s="509">
        <v>41083</v>
      </c>
      <c r="C775" s="200" t="s">
        <v>2011</v>
      </c>
      <c r="D775" s="322" t="s">
        <v>2012</v>
      </c>
      <c r="E775" s="198" t="s">
        <v>506</v>
      </c>
      <c r="F775" s="325">
        <v>162.5</v>
      </c>
      <c r="G775" s="325">
        <v>162.5</v>
      </c>
      <c r="H775" s="299">
        <v>0</v>
      </c>
      <c r="I775" s="325">
        <v>162.5</v>
      </c>
      <c r="J775" s="314"/>
    </row>
    <row r="776" spans="1:10" ht="15">
      <c r="A776" s="194">
        <v>768</v>
      </c>
      <c r="B776" s="509">
        <v>41083</v>
      </c>
      <c r="C776" s="200" t="s">
        <v>2013</v>
      </c>
      <c r="D776" s="322" t="s">
        <v>2014</v>
      </c>
      <c r="E776" s="198" t="s">
        <v>506</v>
      </c>
      <c r="F776" s="325">
        <v>125</v>
      </c>
      <c r="G776" s="325">
        <v>125</v>
      </c>
      <c r="H776" s="299">
        <v>0</v>
      </c>
      <c r="I776" s="325">
        <v>125</v>
      </c>
      <c r="J776" s="314"/>
    </row>
    <row r="777" spans="1:10" ht="15">
      <c r="A777" s="194">
        <v>769</v>
      </c>
      <c r="B777" s="509">
        <v>41083</v>
      </c>
      <c r="C777" s="200" t="s">
        <v>2015</v>
      </c>
      <c r="D777" s="322" t="s">
        <v>2016</v>
      </c>
      <c r="E777" s="198" t="s">
        <v>506</v>
      </c>
      <c r="F777" s="325">
        <v>125</v>
      </c>
      <c r="G777" s="325">
        <v>125</v>
      </c>
      <c r="H777" s="299">
        <v>0</v>
      </c>
      <c r="I777" s="325">
        <v>125</v>
      </c>
      <c r="J777" s="314"/>
    </row>
    <row r="778" spans="1:10" ht="15">
      <c r="A778" s="194">
        <v>770</v>
      </c>
      <c r="B778" s="509">
        <v>41083</v>
      </c>
      <c r="C778" s="200" t="s">
        <v>2017</v>
      </c>
      <c r="D778" s="322" t="s">
        <v>2018</v>
      </c>
      <c r="E778" s="198" t="s">
        <v>506</v>
      </c>
      <c r="F778" s="325">
        <v>162.5</v>
      </c>
      <c r="G778" s="325">
        <v>162.5</v>
      </c>
      <c r="H778" s="299">
        <v>0</v>
      </c>
      <c r="I778" s="325">
        <v>162.5</v>
      </c>
      <c r="J778" s="314"/>
    </row>
    <row r="779" spans="1:10" ht="15">
      <c r="A779" s="194">
        <v>771</v>
      </c>
      <c r="B779" s="509">
        <v>41083</v>
      </c>
      <c r="C779" s="200" t="s">
        <v>2019</v>
      </c>
      <c r="D779" s="322" t="s">
        <v>2020</v>
      </c>
      <c r="E779" s="198" t="s">
        <v>506</v>
      </c>
      <c r="F779" s="325">
        <v>162.5</v>
      </c>
      <c r="G779" s="325">
        <v>162.5</v>
      </c>
      <c r="H779" s="299">
        <v>0</v>
      </c>
      <c r="I779" s="325">
        <v>162.5</v>
      </c>
      <c r="J779" s="314"/>
    </row>
    <row r="780" spans="1:10" ht="15">
      <c r="A780" s="194">
        <v>772</v>
      </c>
      <c r="B780" s="509">
        <v>41083</v>
      </c>
      <c r="C780" s="200" t="s">
        <v>2021</v>
      </c>
      <c r="D780" s="322" t="s">
        <v>2022</v>
      </c>
      <c r="E780" s="198" t="s">
        <v>506</v>
      </c>
      <c r="F780" s="325">
        <v>125</v>
      </c>
      <c r="G780" s="325">
        <v>125</v>
      </c>
      <c r="H780" s="299">
        <v>0</v>
      </c>
      <c r="I780" s="325">
        <v>125</v>
      </c>
      <c r="J780" s="314"/>
    </row>
    <row r="781" spans="1:10" ht="15">
      <c r="A781" s="194">
        <v>773</v>
      </c>
      <c r="B781" s="509">
        <v>41083</v>
      </c>
      <c r="C781" s="200" t="s">
        <v>2023</v>
      </c>
      <c r="D781" s="322" t="s">
        <v>2024</v>
      </c>
      <c r="E781" s="198" t="s">
        <v>506</v>
      </c>
      <c r="F781" s="325">
        <v>125</v>
      </c>
      <c r="G781" s="325">
        <v>125</v>
      </c>
      <c r="H781" s="299">
        <v>0</v>
      </c>
      <c r="I781" s="325">
        <v>125</v>
      </c>
      <c r="J781" s="314"/>
    </row>
    <row r="782" spans="1:10" ht="15">
      <c r="A782" s="194">
        <v>774</v>
      </c>
      <c r="B782" s="509">
        <v>41083</v>
      </c>
      <c r="C782" s="200" t="s">
        <v>2025</v>
      </c>
      <c r="D782" s="322" t="s">
        <v>2026</v>
      </c>
      <c r="E782" s="198" t="s">
        <v>506</v>
      </c>
      <c r="F782" s="325">
        <v>125</v>
      </c>
      <c r="G782" s="325">
        <v>125</v>
      </c>
      <c r="H782" s="299">
        <v>0</v>
      </c>
      <c r="I782" s="325">
        <v>125</v>
      </c>
      <c r="J782" s="314"/>
    </row>
    <row r="783" spans="1:10" ht="15">
      <c r="A783" s="194">
        <v>775</v>
      </c>
      <c r="B783" s="509">
        <v>41083</v>
      </c>
      <c r="C783" s="200" t="s">
        <v>2027</v>
      </c>
      <c r="D783" s="322" t="s">
        <v>2028</v>
      </c>
      <c r="E783" s="198" t="s">
        <v>506</v>
      </c>
      <c r="F783" s="325">
        <v>125</v>
      </c>
      <c r="G783" s="325">
        <v>125</v>
      </c>
      <c r="H783" s="299">
        <v>0</v>
      </c>
      <c r="I783" s="325">
        <v>125</v>
      </c>
      <c r="J783" s="314"/>
    </row>
    <row r="784" spans="1:10" ht="15">
      <c r="A784" s="194">
        <v>776</v>
      </c>
      <c r="B784" s="509">
        <v>41083</v>
      </c>
      <c r="C784" s="200" t="s">
        <v>2029</v>
      </c>
      <c r="D784" s="322" t="s">
        <v>2030</v>
      </c>
      <c r="E784" s="198" t="s">
        <v>506</v>
      </c>
      <c r="F784" s="325">
        <v>125</v>
      </c>
      <c r="G784" s="325">
        <v>125</v>
      </c>
      <c r="H784" s="299">
        <v>0</v>
      </c>
      <c r="I784" s="325">
        <v>125</v>
      </c>
      <c r="J784" s="314"/>
    </row>
    <row r="785" spans="1:10" ht="15">
      <c r="A785" s="194">
        <v>777</v>
      </c>
      <c r="B785" s="509">
        <v>41083</v>
      </c>
      <c r="C785" s="200" t="s">
        <v>2031</v>
      </c>
      <c r="D785" s="322" t="s">
        <v>2032</v>
      </c>
      <c r="E785" s="198" t="s">
        <v>506</v>
      </c>
      <c r="F785" s="325">
        <v>125</v>
      </c>
      <c r="G785" s="325">
        <v>125</v>
      </c>
      <c r="H785" s="299">
        <v>0</v>
      </c>
      <c r="I785" s="325">
        <v>125</v>
      </c>
      <c r="J785" s="314"/>
    </row>
    <row r="786" spans="1:10" ht="15">
      <c r="A786" s="194">
        <v>778</v>
      </c>
      <c r="B786" s="509">
        <v>41083</v>
      </c>
      <c r="C786" s="200" t="s">
        <v>2033</v>
      </c>
      <c r="D786" s="322" t="s">
        <v>2034</v>
      </c>
      <c r="E786" s="198" t="s">
        <v>506</v>
      </c>
      <c r="F786" s="325">
        <v>125</v>
      </c>
      <c r="G786" s="325">
        <v>125</v>
      </c>
      <c r="H786" s="299">
        <v>0</v>
      </c>
      <c r="I786" s="325">
        <v>125</v>
      </c>
      <c r="J786" s="314"/>
    </row>
    <row r="787" spans="1:10" ht="15">
      <c r="A787" s="194">
        <v>779</v>
      </c>
      <c r="B787" s="509">
        <v>41083</v>
      </c>
      <c r="C787" s="200" t="s">
        <v>2035</v>
      </c>
      <c r="D787" s="322" t="s">
        <v>2036</v>
      </c>
      <c r="E787" s="198" t="s">
        <v>506</v>
      </c>
      <c r="F787" s="325">
        <v>125</v>
      </c>
      <c r="G787" s="325">
        <v>125</v>
      </c>
      <c r="H787" s="299">
        <v>0</v>
      </c>
      <c r="I787" s="325">
        <v>125</v>
      </c>
      <c r="J787" s="314"/>
    </row>
    <row r="788" spans="1:10" ht="15">
      <c r="A788" s="194">
        <v>780</v>
      </c>
      <c r="B788" s="509">
        <v>41083</v>
      </c>
      <c r="C788" s="200" t="s">
        <v>2037</v>
      </c>
      <c r="D788" s="322" t="s">
        <v>2038</v>
      </c>
      <c r="E788" s="198" t="s">
        <v>506</v>
      </c>
      <c r="F788" s="325">
        <v>125</v>
      </c>
      <c r="G788" s="325">
        <v>125</v>
      </c>
      <c r="H788" s="299">
        <v>0</v>
      </c>
      <c r="I788" s="325">
        <v>125</v>
      </c>
      <c r="J788" s="314"/>
    </row>
    <row r="789" spans="1:10" ht="15">
      <c r="A789" s="194">
        <v>781</v>
      </c>
      <c r="B789" s="509">
        <v>41083</v>
      </c>
      <c r="C789" s="200" t="s">
        <v>2039</v>
      </c>
      <c r="D789" s="322" t="s">
        <v>2040</v>
      </c>
      <c r="E789" s="198" t="s">
        <v>506</v>
      </c>
      <c r="F789" s="325">
        <v>125</v>
      </c>
      <c r="G789" s="325">
        <v>125</v>
      </c>
      <c r="H789" s="299">
        <v>0</v>
      </c>
      <c r="I789" s="325">
        <v>125</v>
      </c>
      <c r="J789" s="314"/>
    </row>
    <row r="790" spans="1:10" ht="15">
      <c r="A790" s="194">
        <v>782</v>
      </c>
      <c r="B790" s="509">
        <v>41083</v>
      </c>
      <c r="C790" s="200" t="s">
        <v>2041</v>
      </c>
      <c r="D790" s="322" t="s">
        <v>2042</v>
      </c>
      <c r="E790" s="198" t="s">
        <v>506</v>
      </c>
      <c r="F790" s="325">
        <v>125</v>
      </c>
      <c r="G790" s="325">
        <v>125</v>
      </c>
      <c r="H790" s="299">
        <v>0</v>
      </c>
      <c r="I790" s="325">
        <v>125</v>
      </c>
      <c r="J790" s="314"/>
    </row>
    <row r="791" spans="1:10" ht="15">
      <c r="A791" s="194">
        <v>783</v>
      </c>
      <c r="B791" s="509">
        <v>41083</v>
      </c>
      <c r="C791" s="200" t="s">
        <v>2043</v>
      </c>
      <c r="D791" s="322" t="s">
        <v>2044</v>
      </c>
      <c r="E791" s="198" t="s">
        <v>506</v>
      </c>
      <c r="F791" s="325">
        <v>125</v>
      </c>
      <c r="G791" s="325">
        <v>125</v>
      </c>
      <c r="H791" s="299">
        <v>0</v>
      </c>
      <c r="I791" s="325">
        <v>125</v>
      </c>
      <c r="J791" s="314"/>
    </row>
    <row r="792" spans="1:10" ht="15">
      <c r="A792" s="194">
        <v>784</v>
      </c>
      <c r="B792" s="509">
        <v>41083</v>
      </c>
      <c r="C792" s="200" t="s">
        <v>2045</v>
      </c>
      <c r="D792" s="322" t="s">
        <v>2046</v>
      </c>
      <c r="E792" s="198" t="s">
        <v>506</v>
      </c>
      <c r="F792" s="325">
        <v>125</v>
      </c>
      <c r="G792" s="325">
        <v>125</v>
      </c>
      <c r="H792" s="299">
        <v>0</v>
      </c>
      <c r="I792" s="325">
        <v>125</v>
      </c>
      <c r="J792" s="314"/>
    </row>
    <row r="793" spans="1:10" ht="15">
      <c r="A793" s="194">
        <v>785</v>
      </c>
      <c r="B793" s="509">
        <v>41083</v>
      </c>
      <c r="C793" s="200" t="s">
        <v>2047</v>
      </c>
      <c r="D793" s="322" t="s">
        <v>2048</v>
      </c>
      <c r="E793" s="198" t="s">
        <v>506</v>
      </c>
      <c r="F793" s="325">
        <v>162.5</v>
      </c>
      <c r="G793" s="325">
        <v>162.5</v>
      </c>
      <c r="H793" s="299">
        <v>0</v>
      </c>
      <c r="I793" s="325">
        <v>162.5</v>
      </c>
      <c r="J793" s="314"/>
    </row>
    <row r="794" spans="1:10" ht="15">
      <c r="A794" s="194">
        <v>786</v>
      </c>
      <c r="B794" s="509">
        <v>41083</v>
      </c>
      <c r="C794" s="200" t="s">
        <v>2049</v>
      </c>
      <c r="D794" s="322" t="s">
        <v>2050</v>
      </c>
      <c r="E794" s="198" t="s">
        <v>506</v>
      </c>
      <c r="F794" s="325">
        <v>162.5</v>
      </c>
      <c r="G794" s="325">
        <v>162.5</v>
      </c>
      <c r="H794" s="299">
        <v>0</v>
      </c>
      <c r="I794" s="325">
        <v>162.5</v>
      </c>
      <c r="J794" s="314"/>
    </row>
    <row r="795" spans="1:10" ht="15">
      <c r="A795" s="194">
        <v>787</v>
      </c>
      <c r="B795" s="509">
        <v>41083</v>
      </c>
      <c r="C795" s="200" t="s">
        <v>2051</v>
      </c>
      <c r="D795" s="322" t="s">
        <v>2052</v>
      </c>
      <c r="E795" s="198" t="s">
        <v>506</v>
      </c>
      <c r="F795" s="325">
        <v>162.5</v>
      </c>
      <c r="G795" s="325">
        <v>162.5</v>
      </c>
      <c r="H795" s="299">
        <v>0</v>
      </c>
      <c r="I795" s="325">
        <v>162.5</v>
      </c>
      <c r="J795" s="314"/>
    </row>
    <row r="796" spans="1:10" ht="15">
      <c r="A796" s="194">
        <v>788</v>
      </c>
      <c r="B796" s="509">
        <v>41083</v>
      </c>
      <c r="C796" s="200" t="s">
        <v>2053</v>
      </c>
      <c r="D796" s="322" t="s">
        <v>2054</v>
      </c>
      <c r="E796" s="198" t="s">
        <v>506</v>
      </c>
      <c r="F796" s="325">
        <v>162.5</v>
      </c>
      <c r="G796" s="325">
        <v>162.5</v>
      </c>
      <c r="H796" s="299">
        <v>0</v>
      </c>
      <c r="I796" s="325">
        <v>162.5</v>
      </c>
      <c r="J796" s="314"/>
    </row>
    <row r="797" spans="1:10" ht="15">
      <c r="A797" s="194">
        <v>789</v>
      </c>
      <c r="B797" s="509">
        <v>41083</v>
      </c>
      <c r="C797" s="200" t="s">
        <v>2055</v>
      </c>
      <c r="D797" s="322" t="s">
        <v>2056</v>
      </c>
      <c r="E797" s="198" t="s">
        <v>506</v>
      </c>
      <c r="F797" s="325">
        <v>162.5</v>
      </c>
      <c r="G797" s="325">
        <v>162.5</v>
      </c>
      <c r="H797" s="299">
        <v>0</v>
      </c>
      <c r="I797" s="325">
        <v>162.5</v>
      </c>
      <c r="J797" s="314"/>
    </row>
    <row r="798" spans="1:10" ht="15">
      <c r="A798" s="194">
        <v>790</v>
      </c>
      <c r="B798" s="509">
        <v>41083</v>
      </c>
      <c r="C798" s="200" t="s">
        <v>2057</v>
      </c>
      <c r="D798" s="322" t="s">
        <v>2058</v>
      </c>
      <c r="E798" s="198" t="s">
        <v>506</v>
      </c>
      <c r="F798" s="325">
        <v>162.5</v>
      </c>
      <c r="G798" s="325">
        <v>162.5</v>
      </c>
      <c r="H798" s="299">
        <v>0</v>
      </c>
      <c r="I798" s="325">
        <v>162.5</v>
      </c>
      <c r="J798" s="314"/>
    </row>
    <row r="799" spans="1:10" ht="15">
      <c r="A799" s="194">
        <v>791</v>
      </c>
      <c r="B799" s="509">
        <v>41083</v>
      </c>
      <c r="C799" s="200" t="s">
        <v>2059</v>
      </c>
      <c r="D799" s="322" t="s">
        <v>2060</v>
      </c>
      <c r="E799" s="198" t="s">
        <v>506</v>
      </c>
      <c r="F799" s="325">
        <v>162.5</v>
      </c>
      <c r="G799" s="325">
        <v>162.5</v>
      </c>
      <c r="H799" s="299">
        <v>0</v>
      </c>
      <c r="I799" s="325">
        <v>162.5</v>
      </c>
      <c r="J799" s="314"/>
    </row>
    <row r="800" spans="1:10" ht="15">
      <c r="A800" s="194">
        <v>792</v>
      </c>
      <c r="B800" s="509">
        <v>41083</v>
      </c>
      <c r="C800" s="200" t="s">
        <v>2061</v>
      </c>
      <c r="D800" s="322" t="s">
        <v>2062</v>
      </c>
      <c r="E800" s="198" t="s">
        <v>506</v>
      </c>
      <c r="F800" s="325">
        <v>162.5</v>
      </c>
      <c r="G800" s="325">
        <v>162.5</v>
      </c>
      <c r="H800" s="299">
        <v>0</v>
      </c>
      <c r="I800" s="325">
        <v>162.5</v>
      </c>
      <c r="J800" s="314"/>
    </row>
    <row r="801" spans="1:10" ht="15">
      <c r="A801" s="194">
        <v>793</v>
      </c>
      <c r="B801" s="509">
        <v>41083</v>
      </c>
      <c r="C801" s="200" t="s">
        <v>2063</v>
      </c>
      <c r="D801" s="322" t="s">
        <v>2064</v>
      </c>
      <c r="E801" s="198" t="s">
        <v>506</v>
      </c>
      <c r="F801" s="325">
        <v>162.5</v>
      </c>
      <c r="G801" s="325">
        <v>162.5</v>
      </c>
      <c r="H801" s="299">
        <v>0</v>
      </c>
      <c r="I801" s="325">
        <v>162.5</v>
      </c>
      <c r="J801" s="314"/>
    </row>
    <row r="802" spans="1:10" ht="15">
      <c r="A802" s="194">
        <v>794</v>
      </c>
      <c r="B802" s="509">
        <v>41083</v>
      </c>
      <c r="C802" s="200" t="s">
        <v>2065</v>
      </c>
      <c r="D802" s="322" t="s">
        <v>2066</v>
      </c>
      <c r="E802" s="198" t="s">
        <v>506</v>
      </c>
      <c r="F802" s="325">
        <v>100</v>
      </c>
      <c r="G802" s="325">
        <v>100</v>
      </c>
      <c r="H802" s="299">
        <v>0</v>
      </c>
      <c r="I802" s="325">
        <v>100</v>
      </c>
      <c r="J802" s="314"/>
    </row>
    <row r="803" spans="1:10" ht="15">
      <c r="A803" s="194">
        <v>795</v>
      </c>
      <c r="B803" s="509">
        <v>41083</v>
      </c>
      <c r="C803" s="200" t="s">
        <v>2067</v>
      </c>
      <c r="D803" s="322" t="s">
        <v>2068</v>
      </c>
      <c r="E803" s="198" t="s">
        <v>506</v>
      </c>
      <c r="F803" s="325">
        <v>100</v>
      </c>
      <c r="G803" s="325">
        <v>100</v>
      </c>
      <c r="H803" s="299">
        <v>0</v>
      </c>
      <c r="I803" s="325">
        <v>100</v>
      </c>
      <c r="J803" s="314"/>
    </row>
    <row r="804" spans="1:10" ht="15">
      <c r="A804" s="194">
        <v>796</v>
      </c>
      <c r="B804" s="509">
        <v>41083</v>
      </c>
      <c r="C804" s="200" t="s">
        <v>2069</v>
      </c>
      <c r="D804" s="322" t="s">
        <v>2070</v>
      </c>
      <c r="E804" s="198" t="s">
        <v>506</v>
      </c>
      <c r="F804" s="325">
        <v>162.5</v>
      </c>
      <c r="G804" s="325">
        <v>162.5</v>
      </c>
      <c r="H804" s="299">
        <v>0</v>
      </c>
      <c r="I804" s="325">
        <v>162.5</v>
      </c>
      <c r="J804" s="314"/>
    </row>
    <row r="805" spans="1:10" ht="15">
      <c r="A805" s="194">
        <v>797</v>
      </c>
      <c r="B805" s="509">
        <v>41083</v>
      </c>
      <c r="C805" s="200" t="s">
        <v>2071</v>
      </c>
      <c r="D805" s="322" t="s">
        <v>2072</v>
      </c>
      <c r="E805" s="198" t="s">
        <v>506</v>
      </c>
      <c r="F805" s="325">
        <v>162.5</v>
      </c>
      <c r="G805" s="325">
        <v>162.5</v>
      </c>
      <c r="H805" s="299">
        <v>0</v>
      </c>
      <c r="I805" s="325">
        <v>162.5</v>
      </c>
      <c r="J805" s="314"/>
    </row>
    <row r="806" spans="1:10" ht="15">
      <c r="A806" s="194">
        <v>798</v>
      </c>
      <c r="B806" s="509">
        <v>41083</v>
      </c>
      <c r="C806" s="200" t="s">
        <v>2073</v>
      </c>
      <c r="D806" s="322" t="s">
        <v>2074</v>
      </c>
      <c r="E806" s="198" t="s">
        <v>506</v>
      </c>
      <c r="F806" s="325">
        <v>162.5</v>
      </c>
      <c r="G806" s="325">
        <v>162.5</v>
      </c>
      <c r="H806" s="299">
        <v>0</v>
      </c>
      <c r="I806" s="325">
        <v>162.5</v>
      </c>
      <c r="J806" s="314"/>
    </row>
    <row r="807" spans="1:10" ht="15">
      <c r="A807" s="194">
        <v>799</v>
      </c>
      <c r="B807" s="509">
        <v>41083</v>
      </c>
      <c r="C807" s="200" t="s">
        <v>2075</v>
      </c>
      <c r="D807" s="322" t="s">
        <v>2076</v>
      </c>
      <c r="E807" s="198" t="s">
        <v>506</v>
      </c>
      <c r="F807" s="325">
        <v>162.5</v>
      </c>
      <c r="G807" s="325">
        <v>162.5</v>
      </c>
      <c r="H807" s="299">
        <v>0</v>
      </c>
      <c r="I807" s="325">
        <v>162.5</v>
      </c>
      <c r="J807" s="314"/>
    </row>
    <row r="808" spans="1:10" ht="15">
      <c r="A808" s="194">
        <v>800</v>
      </c>
      <c r="B808" s="509">
        <v>41083</v>
      </c>
      <c r="C808" s="200" t="s">
        <v>2077</v>
      </c>
      <c r="D808" s="322" t="s">
        <v>2078</v>
      </c>
      <c r="E808" s="198" t="s">
        <v>506</v>
      </c>
      <c r="F808" s="325">
        <v>162.5</v>
      </c>
      <c r="G808" s="325">
        <v>162.5</v>
      </c>
      <c r="H808" s="299">
        <v>0</v>
      </c>
      <c r="I808" s="325">
        <v>162.5</v>
      </c>
      <c r="J808" s="314"/>
    </row>
    <row r="809" spans="1:10" ht="15">
      <c r="A809" s="194">
        <v>801</v>
      </c>
      <c r="B809" s="509">
        <v>41083</v>
      </c>
      <c r="C809" s="200" t="s">
        <v>2079</v>
      </c>
      <c r="D809" s="322" t="s">
        <v>2080</v>
      </c>
      <c r="E809" s="198" t="s">
        <v>506</v>
      </c>
      <c r="F809" s="325">
        <v>162.5</v>
      </c>
      <c r="G809" s="325">
        <v>162.5</v>
      </c>
      <c r="H809" s="299">
        <v>0</v>
      </c>
      <c r="I809" s="325">
        <v>162.5</v>
      </c>
      <c r="J809" s="314"/>
    </row>
    <row r="810" spans="1:10" ht="15">
      <c r="A810" s="194">
        <v>802</v>
      </c>
      <c r="B810" s="509">
        <v>41083</v>
      </c>
      <c r="C810" s="200" t="s">
        <v>2081</v>
      </c>
      <c r="D810" s="322" t="s">
        <v>2082</v>
      </c>
      <c r="E810" s="198" t="s">
        <v>506</v>
      </c>
      <c r="F810" s="325">
        <v>162.5</v>
      </c>
      <c r="G810" s="325">
        <v>162.5</v>
      </c>
      <c r="H810" s="299">
        <v>0</v>
      </c>
      <c r="I810" s="325">
        <v>162.5</v>
      </c>
      <c r="J810" s="314"/>
    </row>
    <row r="811" spans="1:10" ht="15">
      <c r="A811" s="194">
        <v>803</v>
      </c>
      <c r="B811" s="509">
        <v>41083</v>
      </c>
      <c r="C811" s="200" t="s">
        <v>2083</v>
      </c>
      <c r="D811" s="322" t="s">
        <v>2084</v>
      </c>
      <c r="E811" s="198" t="s">
        <v>506</v>
      </c>
      <c r="F811" s="325">
        <v>162.5</v>
      </c>
      <c r="G811" s="325">
        <v>162.5</v>
      </c>
      <c r="H811" s="299">
        <v>0</v>
      </c>
      <c r="I811" s="325">
        <v>162.5</v>
      </c>
      <c r="J811" s="314"/>
    </row>
    <row r="812" spans="1:10" ht="15">
      <c r="A812" s="194">
        <v>804</v>
      </c>
      <c r="B812" s="509">
        <v>41085</v>
      </c>
      <c r="C812" s="200" t="s">
        <v>2085</v>
      </c>
      <c r="D812" s="322" t="s">
        <v>2086</v>
      </c>
      <c r="E812" s="198" t="s">
        <v>506</v>
      </c>
      <c r="F812" s="325">
        <v>100</v>
      </c>
      <c r="G812" s="325">
        <v>100</v>
      </c>
      <c r="H812" s="299">
        <v>0</v>
      </c>
      <c r="I812" s="325">
        <v>100</v>
      </c>
      <c r="J812" s="314"/>
    </row>
    <row r="813" spans="1:10" ht="15">
      <c r="A813" s="194">
        <v>805</v>
      </c>
      <c r="B813" s="509">
        <v>41085</v>
      </c>
      <c r="C813" s="200" t="s">
        <v>2087</v>
      </c>
      <c r="D813" s="322" t="s">
        <v>2088</v>
      </c>
      <c r="E813" s="198" t="s">
        <v>506</v>
      </c>
      <c r="F813" s="325">
        <v>100</v>
      </c>
      <c r="G813" s="325">
        <v>100</v>
      </c>
      <c r="H813" s="299">
        <v>0</v>
      </c>
      <c r="I813" s="325">
        <v>100</v>
      </c>
      <c r="J813" s="314"/>
    </row>
    <row r="814" spans="1:10" ht="15">
      <c r="A814" s="194">
        <v>806</v>
      </c>
      <c r="B814" s="509">
        <v>41086</v>
      </c>
      <c r="C814" s="200" t="s">
        <v>2089</v>
      </c>
      <c r="D814" s="322" t="s">
        <v>2090</v>
      </c>
      <c r="E814" s="198" t="s">
        <v>506</v>
      </c>
      <c r="F814" s="325">
        <v>100</v>
      </c>
      <c r="G814" s="325">
        <v>100</v>
      </c>
      <c r="H814" s="299">
        <v>0</v>
      </c>
      <c r="I814" s="325">
        <v>100</v>
      </c>
      <c r="J814" s="314"/>
    </row>
    <row r="815" spans="1:10" ht="15">
      <c r="A815" s="194">
        <v>807</v>
      </c>
      <c r="B815" s="509">
        <v>41086</v>
      </c>
      <c r="C815" s="200" t="s">
        <v>2091</v>
      </c>
      <c r="D815" s="322" t="s">
        <v>2092</v>
      </c>
      <c r="E815" s="198" t="s">
        <v>506</v>
      </c>
      <c r="F815" s="325">
        <v>100</v>
      </c>
      <c r="G815" s="325">
        <v>100</v>
      </c>
      <c r="H815" s="299">
        <v>0</v>
      </c>
      <c r="I815" s="325">
        <v>100</v>
      </c>
      <c r="J815" s="314"/>
    </row>
    <row r="816" spans="1:10" ht="15">
      <c r="A816" s="194">
        <v>808</v>
      </c>
      <c r="B816" s="509">
        <v>41089</v>
      </c>
      <c r="C816" s="200" t="s">
        <v>2093</v>
      </c>
      <c r="D816" s="322" t="s">
        <v>2094</v>
      </c>
      <c r="E816" s="198" t="s">
        <v>506</v>
      </c>
      <c r="F816" s="325">
        <v>200</v>
      </c>
      <c r="G816" s="325">
        <v>200</v>
      </c>
      <c r="H816" s="299">
        <v>0</v>
      </c>
      <c r="I816" s="325">
        <v>200</v>
      </c>
      <c r="J816" s="314"/>
    </row>
    <row r="817" spans="1:10" ht="15">
      <c r="A817" s="194">
        <v>809</v>
      </c>
      <c r="B817" s="509">
        <v>41088</v>
      </c>
      <c r="C817" s="200" t="s">
        <v>2095</v>
      </c>
      <c r="D817" s="322" t="s">
        <v>650</v>
      </c>
      <c r="E817" s="198" t="s">
        <v>506</v>
      </c>
      <c r="F817" s="325">
        <v>100</v>
      </c>
      <c r="G817" s="325">
        <v>100</v>
      </c>
      <c r="H817" s="299">
        <v>0</v>
      </c>
      <c r="I817" s="325">
        <v>100</v>
      </c>
      <c r="J817" s="314"/>
    </row>
    <row r="818" spans="1:10" ht="15">
      <c r="A818" s="194">
        <v>810</v>
      </c>
      <c r="B818" s="509">
        <v>41088</v>
      </c>
      <c r="C818" s="200" t="s">
        <v>2096</v>
      </c>
      <c r="D818" s="322" t="s">
        <v>2097</v>
      </c>
      <c r="E818" s="198" t="s">
        <v>506</v>
      </c>
      <c r="F818" s="325">
        <v>100</v>
      </c>
      <c r="G818" s="325">
        <v>100</v>
      </c>
      <c r="H818" s="299">
        <v>0</v>
      </c>
      <c r="I818" s="325">
        <v>100</v>
      </c>
      <c r="J818" s="314"/>
    </row>
    <row r="819" spans="1:10" ht="15">
      <c r="A819" s="194">
        <v>811</v>
      </c>
      <c r="B819" s="509">
        <v>41088</v>
      </c>
      <c r="C819" s="200" t="s">
        <v>2098</v>
      </c>
      <c r="D819" s="322" t="s">
        <v>2099</v>
      </c>
      <c r="E819" s="198" t="s">
        <v>506</v>
      </c>
      <c r="F819" s="325">
        <v>100</v>
      </c>
      <c r="G819" s="325">
        <v>100</v>
      </c>
      <c r="H819" s="299">
        <v>0</v>
      </c>
      <c r="I819" s="325">
        <v>100</v>
      </c>
      <c r="J819" s="314"/>
    </row>
    <row r="820" spans="1:10" ht="15">
      <c r="A820" s="194">
        <v>812</v>
      </c>
      <c r="B820" s="509">
        <v>41088</v>
      </c>
      <c r="C820" s="200" t="s">
        <v>2100</v>
      </c>
      <c r="D820" s="322" t="s">
        <v>2101</v>
      </c>
      <c r="E820" s="198" t="s">
        <v>506</v>
      </c>
      <c r="F820" s="325">
        <v>225</v>
      </c>
      <c r="G820" s="325">
        <v>225</v>
      </c>
      <c r="H820" s="299">
        <v>0</v>
      </c>
      <c r="I820" s="325">
        <v>225</v>
      </c>
      <c r="J820" s="314"/>
    </row>
    <row r="821" spans="1:10" ht="15">
      <c r="A821" s="194">
        <v>813</v>
      </c>
      <c r="B821" s="509">
        <v>41085</v>
      </c>
      <c r="C821" s="200" t="s">
        <v>2102</v>
      </c>
      <c r="D821" s="322" t="s">
        <v>2103</v>
      </c>
      <c r="E821" s="198" t="s">
        <v>506</v>
      </c>
      <c r="F821" s="325">
        <v>100</v>
      </c>
      <c r="G821" s="325">
        <v>100</v>
      </c>
      <c r="H821" s="299">
        <v>0</v>
      </c>
      <c r="I821" s="325">
        <v>100</v>
      </c>
      <c r="J821" s="314"/>
    </row>
    <row r="822" spans="1:10" ht="15">
      <c r="A822" s="194">
        <v>814</v>
      </c>
      <c r="B822" s="509">
        <v>41085</v>
      </c>
      <c r="C822" s="200" t="s">
        <v>2104</v>
      </c>
      <c r="D822" s="322" t="s">
        <v>2105</v>
      </c>
      <c r="E822" s="198" t="s">
        <v>506</v>
      </c>
      <c r="F822" s="325">
        <v>100</v>
      </c>
      <c r="G822" s="325">
        <v>100</v>
      </c>
      <c r="H822" s="299">
        <v>0</v>
      </c>
      <c r="I822" s="325">
        <v>100</v>
      </c>
      <c r="J822" s="314"/>
    </row>
    <row r="823" spans="1:10" ht="15">
      <c r="A823" s="194">
        <v>815</v>
      </c>
      <c r="B823" s="509">
        <v>41085</v>
      </c>
      <c r="C823" s="200" t="s">
        <v>2106</v>
      </c>
      <c r="D823" s="322" t="s">
        <v>2107</v>
      </c>
      <c r="E823" s="198" t="s">
        <v>506</v>
      </c>
      <c r="F823" s="325">
        <v>100</v>
      </c>
      <c r="G823" s="325">
        <v>100</v>
      </c>
      <c r="H823" s="299">
        <v>0</v>
      </c>
      <c r="I823" s="325">
        <v>100</v>
      </c>
      <c r="J823" s="314"/>
    </row>
    <row r="824" spans="1:10" ht="15">
      <c r="A824" s="194">
        <v>816</v>
      </c>
      <c r="B824" s="509">
        <v>41085</v>
      </c>
      <c r="C824" s="200" t="s">
        <v>647</v>
      </c>
      <c r="D824" s="322" t="s">
        <v>648</v>
      </c>
      <c r="E824" s="198" t="s">
        <v>506</v>
      </c>
      <c r="F824" s="325">
        <v>100</v>
      </c>
      <c r="G824" s="325">
        <v>100</v>
      </c>
      <c r="H824" s="299">
        <v>0</v>
      </c>
      <c r="I824" s="325">
        <v>100</v>
      </c>
      <c r="J824" s="314"/>
    </row>
    <row r="825" spans="1:10" ht="15">
      <c r="A825" s="194">
        <v>817</v>
      </c>
      <c r="B825" s="509">
        <v>41085</v>
      </c>
      <c r="C825" s="200" t="s">
        <v>2108</v>
      </c>
      <c r="D825" s="322" t="s">
        <v>2109</v>
      </c>
      <c r="E825" s="198" t="s">
        <v>506</v>
      </c>
      <c r="F825" s="325">
        <v>100</v>
      </c>
      <c r="G825" s="325">
        <v>100</v>
      </c>
      <c r="H825" s="299">
        <v>0</v>
      </c>
      <c r="I825" s="325">
        <v>100</v>
      </c>
      <c r="J825" s="314"/>
    </row>
    <row r="826" spans="1:10" ht="15">
      <c r="A826" s="194">
        <v>818</v>
      </c>
      <c r="B826" s="509">
        <v>41088</v>
      </c>
      <c r="C826" s="200" t="s">
        <v>1915</v>
      </c>
      <c r="D826" s="322" t="s">
        <v>2110</v>
      </c>
      <c r="E826" s="198" t="s">
        <v>506</v>
      </c>
      <c r="F826" s="325">
        <v>200</v>
      </c>
      <c r="G826" s="325">
        <v>200</v>
      </c>
      <c r="H826" s="299">
        <v>0</v>
      </c>
      <c r="I826" s="325">
        <v>200</v>
      </c>
      <c r="J826" s="314"/>
    </row>
    <row r="827" spans="1:10" ht="15">
      <c r="A827" s="194">
        <v>819</v>
      </c>
      <c r="B827" s="509">
        <v>41088</v>
      </c>
      <c r="C827" s="200" t="s">
        <v>1913</v>
      </c>
      <c r="D827" s="322" t="s">
        <v>1914</v>
      </c>
      <c r="E827" s="198" t="s">
        <v>506</v>
      </c>
      <c r="F827" s="325">
        <v>200</v>
      </c>
      <c r="G827" s="325">
        <v>200</v>
      </c>
      <c r="H827" s="299">
        <v>0</v>
      </c>
      <c r="I827" s="325">
        <v>200</v>
      </c>
      <c r="J827" s="314"/>
    </row>
    <row r="828" spans="1:10" ht="15">
      <c r="A828" s="194">
        <v>820</v>
      </c>
      <c r="B828" s="509">
        <v>41086</v>
      </c>
      <c r="C828" s="200" t="s">
        <v>2111</v>
      </c>
      <c r="D828" s="322" t="s">
        <v>2112</v>
      </c>
      <c r="E828" s="198" t="s">
        <v>506</v>
      </c>
      <c r="F828" s="325">
        <v>125</v>
      </c>
      <c r="G828" s="325">
        <v>125</v>
      </c>
      <c r="H828" s="299">
        <v>0</v>
      </c>
      <c r="I828" s="325">
        <v>125</v>
      </c>
      <c r="J828" s="314"/>
    </row>
    <row r="829" spans="1:10" ht="15">
      <c r="A829" s="194">
        <v>821</v>
      </c>
      <c r="B829" s="509">
        <v>41083</v>
      </c>
      <c r="C829" s="200" t="s">
        <v>2113</v>
      </c>
      <c r="D829" s="322" t="s">
        <v>2114</v>
      </c>
      <c r="E829" s="198" t="s">
        <v>506</v>
      </c>
      <c r="F829" s="325">
        <v>100</v>
      </c>
      <c r="G829" s="325">
        <v>100</v>
      </c>
      <c r="H829" s="299">
        <v>0</v>
      </c>
      <c r="I829" s="325">
        <v>100</v>
      </c>
      <c r="J829" s="314"/>
    </row>
    <row r="830" spans="1:10" ht="15">
      <c r="A830" s="194">
        <v>822</v>
      </c>
      <c r="B830" s="509">
        <v>41083</v>
      </c>
      <c r="C830" s="200" t="s">
        <v>2115</v>
      </c>
      <c r="D830" s="322" t="s">
        <v>2116</v>
      </c>
      <c r="E830" s="198" t="s">
        <v>506</v>
      </c>
      <c r="F830" s="325">
        <v>100</v>
      </c>
      <c r="G830" s="325">
        <v>100</v>
      </c>
      <c r="H830" s="299">
        <v>0</v>
      </c>
      <c r="I830" s="325">
        <v>100</v>
      </c>
      <c r="J830" s="314"/>
    </row>
    <row r="831" spans="1:10" ht="15">
      <c r="A831" s="194">
        <v>823</v>
      </c>
      <c r="B831" s="509">
        <v>41083</v>
      </c>
      <c r="C831" s="200" t="s">
        <v>2117</v>
      </c>
      <c r="D831" s="322" t="s">
        <v>2118</v>
      </c>
      <c r="E831" s="198" t="s">
        <v>506</v>
      </c>
      <c r="F831" s="325">
        <v>100</v>
      </c>
      <c r="G831" s="325">
        <v>100</v>
      </c>
      <c r="H831" s="299">
        <v>0</v>
      </c>
      <c r="I831" s="325">
        <v>100</v>
      </c>
      <c r="J831" s="314"/>
    </row>
    <row r="832" spans="1:10" ht="15">
      <c r="A832" s="194">
        <v>824</v>
      </c>
      <c r="B832" s="509">
        <v>41083</v>
      </c>
      <c r="C832" s="200" t="s">
        <v>2119</v>
      </c>
      <c r="D832" s="322" t="s">
        <v>2120</v>
      </c>
      <c r="E832" s="198" t="s">
        <v>506</v>
      </c>
      <c r="F832" s="325">
        <v>100</v>
      </c>
      <c r="G832" s="325">
        <v>100</v>
      </c>
      <c r="H832" s="299">
        <v>0</v>
      </c>
      <c r="I832" s="325">
        <v>100</v>
      </c>
      <c r="J832" s="314"/>
    </row>
    <row r="833" spans="1:10" ht="15">
      <c r="A833" s="194">
        <v>825</v>
      </c>
      <c r="B833" s="509">
        <v>41083</v>
      </c>
      <c r="C833" s="200" t="s">
        <v>2121</v>
      </c>
      <c r="D833" s="322" t="s">
        <v>2122</v>
      </c>
      <c r="E833" s="198" t="s">
        <v>506</v>
      </c>
      <c r="F833" s="325">
        <v>100</v>
      </c>
      <c r="G833" s="325">
        <v>100</v>
      </c>
      <c r="H833" s="299">
        <v>0</v>
      </c>
      <c r="I833" s="325">
        <v>100</v>
      </c>
      <c r="J833" s="314"/>
    </row>
    <row r="834" spans="1:10" ht="15">
      <c r="A834" s="194">
        <v>826</v>
      </c>
      <c r="B834" s="509">
        <v>41083</v>
      </c>
      <c r="C834" s="200" t="s">
        <v>1794</v>
      </c>
      <c r="D834" s="322" t="s">
        <v>2123</v>
      </c>
      <c r="E834" s="198" t="s">
        <v>506</v>
      </c>
      <c r="F834" s="325">
        <v>100</v>
      </c>
      <c r="G834" s="325">
        <v>100</v>
      </c>
      <c r="H834" s="299">
        <v>0</v>
      </c>
      <c r="I834" s="325">
        <v>100</v>
      </c>
      <c r="J834" s="314"/>
    </row>
    <row r="835" spans="1:10" ht="15">
      <c r="A835" s="194">
        <v>827</v>
      </c>
      <c r="B835" s="509">
        <v>41083</v>
      </c>
      <c r="C835" s="200" t="s">
        <v>2124</v>
      </c>
      <c r="D835" s="322" t="s">
        <v>2125</v>
      </c>
      <c r="E835" s="198" t="s">
        <v>506</v>
      </c>
      <c r="F835" s="325">
        <v>100</v>
      </c>
      <c r="G835" s="325">
        <v>100</v>
      </c>
      <c r="H835" s="299">
        <v>0</v>
      </c>
      <c r="I835" s="325">
        <v>100</v>
      </c>
      <c r="J835" s="314"/>
    </row>
    <row r="836" spans="1:10" ht="15">
      <c r="A836" s="194">
        <v>828</v>
      </c>
      <c r="B836" s="509">
        <v>41083</v>
      </c>
      <c r="C836" s="200" t="s">
        <v>2126</v>
      </c>
      <c r="D836" s="322" t="s">
        <v>2127</v>
      </c>
      <c r="E836" s="198" t="s">
        <v>506</v>
      </c>
      <c r="F836" s="325">
        <v>100</v>
      </c>
      <c r="G836" s="325">
        <v>100</v>
      </c>
      <c r="H836" s="299">
        <v>0</v>
      </c>
      <c r="I836" s="325">
        <v>100</v>
      </c>
      <c r="J836" s="314"/>
    </row>
    <row r="837" spans="1:10" ht="15">
      <c r="A837" s="194">
        <v>829</v>
      </c>
      <c r="B837" s="509">
        <v>41083</v>
      </c>
      <c r="C837" s="200" t="s">
        <v>2128</v>
      </c>
      <c r="D837" s="322" t="s">
        <v>2129</v>
      </c>
      <c r="E837" s="198" t="s">
        <v>506</v>
      </c>
      <c r="F837" s="325">
        <v>100</v>
      </c>
      <c r="G837" s="325">
        <v>100</v>
      </c>
      <c r="H837" s="299">
        <v>0</v>
      </c>
      <c r="I837" s="325">
        <v>100</v>
      </c>
      <c r="J837" s="314"/>
    </row>
    <row r="838" spans="1:10" ht="15">
      <c r="A838" s="194">
        <v>830</v>
      </c>
      <c r="B838" s="509">
        <v>41083</v>
      </c>
      <c r="C838" s="200" t="s">
        <v>2130</v>
      </c>
      <c r="D838" s="322" t="s">
        <v>2131</v>
      </c>
      <c r="E838" s="198" t="s">
        <v>506</v>
      </c>
      <c r="F838" s="325">
        <v>100</v>
      </c>
      <c r="G838" s="325">
        <v>100</v>
      </c>
      <c r="H838" s="299">
        <v>0</v>
      </c>
      <c r="I838" s="325">
        <v>100</v>
      </c>
      <c r="J838" s="314"/>
    </row>
    <row r="839" spans="1:10" ht="15">
      <c r="A839" s="194">
        <v>831</v>
      </c>
      <c r="B839" s="509">
        <v>41083</v>
      </c>
      <c r="C839" s="200" t="s">
        <v>2132</v>
      </c>
      <c r="D839" s="322" t="s">
        <v>2133</v>
      </c>
      <c r="E839" s="198" t="s">
        <v>506</v>
      </c>
      <c r="F839" s="325">
        <v>125</v>
      </c>
      <c r="G839" s="325">
        <v>125</v>
      </c>
      <c r="H839" s="299">
        <v>0</v>
      </c>
      <c r="I839" s="325">
        <v>125</v>
      </c>
      <c r="J839" s="314"/>
    </row>
    <row r="840" spans="1:10" ht="15">
      <c r="A840" s="194">
        <v>832</v>
      </c>
      <c r="B840" s="509">
        <v>41083</v>
      </c>
      <c r="C840" s="200" t="s">
        <v>2134</v>
      </c>
      <c r="D840" s="322" t="s">
        <v>2135</v>
      </c>
      <c r="E840" s="198" t="s">
        <v>506</v>
      </c>
      <c r="F840" s="325">
        <v>125</v>
      </c>
      <c r="G840" s="325">
        <v>125</v>
      </c>
      <c r="H840" s="299">
        <v>0</v>
      </c>
      <c r="I840" s="325">
        <v>125</v>
      </c>
      <c r="J840" s="314"/>
    </row>
    <row r="841" spans="1:10" ht="15">
      <c r="A841" s="194">
        <v>833</v>
      </c>
      <c r="B841" s="509">
        <v>41083</v>
      </c>
      <c r="C841" s="200" t="s">
        <v>2136</v>
      </c>
      <c r="D841" s="322" t="s">
        <v>2137</v>
      </c>
      <c r="E841" s="198" t="s">
        <v>506</v>
      </c>
      <c r="F841" s="325">
        <v>100</v>
      </c>
      <c r="G841" s="325">
        <v>100</v>
      </c>
      <c r="H841" s="299">
        <v>0</v>
      </c>
      <c r="I841" s="325">
        <v>100</v>
      </c>
      <c r="J841" s="314"/>
    </row>
    <row r="842" spans="1:10" ht="15">
      <c r="A842" s="194">
        <v>834</v>
      </c>
      <c r="B842" s="509">
        <v>41083</v>
      </c>
      <c r="C842" s="200" t="s">
        <v>2138</v>
      </c>
      <c r="D842" s="322" t="s">
        <v>2139</v>
      </c>
      <c r="E842" s="198" t="s">
        <v>506</v>
      </c>
      <c r="F842" s="325">
        <v>100</v>
      </c>
      <c r="G842" s="325">
        <v>100</v>
      </c>
      <c r="H842" s="299">
        <v>0</v>
      </c>
      <c r="I842" s="325">
        <v>100</v>
      </c>
      <c r="J842" s="314"/>
    </row>
    <row r="843" spans="1:10" ht="15">
      <c r="A843" s="194">
        <v>835</v>
      </c>
      <c r="B843" s="509">
        <v>41083</v>
      </c>
      <c r="C843" s="200" t="s">
        <v>2140</v>
      </c>
      <c r="D843" s="322" t="s">
        <v>2141</v>
      </c>
      <c r="E843" s="198" t="s">
        <v>506</v>
      </c>
      <c r="F843" s="325">
        <v>125</v>
      </c>
      <c r="G843" s="325">
        <v>125</v>
      </c>
      <c r="H843" s="299">
        <v>0</v>
      </c>
      <c r="I843" s="325">
        <v>125</v>
      </c>
      <c r="J843" s="314"/>
    </row>
    <row r="844" spans="1:10" ht="15">
      <c r="A844" s="194">
        <v>836</v>
      </c>
      <c r="B844" s="509">
        <v>41083</v>
      </c>
      <c r="C844" s="200" t="s">
        <v>2142</v>
      </c>
      <c r="D844" s="322" t="s">
        <v>2143</v>
      </c>
      <c r="E844" s="198" t="s">
        <v>506</v>
      </c>
      <c r="F844" s="325">
        <v>125</v>
      </c>
      <c r="G844" s="325">
        <v>125</v>
      </c>
      <c r="H844" s="299">
        <v>0</v>
      </c>
      <c r="I844" s="325">
        <v>125</v>
      </c>
      <c r="J844" s="314"/>
    </row>
    <row r="845" spans="1:10" ht="15">
      <c r="A845" s="194">
        <v>837</v>
      </c>
      <c r="B845" s="509">
        <v>41083</v>
      </c>
      <c r="C845" s="200" t="s">
        <v>2144</v>
      </c>
      <c r="D845" s="322" t="s">
        <v>2145</v>
      </c>
      <c r="E845" s="198" t="s">
        <v>506</v>
      </c>
      <c r="F845" s="325">
        <v>100</v>
      </c>
      <c r="G845" s="325">
        <v>100</v>
      </c>
      <c r="H845" s="299">
        <v>0</v>
      </c>
      <c r="I845" s="325">
        <v>100</v>
      </c>
      <c r="J845" s="314"/>
    </row>
    <row r="846" spans="1:10" ht="15">
      <c r="A846" s="194">
        <v>838</v>
      </c>
      <c r="B846" s="509">
        <v>41083</v>
      </c>
      <c r="C846" s="200" t="s">
        <v>2146</v>
      </c>
      <c r="D846" s="322" t="s">
        <v>2147</v>
      </c>
      <c r="E846" s="198" t="s">
        <v>506</v>
      </c>
      <c r="F846" s="325">
        <v>100</v>
      </c>
      <c r="G846" s="325">
        <v>100</v>
      </c>
      <c r="H846" s="299">
        <v>0</v>
      </c>
      <c r="I846" s="325">
        <v>100</v>
      </c>
      <c r="J846" s="314"/>
    </row>
    <row r="847" spans="1:10" ht="15">
      <c r="A847" s="194">
        <v>839</v>
      </c>
      <c r="B847" s="509">
        <v>41083</v>
      </c>
      <c r="C847" s="200" t="s">
        <v>2148</v>
      </c>
      <c r="D847" s="322" t="s">
        <v>2149</v>
      </c>
      <c r="E847" s="198" t="s">
        <v>506</v>
      </c>
      <c r="F847" s="325">
        <v>125</v>
      </c>
      <c r="G847" s="325">
        <v>125</v>
      </c>
      <c r="H847" s="299">
        <v>0</v>
      </c>
      <c r="I847" s="325">
        <v>125</v>
      </c>
      <c r="J847" s="314"/>
    </row>
    <row r="848" spans="1:10" ht="15">
      <c r="A848" s="194">
        <v>840</v>
      </c>
      <c r="B848" s="509">
        <v>41083</v>
      </c>
      <c r="C848" s="200" t="s">
        <v>2150</v>
      </c>
      <c r="D848" s="322" t="s">
        <v>2151</v>
      </c>
      <c r="E848" s="198" t="s">
        <v>506</v>
      </c>
      <c r="F848" s="325">
        <v>125</v>
      </c>
      <c r="G848" s="325">
        <v>125</v>
      </c>
      <c r="H848" s="299">
        <v>0</v>
      </c>
      <c r="I848" s="325">
        <v>125</v>
      </c>
      <c r="J848" s="314"/>
    </row>
    <row r="849" spans="1:10" ht="15">
      <c r="A849" s="194">
        <v>841</v>
      </c>
      <c r="B849" s="509">
        <v>41083</v>
      </c>
      <c r="C849" s="200" t="s">
        <v>2152</v>
      </c>
      <c r="D849" s="322" t="s">
        <v>2153</v>
      </c>
      <c r="E849" s="198" t="s">
        <v>506</v>
      </c>
      <c r="F849" s="325">
        <v>125</v>
      </c>
      <c r="G849" s="325">
        <v>125</v>
      </c>
      <c r="H849" s="299">
        <v>0</v>
      </c>
      <c r="I849" s="325">
        <v>125</v>
      </c>
      <c r="J849" s="314"/>
    </row>
    <row r="850" spans="1:10" ht="15">
      <c r="A850" s="194">
        <v>842</v>
      </c>
      <c r="B850" s="509">
        <v>41083</v>
      </c>
      <c r="C850" s="200" t="s">
        <v>2154</v>
      </c>
      <c r="D850" s="322" t="s">
        <v>2155</v>
      </c>
      <c r="E850" s="198" t="s">
        <v>506</v>
      </c>
      <c r="F850" s="325">
        <v>125</v>
      </c>
      <c r="G850" s="325">
        <v>125</v>
      </c>
      <c r="H850" s="299">
        <v>0</v>
      </c>
      <c r="I850" s="325">
        <v>125</v>
      </c>
      <c r="J850" s="314"/>
    </row>
    <row r="851" spans="1:10" ht="15">
      <c r="A851" s="194">
        <v>843</v>
      </c>
      <c r="B851" s="509">
        <v>41083</v>
      </c>
      <c r="C851" s="200" t="s">
        <v>2156</v>
      </c>
      <c r="D851" s="322" t="s">
        <v>2157</v>
      </c>
      <c r="E851" s="198" t="s">
        <v>506</v>
      </c>
      <c r="F851" s="325">
        <v>100</v>
      </c>
      <c r="G851" s="325">
        <v>100</v>
      </c>
      <c r="H851" s="299">
        <v>0</v>
      </c>
      <c r="I851" s="325">
        <v>100</v>
      </c>
      <c r="J851" s="314"/>
    </row>
    <row r="852" spans="1:10" ht="15">
      <c r="A852" s="194">
        <v>844</v>
      </c>
      <c r="B852" s="509">
        <v>41083</v>
      </c>
      <c r="C852" s="200" t="s">
        <v>2158</v>
      </c>
      <c r="D852" s="322" t="s">
        <v>2159</v>
      </c>
      <c r="E852" s="198" t="s">
        <v>506</v>
      </c>
      <c r="F852" s="325">
        <v>100</v>
      </c>
      <c r="G852" s="325">
        <v>100</v>
      </c>
      <c r="H852" s="299">
        <v>0</v>
      </c>
      <c r="I852" s="325">
        <v>100</v>
      </c>
      <c r="J852" s="314"/>
    </row>
    <row r="853" spans="1:10" ht="15">
      <c r="A853" s="194">
        <v>845</v>
      </c>
      <c r="B853" s="509">
        <v>41083</v>
      </c>
      <c r="C853" s="200" t="s">
        <v>2160</v>
      </c>
      <c r="D853" s="322" t="s">
        <v>2161</v>
      </c>
      <c r="E853" s="198" t="s">
        <v>506</v>
      </c>
      <c r="F853" s="325">
        <v>125</v>
      </c>
      <c r="G853" s="325">
        <v>125</v>
      </c>
      <c r="H853" s="299">
        <v>0</v>
      </c>
      <c r="I853" s="325">
        <v>125</v>
      </c>
      <c r="J853" s="314"/>
    </row>
    <row r="854" spans="1:10" ht="15">
      <c r="A854" s="194">
        <v>846</v>
      </c>
      <c r="B854" s="509">
        <v>41083</v>
      </c>
      <c r="C854" s="200" t="s">
        <v>2162</v>
      </c>
      <c r="D854" s="322" t="s">
        <v>2163</v>
      </c>
      <c r="E854" s="198" t="s">
        <v>506</v>
      </c>
      <c r="F854" s="325">
        <v>125</v>
      </c>
      <c r="G854" s="325">
        <v>125</v>
      </c>
      <c r="H854" s="299">
        <v>0</v>
      </c>
      <c r="I854" s="325">
        <v>125</v>
      </c>
      <c r="J854" s="314"/>
    </row>
    <row r="855" spans="1:10" ht="15">
      <c r="A855" s="194">
        <v>847</v>
      </c>
      <c r="B855" s="509">
        <v>41083</v>
      </c>
      <c r="C855" s="200" t="s">
        <v>2164</v>
      </c>
      <c r="D855" s="322" t="s">
        <v>2165</v>
      </c>
      <c r="E855" s="198" t="s">
        <v>506</v>
      </c>
      <c r="F855" s="325">
        <v>100</v>
      </c>
      <c r="G855" s="325">
        <v>100</v>
      </c>
      <c r="H855" s="299">
        <v>0</v>
      </c>
      <c r="I855" s="325">
        <v>100</v>
      </c>
      <c r="J855" s="314"/>
    </row>
    <row r="856" spans="1:10" ht="15">
      <c r="A856" s="194">
        <v>848</v>
      </c>
      <c r="B856" s="509">
        <v>41083</v>
      </c>
      <c r="C856" s="200" t="s">
        <v>2166</v>
      </c>
      <c r="D856" s="322" t="s">
        <v>2167</v>
      </c>
      <c r="E856" s="198" t="s">
        <v>506</v>
      </c>
      <c r="F856" s="325">
        <v>125</v>
      </c>
      <c r="G856" s="325">
        <v>125</v>
      </c>
      <c r="H856" s="299">
        <v>0</v>
      </c>
      <c r="I856" s="325">
        <v>125</v>
      </c>
      <c r="J856" s="314"/>
    </row>
    <row r="857" spans="1:10" ht="15">
      <c r="A857" s="194">
        <v>849</v>
      </c>
      <c r="B857" s="509">
        <v>41083</v>
      </c>
      <c r="C857" s="200" t="s">
        <v>2168</v>
      </c>
      <c r="D857" s="322" t="s">
        <v>2169</v>
      </c>
      <c r="E857" s="198" t="s">
        <v>506</v>
      </c>
      <c r="F857" s="325">
        <v>125</v>
      </c>
      <c r="G857" s="325">
        <v>125</v>
      </c>
      <c r="H857" s="299">
        <v>0</v>
      </c>
      <c r="I857" s="325">
        <v>125</v>
      </c>
      <c r="J857" s="314"/>
    </row>
    <row r="858" spans="1:10" ht="15">
      <c r="A858" s="194">
        <v>850</v>
      </c>
      <c r="B858" s="509">
        <v>41083</v>
      </c>
      <c r="C858" s="200" t="s">
        <v>2170</v>
      </c>
      <c r="D858" s="322" t="s">
        <v>2171</v>
      </c>
      <c r="E858" s="198" t="s">
        <v>506</v>
      </c>
      <c r="F858" s="325">
        <v>100</v>
      </c>
      <c r="G858" s="325">
        <v>100</v>
      </c>
      <c r="H858" s="299">
        <v>0</v>
      </c>
      <c r="I858" s="325">
        <v>100</v>
      </c>
      <c r="J858" s="314"/>
    </row>
    <row r="859" spans="1:10" ht="15">
      <c r="A859" s="194">
        <v>851</v>
      </c>
      <c r="B859" s="509">
        <v>41083</v>
      </c>
      <c r="C859" s="200" t="s">
        <v>2172</v>
      </c>
      <c r="D859" s="322" t="s">
        <v>2173</v>
      </c>
      <c r="E859" s="198" t="s">
        <v>506</v>
      </c>
      <c r="F859" s="325">
        <v>100</v>
      </c>
      <c r="G859" s="325">
        <v>100</v>
      </c>
      <c r="H859" s="299">
        <v>0</v>
      </c>
      <c r="I859" s="325">
        <v>100</v>
      </c>
      <c r="J859" s="314"/>
    </row>
    <row r="860" spans="1:10" ht="15">
      <c r="A860" s="194">
        <v>852</v>
      </c>
      <c r="B860" s="509">
        <v>41083</v>
      </c>
      <c r="C860" s="200" t="s">
        <v>2174</v>
      </c>
      <c r="D860" s="322" t="s">
        <v>2175</v>
      </c>
      <c r="E860" s="198" t="s">
        <v>506</v>
      </c>
      <c r="F860" s="325">
        <v>100</v>
      </c>
      <c r="G860" s="325">
        <v>100</v>
      </c>
      <c r="H860" s="299">
        <v>0</v>
      </c>
      <c r="I860" s="325">
        <v>100</v>
      </c>
      <c r="J860" s="314"/>
    </row>
    <row r="861" spans="1:10" ht="15">
      <c r="A861" s="194">
        <v>853</v>
      </c>
      <c r="B861" s="509">
        <v>41083</v>
      </c>
      <c r="C861" s="200" t="s">
        <v>2176</v>
      </c>
      <c r="D861" s="322" t="s">
        <v>2177</v>
      </c>
      <c r="E861" s="198" t="s">
        <v>506</v>
      </c>
      <c r="F861" s="325">
        <v>100</v>
      </c>
      <c r="G861" s="325">
        <v>100</v>
      </c>
      <c r="H861" s="299">
        <v>0</v>
      </c>
      <c r="I861" s="325">
        <v>100</v>
      </c>
      <c r="J861" s="314"/>
    </row>
    <row r="862" spans="1:10" ht="15">
      <c r="A862" s="194">
        <v>854</v>
      </c>
      <c r="B862" s="509">
        <v>41083</v>
      </c>
      <c r="C862" s="200" t="s">
        <v>2178</v>
      </c>
      <c r="D862" s="322" t="s">
        <v>2179</v>
      </c>
      <c r="E862" s="198" t="s">
        <v>506</v>
      </c>
      <c r="F862" s="325">
        <v>125</v>
      </c>
      <c r="G862" s="325">
        <v>125</v>
      </c>
      <c r="H862" s="299">
        <v>0</v>
      </c>
      <c r="I862" s="325">
        <v>125</v>
      </c>
      <c r="J862" s="314"/>
    </row>
    <row r="863" spans="1:10" ht="15">
      <c r="A863" s="194">
        <v>855</v>
      </c>
      <c r="B863" s="509">
        <v>41083</v>
      </c>
      <c r="C863" s="200" t="s">
        <v>2180</v>
      </c>
      <c r="D863" s="322" t="s">
        <v>2181</v>
      </c>
      <c r="E863" s="198" t="s">
        <v>506</v>
      </c>
      <c r="F863" s="325">
        <v>125</v>
      </c>
      <c r="G863" s="325">
        <v>125</v>
      </c>
      <c r="H863" s="299">
        <v>0</v>
      </c>
      <c r="I863" s="325">
        <v>125</v>
      </c>
      <c r="J863" s="314"/>
    </row>
    <row r="864" spans="1:10" ht="15">
      <c r="A864" s="194">
        <v>856</v>
      </c>
      <c r="B864" s="509">
        <v>41083</v>
      </c>
      <c r="C864" s="200" t="s">
        <v>2182</v>
      </c>
      <c r="D864" s="322" t="s">
        <v>2183</v>
      </c>
      <c r="E864" s="198" t="s">
        <v>506</v>
      </c>
      <c r="F864" s="325">
        <v>125</v>
      </c>
      <c r="G864" s="325">
        <v>125</v>
      </c>
      <c r="H864" s="299">
        <v>0</v>
      </c>
      <c r="I864" s="325">
        <v>125</v>
      </c>
      <c r="J864" s="314"/>
    </row>
    <row r="865" spans="1:10" ht="15">
      <c r="A865" s="194">
        <v>857</v>
      </c>
      <c r="B865" s="509">
        <v>41083</v>
      </c>
      <c r="C865" s="200" t="s">
        <v>1907</v>
      </c>
      <c r="D865" s="322" t="s">
        <v>1908</v>
      </c>
      <c r="E865" s="198" t="s">
        <v>506</v>
      </c>
      <c r="F865" s="325">
        <v>100</v>
      </c>
      <c r="G865" s="325">
        <v>100</v>
      </c>
      <c r="H865" s="299">
        <v>0</v>
      </c>
      <c r="I865" s="325">
        <v>100</v>
      </c>
      <c r="J865" s="314"/>
    </row>
    <row r="866" spans="1:10" ht="15">
      <c r="A866" s="194">
        <v>858</v>
      </c>
      <c r="B866" s="509">
        <v>41083</v>
      </c>
      <c r="C866" s="200" t="s">
        <v>615</v>
      </c>
      <c r="D866" s="322" t="s">
        <v>616</v>
      </c>
      <c r="E866" s="198" t="s">
        <v>506</v>
      </c>
      <c r="F866" s="325">
        <v>125</v>
      </c>
      <c r="G866" s="325">
        <v>125</v>
      </c>
      <c r="H866" s="299">
        <v>0</v>
      </c>
      <c r="I866" s="325">
        <v>125</v>
      </c>
      <c r="J866" s="314"/>
    </row>
    <row r="867" spans="1:10" ht="15">
      <c r="A867" s="194">
        <v>859</v>
      </c>
      <c r="B867" s="509">
        <v>41083</v>
      </c>
      <c r="C867" s="200" t="s">
        <v>643</v>
      </c>
      <c r="D867" s="322" t="s">
        <v>644</v>
      </c>
      <c r="E867" s="198" t="s">
        <v>506</v>
      </c>
      <c r="F867" s="325">
        <v>162.5</v>
      </c>
      <c r="G867" s="325">
        <v>162.5</v>
      </c>
      <c r="H867" s="299">
        <v>0</v>
      </c>
      <c r="I867" s="325">
        <v>162.5</v>
      </c>
      <c r="J867" s="314"/>
    </row>
    <row r="868" spans="1:10" ht="15">
      <c r="A868" s="194">
        <v>860</v>
      </c>
      <c r="B868" s="509">
        <v>41083</v>
      </c>
      <c r="C868" s="200" t="s">
        <v>2184</v>
      </c>
      <c r="D868" s="322" t="s">
        <v>1892</v>
      </c>
      <c r="E868" s="198" t="s">
        <v>506</v>
      </c>
      <c r="F868" s="325">
        <v>125</v>
      </c>
      <c r="G868" s="325">
        <v>125</v>
      </c>
      <c r="H868" s="299">
        <v>0</v>
      </c>
      <c r="I868" s="325">
        <v>125</v>
      </c>
      <c r="J868" s="314"/>
    </row>
    <row r="869" spans="1:10" ht="15">
      <c r="A869" s="194">
        <v>861</v>
      </c>
      <c r="B869" s="509">
        <v>41085</v>
      </c>
      <c r="C869" s="200" t="s">
        <v>2185</v>
      </c>
      <c r="D869" s="322" t="s">
        <v>1206</v>
      </c>
      <c r="E869" s="198" t="s">
        <v>506</v>
      </c>
      <c r="F869" s="325">
        <v>100</v>
      </c>
      <c r="G869" s="325">
        <v>100</v>
      </c>
      <c r="H869" s="299">
        <v>0</v>
      </c>
      <c r="I869" s="325">
        <v>100</v>
      </c>
      <c r="J869" s="314"/>
    </row>
    <row r="870" spans="1:10" ht="15">
      <c r="A870" s="194">
        <v>862</v>
      </c>
      <c r="B870" s="509">
        <v>41085</v>
      </c>
      <c r="C870" s="200" t="s">
        <v>1221</v>
      </c>
      <c r="D870" s="322" t="s">
        <v>1222</v>
      </c>
      <c r="E870" s="198" t="s">
        <v>506</v>
      </c>
      <c r="F870" s="325">
        <v>125</v>
      </c>
      <c r="G870" s="325">
        <v>125</v>
      </c>
      <c r="H870" s="299">
        <v>0</v>
      </c>
      <c r="I870" s="325">
        <v>125</v>
      </c>
      <c r="J870" s="314"/>
    </row>
    <row r="871" spans="1:10" ht="15">
      <c r="A871" s="194">
        <v>863</v>
      </c>
      <c r="B871" s="509">
        <v>41087</v>
      </c>
      <c r="C871" s="200" t="s">
        <v>1919</v>
      </c>
      <c r="D871" s="322" t="s">
        <v>1920</v>
      </c>
      <c r="E871" s="198" t="s">
        <v>506</v>
      </c>
      <c r="F871" s="325">
        <v>125</v>
      </c>
      <c r="G871" s="325">
        <v>125</v>
      </c>
      <c r="H871" s="299">
        <v>0</v>
      </c>
      <c r="I871" s="325">
        <v>125</v>
      </c>
      <c r="J871" s="314"/>
    </row>
    <row r="872" spans="1:10" ht="15">
      <c r="A872" s="194">
        <v>864</v>
      </c>
      <c r="B872" s="509">
        <v>41085</v>
      </c>
      <c r="C872" s="200" t="s">
        <v>1903</v>
      </c>
      <c r="D872" s="322" t="s">
        <v>1904</v>
      </c>
      <c r="E872" s="198" t="s">
        <v>506</v>
      </c>
      <c r="F872" s="325">
        <v>100</v>
      </c>
      <c r="G872" s="325">
        <v>100</v>
      </c>
      <c r="H872" s="299">
        <v>0</v>
      </c>
      <c r="I872" s="325">
        <v>100</v>
      </c>
      <c r="J872" s="314"/>
    </row>
    <row r="873" spans="1:10" ht="15">
      <c r="A873" s="194">
        <v>865</v>
      </c>
      <c r="B873" s="509">
        <v>41085</v>
      </c>
      <c r="C873" s="200" t="s">
        <v>1877</v>
      </c>
      <c r="D873" s="322" t="s">
        <v>1878</v>
      </c>
      <c r="E873" s="198" t="s">
        <v>506</v>
      </c>
      <c r="F873" s="325">
        <v>125</v>
      </c>
      <c r="G873" s="325">
        <v>125</v>
      </c>
      <c r="H873" s="299">
        <v>0</v>
      </c>
      <c r="I873" s="325">
        <v>125</v>
      </c>
      <c r="J873" s="314"/>
    </row>
    <row r="874" spans="1:10" ht="15">
      <c r="A874" s="194">
        <v>866</v>
      </c>
      <c r="B874" s="509">
        <v>41085</v>
      </c>
      <c r="C874" s="200" t="s">
        <v>1925</v>
      </c>
      <c r="D874" s="322" t="s">
        <v>1926</v>
      </c>
      <c r="E874" s="198" t="s">
        <v>506</v>
      </c>
      <c r="F874" s="325">
        <v>100</v>
      </c>
      <c r="G874" s="325">
        <v>100</v>
      </c>
      <c r="H874" s="299">
        <v>0</v>
      </c>
      <c r="I874" s="325">
        <v>100</v>
      </c>
      <c r="J874" s="314"/>
    </row>
    <row r="875" spans="1:10" ht="15">
      <c r="A875" s="194">
        <v>867</v>
      </c>
      <c r="B875" s="509">
        <v>41086</v>
      </c>
      <c r="C875" s="200" t="s">
        <v>1917</v>
      </c>
      <c r="D875" s="322" t="s">
        <v>1918</v>
      </c>
      <c r="E875" s="198" t="s">
        <v>506</v>
      </c>
      <c r="F875" s="325">
        <v>100</v>
      </c>
      <c r="G875" s="325">
        <v>100</v>
      </c>
      <c r="H875" s="299">
        <v>0</v>
      </c>
      <c r="I875" s="325">
        <v>100</v>
      </c>
      <c r="J875" s="314"/>
    </row>
    <row r="876" spans="1:10" ht="15">
      <c r="A876" s="194">
        <v>868</v>
      </c>
      <c r="B876" s="509">
        <v>41085</v>
      </c>
      <c r="C876" s="200" t="s">
        <v>1875</v>
      </c>
      <c r="D876" s="322" t="s">
        <v>1876</v>
      </c>
      <c r="E876" s="198" t="s">
        <v>506</v>
      </c>
      <c r="F876" s="325">
        <v>100</v>
      </c>
      <c r="G876" s="325">
        <v>100</v>
      </c>
      <c r="H876" s="299">
        <v>0</v>
      </c>
      <c r="I876" s="325">
        <v>100</v>
      </c>
      <c r="J876" s="314"/>
    </row>
    <row r="877" spans="1:10" ht="15">
      <c r="A877" s="194">
        <v>869</v>
      </c>
      <c r="B877" s="509">
        <v>41085</v>
      </c>
      <c r="C877" s="200" t="s">
        <v>1201</v>
      </c>
      <c r="D877" s="322" t="s">
        <v>2186</v>
      </c>
      <c r="E877" s="198" t="s">
        <v>506</v>
      </c>
      <c r="F877" s="325">
        <v>100</v>
      </c>
      <c r="G877" s="325">
        <v>100</v>
      </c>
      <c r="H877" s="299">
        <v>0</v>
      </c>
      <c r="I877" s="325">
        <v>100</v>
      </c>
      <c r="J877" s="314"/>
    </row>
    <row r="878" spans="1:10" ht="15">
      <c r="A878" s="194">
        <v>870</v>
      </c>
      <c r="B878" s="509">
        <v>41085</v>
      </c>
      <c r="C878" s="200" t="s">
        <v>619</v>
      </c>
      <c r="D878" s="322" t="s">
        <v>620</v>
      </c>
      <c r="E878" s="198" t="s">
        <v>506</v>
      </c>
      <c r="F878" s="325">
        <v>100</v>
      </c>
      <c r="G878" s="325">
        <v>100</v>
      </c>
      <c r="H878" s="299">
        <v>0</v>
      </c>
      <c r="I878" s="325">
        <v>100</v>
      </c>
      <c r="J878" s="314"/>
    </row>
    <row r="879" spans="1:10" ht="15">
      <c r="A879" s="194">
        <v>871</v>
      </c>
      <c r="B879" s="509">
        <v>41085</v>
      </c>
      <c r="C879" s="200" t="s">
        <v>1883</v>
      </c>
      <c r="D879" s="322" t="s">
        <v>2187</v>
      </c>
      <c r="E879" s="198" t="s">
        <v>506</v>
      </c>
      <c r="F879" s="325">
        <v>100</v>
      </c>
      <c r="G879" s="325">
        <v>100</v>
      </c>
      <c r="H879" s="299">
        <v>0</v>
      </c>
      <c r="I879" s="325">
        <v>100</v>
      </c>
      <c r="J879" s="314"/>
    </row>
    <row r="880" spans="1:10" ht="15">
      <c r="A880" s="194">
        <v>872</v>
      </c>
      <c r="B880" s="509">
        <v>41085</v>
      </c>
      <c r="C880" s="200" t="s">
        <v>1881</v>
      </c>
      <c r="D880" s="322" t="s">
        <v>1882</v>
      </c>
      <c r="E880" s="198" t="s">
        <v>506</v>
      </c>
      <c r="F880" s="325">
        <v>100</v>
      </c>
      <c r="G880" s="325">
        <v>100</v>
      </c>
      <c r="H880" s="299">
        <v>0</v>
      </c>
      <c r="I880" s="325">
        <v>100</v>
      </c>
      <c r="J880" s="314"/>
    </row>
    <row r="881" spans="1:10" ht="15">
      <c r="A881" s="194">
        <v>873</v>
      </c>
      <c r="B881" s="509">
        <v>41085</v>
      </c>
      <c r="C881" s="200" t="s">
        <v>1909</v>
      </c>
      <c r="D881" s="322" t="s">
        <v>1910</v>
      </c>
      <c r="E881" s="198" t="s">
        <v>506</v>
      </c>
      <c r="F881" s="325">
        <v>100</v>
      </c>
      <c r="G881" s="325">
        <v>100</v>
      </c>
      <c r="H881" s="299">
        <v>0</v>
      </c>
      <c r="I881" s="325">
        <v>100</v>
      </c>
      <c r="J881" s="314"/>
    </row>
    <row r="882" spans="1:10" ht="15">
      <c r="A882" s="194">
        <v>874</v>
      </c>
      <c r="B882" s="509">
        <v>41085</v>
      </c>
      <c r="C882" s="200" t="s">
        <v>1921</v>
      </c>
      <c r="D882" s="322" t="s">
        <v>1922</v>
      </c>
      <c r="E882" s="198" t="s">
        <v>506</v>
      </c>
      <c r="F882" s="325">
        <v>100</v>
      </c>
      <c r="G882" s="325">
        <v>100</v>
      </c>
      <c r="H882" s="299">
        <v>0</v>
      </c>
      <c r="I882" s="325">
        <v>100</v>
      </c>
      <c r="J882" s="314"/>
    </row>
    <row r="883" spans="1:10" ht="15">
      <c r="A883" s="194">
        <v>875</v>
      </c>
      <c r="B883" s="509">
        <v>41085</v>
      </c>
      <c r="C883" s="200" t="s">
        <v>1887</v>
      </c>
      <c r="D883" s="322" t="s">
        <v>1888</v>
      </c>
      <c r="E883" s="198" t="s">
        <v>506</v>
      </c>
      <c r="F883" s="325">
        <v>100</v>
      </c>
      <c r="G883" s="325">
        <v>100</v>
      </c>
      <c r="H883" s="299">
        <v>0</v>
      </c>
      <c r="I883" s="325">
        <v>100</v>
      </c>
      <c r="J883" s="314"/>
    </row>
    <row r="884" spans="1:10" ht="15">
      <c r="A884" s="194">
        <v>876</v>
      </c>
      <c r="B884" s="509">
        <v>41085</v>
      </c>
      <c r="C884" s="200" t="s">
        <v>1885</v>
      </c>
      <c r="D884" s="322" t="s">
        <v>2188</v>
      </c>
      <c r="E884" s="198" t="s">
        <v>506</v>
      </c>
      <c r="F884" s="325">
        <v>100</v>
      </c>
      <c r="G884" s="325">
        <v>100</v>
      </c>
      <c r="H884" s="299">
        <v>0</v>
      </c>
      <c r="I884" s="325">
        <v>100</v>
      </c>
      <c r="J884" s="314"/>
    </row>
    <row r="885" spans="1:10" ht="15">
      <c r="A885" s="194">
        <v>877</v>
      </c>
      <c r="B885" s="509">
        <v>41085</v>
      </c>
      <c r="C885" s="200" t="s">
        <v>1901</v>
      </c>
      <c r="D885" s="322" t="s">
        <v>1902</v>
      </c>
      <c r="E885" s="198" t="s">
        <v>506</v>
      </c>
      <c r="F885" s="325">
        <v>125</v>
      </c>
      <c r="G885" s="325">
        <v>125</v>
      </c>
      <c r="H885" s="299">
        <v>0</v>
      </c>
      <c r="I885" s="325">
        <v>125</v>
      </c>
      <c r="J885" s="314"/>
    </row>
    <row r="886" spans="1:10" ht="15">
      <c r="A886" s="194">
        <v>878</v>
      </c>
      <c r="B886" s="509">
        <v>41085</v>
      </c>
      <c r="C886" s="200" t="s">
        <v>2189</v>
      </c>
      <c r="D886" s="322" t="s">
        <v>1900</v>
      </c>
      <c r="E886" s="198" t="s">
        <v>506</v>
      </c>
      <c r="F886" s="325">
        <v>125</v>
      </c>
      <c r="G886" s="325">
        <v>125</v>
      </c>
      <c r="H886" s="299">
        <v>0</v>
      </c>
      <c r="I886" s="325">
        <v>125</v>
      </c>
      <c r="J886" s="314"/>
    </row>
    <row r="887" spans="1:10" ht="15">
      <c r="A887" s="194">
        <v>879</v>
      </c>
      <c r="B887" s="509">
        <v>41085</v>
      </c>
      <c r="C887" s="200" t="s">
        <v>1897</v>
      </c>
      <c r="D887" s="322" t="s">
        <v>1898</v>
      </c>
      <c r="E887" s="198" t="s">
        <v>506</v>
      </c>
      <c r="F887" s="325">
        <v>125</v>
      </c>
      <c r="G887" s="325">
        <v>125</v>
      </c>
      <c r="H887" s="299">
        <v>0</v>
      </c>
      <c r="I887" s="325">
        <v>125</v>
      </c>
      <c r="J887" s="314"/>
    </row>
    <row r="888" spans="1:10" ht="15">
      <c r="A888" s="194">
        <v>880</v>
      </c>
      <c r="B888" s="509">
        <v>41085</v>
      </c>
      <c r="C888" s="200" t="s">
        <v>1895</v>
      </c>
      <c r="D888" s="322" t="s">
        <v>1896</v>
      </c>
      <c r="E888" s="198" t="s">
        <v>506</v>
      </c>
      <c r="F888" s="325">
        <v>125</v>
      </c>
      <c r="G888" s="325">
        <v>125</v>
      </c>
      <c r="H888" s="299">
        <v>0</v>
      </c>
      <c r="I888" s="325">
        <v>125</v>
      </c>
      <c r="J888" s="314"/>
    </row>
    <row r="889" spans="1:10" ht="15">
      <c r="A889" s="194">
        <v>881</v>
      </c>
      <c r="B889" s="509">
        <v>41085</v>
      </c>
      <c r="C889" s="200" t="s">
        <v>1923</v>
      </c>
      <c r="D889" s="322" t="s">
        <v>1924</v>
      </c>
      <c r="E889" s="198" t="s">
        <v>506</v>
      </c>
      <c r="F889" s="325">
        <v>100</v>
      </c>
      <c r="G889" s="325">
        <v>100</v>
      </c>
      <c r="H889" s="299">
        <v>0</v>
      </c>
      <c r="I889" s="325">
        <v>100</v>
      </c>
      <c r="J889" s="314"/>
    </row>
    <row r="890" spans="1:10" ht="15">
      <c r="A890" s="194">
        <v>882</v>
      </c>
      <c r="B890" s="509">
        <v>41085</v>
      </c>
      <c r="C890" s="200" t="s">
        <v>645</v>
      </c>
      <c r="D890" s="322" t="s">
        <v>646</v>
      </c>
      <c r="E890" s="198" t="s">
        <v>506</v>
      </c>
      <c r="F890" s="325">
        <v>100</v>
      </c>
      <c r="G890" s="325">
        <v>100</v>
      </c>
      <c r="H890" s="299">
        <v>0</v>
      </c>
      <c r="I890" s="325">
        <v>100</v>
      </c>
      <c r="J890" s="314"/>
    </row>
    <row r="891" spans="1:10" ht="15">
      <c r="A891" s="194">
        <v>883</v>
      </c>
      <c r="B891" s="509">
        <v>41085</v>
      </c>
      <c r="C891" s="200" t="s">
        <v>625</v>
      </c>
      <c r="D891" s="322" t="s">
        <v>626</v>
      </c>
      <c r="E891" s="198" t="s">
        <v>506</v>
      </c>
      <c r="F891" s="325">
        <v>162.5</v>
      </c>
      <c r="G891" s="325">
        <v>162.5</v>
      </c>
      <c r="H891" s="299">
        <v>0</v>
      </c>
      <c r="I891" s="325">
        <v>162.5</v>
      </c>
      <c r="J891" s="314"/>
    </row>
    <row r="892" spans="1:10" ht="15">
      <c r="A892" s="194">
        <v>884</v>
      </c>
      <c r="B892" s="509">
        <v>41085</v>
      </c>
      <c r="C892" s="200" t="s">
        <v>2190</v>
      </c>
      <c r="D892" s="322" t="s">
        <v>1890</v>
      </c>
      <c r="E892" s="198" t="s">
        <v>506</v>
      </c>
      <c r="F892" s="325">
        <v>125</v>
      </c>
      <c r="G892" s="325">
        <v>125</v>
      </c>
      <c r="H892" s="299">
        <v>0</v>
      </c>
      <c r="I892" s="325">
        <v>125</v>
      </c>
      <c r="J892" s="314"/>
    </row>
    <row r="893" spans="1:10" ht="15">
      <c r="A893" s="194">
        <v>885</v>
      </c>
      <c r="B893" s="509">
        <v>41085</v>
      </c>
      <c r="C893" s="200" t="s">
        <v>2191</v>
      </c>
      <c r="D893" s="322" t="s">
        <v>1873</v>
      </c>
      <c r="E893" s="198" t="s">
        <v>506</v>
      </c>
      <c r="F893" s="325">
        <v>100</v>
      </c>
      <c r="G893" s="325">
        <v>100</v>
      </c>
      <c r="H893" s="299">
        <v>0</v>
      </c>
      <c r="I893" s="325">
        <v>100</v>
      </c>
      <c r="J893" s="314"/>
    </row>
    <row r="894" spans="1:10" ht="15">
      <c r="A894" s="194">
        <v>886</v>
      </c>
      <c r="B894" s="509">
        <v>41085</v>
      </c>
      <c r="C894" s="200" t="s">
        <v>2192</v>
      </c>
      <c r="D894" s="322" t="s">
        <v>652</v>
      </c>
      <c r="E894" s="198" t="s">
        <v>506</v>
      </c>
      <c r="F894" s="325">
        <v>100</v>
      </c>
      <c r="G894" s="325">
        <v>100</v>
      </c>
      <c r="H894" s="299">
        <v>0</v>
      </c>
      <c r="I894" s="325">
        <v>100</v>
      </c>
      <c r="J894" s="314"/>
    </row>
    <row r="895" spans="1:10" ht="15">
      <c r="A895" s="194">
        <v>887</v>
      </c>
      <c r="B895" s="509">
        <v>41085</v>
      </c>
      <c r="C895" s="200" t="s">
        <v>1893</v>
      </c>
      <c r="D895" s="322" t="s">
        <v>1894</v>
      </c>
      <c r="E895" s="198" t="s">
        <v>506</v>
      </c>
      <c r="F895" s="325">
        <v>125</v>
      </c>
      <c r="G895" s="325">
        <v>125</v>
      </c>
      <c r="H895" s="299">
        <v>0</v>
      </c>
      <c r="I895" s="325">
        <v>125</v>
      </c>
      <c r="J895" s="314"/>
    </row>
    <row r="896" spans="1:10" ht="15">
      <c r="A896" s="194">
        <v>888</v>
      </c>
      <c r="B896" s="509">
        <v>41085</v>
      </c>
      <c r="C896" s="200" t="s">
        <v>2193</v>
      </c>
      <c r="D896" s="322" t="s">
        <v>1906</v>
      </c>
      <c r="E896" s="198" t="s">
        <v>506</v>
      </c>
      <c r="F896" s="325">
        <v>100</v>
      </c>
      <c r="G896" s="325">
        <v>100</v>
      </c>
      <c r="H896" s="299">
        <v>0</v>
      </c>
      <c r="I896" s="325">
        <v>100</v>
      </c>
      <c r="J896" s="314"/>
    </row>
    <row r="897" spans="1:10" ht="15">
      <c r="A897" s="194">
        <v>889</v>
      </c>
      <c r="B897" s="509">
        <v>41080</v>
      </c>
      <c r="C897" s="200" t="s">
        <v>2194</v>
      </c>
      <c r="D897" s="322" t="s">
        <v>2195</v>
      </c>
      <c r="E897" s="198" t="s">
        <v>506</v>
      </c>
      <c r="F897" s="325">
        <v>162.5</v>
      </c>
      <c r="G897" s="325">
        <v>162.5</v>
      </c>
      <c r="H897" s="299">
        <v>0</v>
      </c>
      <c r="I897" s="325">
        <v>162.5</v>
      </c>
      <c r="J897" s="314"/>
    </row>
    <row r="898" spans="1:10" s="523" customFormat="1" ht="15">
      <c r="A898" s="515">
        <v>890</v>
      </c>
      <c r="B898" s="516">
        <v>41100</v>
      </c>
      <c r="C898" s="517" t="s">
        <v>2196</v>
      </c>
      <c r="D898" s="537" t="s">
        <v>2197</v>
      </c>
      <c r="E898" s="538" t="s">
        <v>2198</v>
      </c>
      <c r="F898" s="539">
        <v>1853.5</v>
      </c>
      <c r="G898" s="539">
        <v>1853.5</v>
      </c>
      <c r="H898" s="521">
        <v>0</v>
      </c>
      <c r="I898" s="539">
        <v>1853.5</v>
      </c>
      <c r="J898" s="522"/>
    </row>
    <row r="899" spans="1:10" s="523" customFormat="1" ht="15.75" customHeight="1">
      <c r="A899" s="515">
        <v>891</v>
      </c>
      <c r="B899" s="516">
        <v>40940</v>
      </c>
      <c r="C899" s="517" t="s">
        <v>2199</v>
      </c>
      <c r="D899" s="518" t="s">
        <v>2200</v>
      </c>
      <c r="E899" s="519" t="s">
        <v>2201</v>
      </c>
      <c r="F899" s="520">
        <v>772.98</v>
      </c>
      <c r="G899" s="520">
        <v>772.98</v>
      </c>
      <c r="H899" s="521">
        <v>0</v>
      </c>
      <c r="I899" s="520">
        <v>772.98</v>
      </c>
      <c r="J899" s="522"/>
    </row>
    <row r="900" spans="1:10" s="523" customFormat="1" ht="16.5" customHeight="1">
      <c r="A900" s="515">
        <v>892</v>
      </c>
      <c r="B900" s="524">
        <v>41061</v>
      </c>
      <c r="C900" s="517" t="s">
        <v>2204</v>
      </c>
      <c r="D900" s="518" t="s">
        <v>2205</v>
      </c>
      <c r="E900" s="519" t="s">
        <v>2206</v>
      </c>
      <c r="F900" s="520">
        <v>42591.58</v>
      </c>
      <c r="G900" s="520">
        <v>42591.58</v>
      </c>
      <c r="H900" s="521">
        <v>0</v>
      </c>
      <c r="I900" s="520">
        <v>42591.58</v>
      </c>
      <c r="J900" s="522"/>
    </row>
    <row r="901" spans="1:10" s="523" customFormat="1" ht="15">
      <c r="A901" s="515">
        <v>893</v>
      </c>
      <c r="B901" s="524">
        <v>41085</v>
      </c>
      <c r="C901" s="517" t="s">
        <v>2207</v>
      </c>
      <c r="D901" s="518" t="s">
        <v>2208</v>
      </c>
      <c r="E901" s="519" t="s">
        <v>2209</v>
      </c>
      <c r="F901" s="520">
        <v>6136.7000000000007</v>
      </c>
      <c r="G901" s="520">
        <v>6136.7000000000007</v>
      </c>
      <c r="H901" s="521">
        <v>0</v>
      </c>
      <c r="I901" s="520">
        <v>6136.7000000000007</v>
      </c>
      <c r="J901" s="522"/>
    </row>
    <row r="902" spans="1:10" s="523" customFormat="1" ht="15.75" customHeight="1">
      <c r="A902" s="515">
        <v>894</v>
      </c>
      <c r="B902" s="524">
        <v>40947</v>
      </c>
      <c r="C902" s="517" t="s">
        <v>2211</v>
      </c>
      <c r="D902" s="518" t="s">
        <v>2212</v>
      </c>
      <c r="E902" s="519" t="s">
        <v>2213</v>
      </c>
      <c r="F902" s="520">
        <v>145816.19</v>
      </c>
      <c r="G902" s="520">
        <v>145816.19</v>
      </c>
      <c r="H902" s="521">
        <v>0</v>
      </c>
      <c r="I902" s="520">
        <v>145816.19</v>
      </c>
      <c r="J902" s="522"/>
    </row>
    <row r="903" spans="1:10" s="523" customFormat="1" ht="15">
      <c r="A903" s="515">
        <v>895</v>
      </c>
      <c r="B903" s="524">
        <v>41102</v>
      </c>
      <c r="C903" s="517" t="s">
        <v>2214</v>
      </c>
      <c r="D903" s="518" t="s">
        <v>2197</v>
      </c>
      <c r="E903" s="519" t="s">
        <v>2215</v>
      </c>
      <c r="F903" s="520">
        <v>7855</v>
      </c>
      <c r="G903" s="520">
        <v>7855</v>
      </c>
      <c r="H903" s="521">
        <v>0</v>
      </c>
      <c r="I903" s="520">
        <v>7855</v>
      </c>
      <c r="J903" s="522"/>
    </row>
    <row r="904" spans="1:10" ht="15.75">
      <c r="A904" s="194">
        <v>896</v>
      </c>
      <c r="B904" s="330" t="s">
        <v>2216</v>
      </c>
      <c r="C904" s="200" t="s">
        <v>2217</v>
      </c>
      <c r="D904" s="329" t="s">
        <v>2218</v>
      </c>
      <c r="E904" s="320" t="s">
        <v>2219</v>
      </c>
      <c r="F904" s="325">
        <v>113.428</v>
      </c>
      <c r="G904" s="325">
        <v>113.428</v>
      </c>
      <c r="H904" s="299">
        <v>0</v>
      </c>
      <c r="I904" s="325">
        <v>113.428</v>
      </c>
      <c r="J904" s="314"/>
    </row>
    <row r="905" spans="1:10" ht="15.75">
      <c r="A905" s="194">
        <v>897</v>
      </c>
      <c r="B905" s="330" t="s">
        <v>2216</v>
      </c>
      <c r="C905" s="200" t="s">
        <v>2220</v>
      </c>
      <c r="D905" s="329" t="s">
        <v>2221</v>
      </c>
      <c r="E905" s="320" t="s">
        <v>2219</v>
      </c>
      <c r="F905" s="325">
        <v>143.428</v>
      </c>
      <c r="G905" s="325">
        <v>143.428</v>
      </c>
      <c r="H905" s="299">
        <v>0</v>
      </c>
      <c r="I905" s="325">
        <v>143.428</v>
      </c>
      <c r="J905" s="314"/>
    </row>
    <row r="906" spans="1:10" ht="15.75">
      <c r="A906" s="194">
        <v>898</v>
      </c>
      <c r="B906" s="330" t="s">
        <v>2216</v>
      </c>
      <c r="C906" s="200" t="s">
        <v>2222</v>
      </c>
      <c r="D906" s="329" t="s">
        <v>2223</v>
      </c>
      <c r="E906" s="320" t="s">
        <v>2219</v>
      </c>
      <c r="F906" s="325">
        <v>113.428</v>
      </c>
      <c r="G906" s="325">
        <v>113.428</v>
      </c>
      <c r="H906" s="299">
        <v>0</v>
      </c>
      <c r="I906" s="325">
        <v>113.428</v>
      </c>
      <c r="J906" s="314"/>
    </row>
    <row r="907" spans="1:10" ht="15.75">
      <c r="A907" s="194">
        <v>899</v>
      </c>
      <c r="B907" s="330" t="s">
        <v>2224</v>
      </c>
      <c r="C907" s="200" t="s">
        <v>2225</v>
      </c>
      <c r="D907" s="329" t="s">
        <v>2226</v>
      </c>
      <c r="E907" s="320" t="s">
        <v>2219</v>
      </c>
      <c r="F907" s="325">
        <v>105</v>
      </c>
      <c r="G907" s="325">
        <v>105</v>
      </c>
      <c r="H907" s="299">
        <v>0</v>
      </c>
      <c r="I907" s="325">
        <v>105</v>
      </c>
      <c r="J907" s="314"/>
    </row>
    <row r="908" spans="1:10" ht="15.75">
      <c r="A908" s="194">
        <v>900</v>
      </c>
      <c r="B908" s="330" t="s">
        <v>2227</v>
      </c>
      <c r="C908" s="200" t="s">
        <v>2228</v>
      </c>
      <c r="D908" s="329" t="s">
        <v>2229</v>
      </c>
      <c r="E908" s="320" t="s">
        <v>2219</v>
      </c>
      <c r="F908" s="325">
        <v>15</v>
      </c>
      <c r="G908" s="325">
        <v>15</v>
      </c>
      <c r="H908" s="299">
        <v>0</v>
      </c>
      <c r="I908" s="325">
        <v>15</v>
      </c>
      <c r="J908" s="314"/>
    </row>
    <row r="909" spans="1:10" ht="15.75">
      <c r="A909" s="194">
        <v>901</v>
      </c>
      <c r="B909" s="330" t="s">
        <v>2227</v>
      </c>
      <c r="C909" s="200" t="s">
        <v>2230</v>
      </c>
      <c r="D909" s="329" t="s">
        <v>2231</v>
      </c>
      <c r="E909" s="320" t="s">
        <v>2219</v>
      </c>
      <c r="F909" s="325">
        <v>15</v>
      </c>
      <c r="G909" s="325">
        <v>15</v>
      </c>
      <c r="H909" s="299">
        <v>0</v>
      </c>
      <c r="I909" s="325">
        <v>15</v>
      </c>
      <c r="J909" s="314"/>
    </row>
    <row r="910" spans="1:10" ht="15.75">
      <c r="A910" s="194">
        <v>902</v>
      </c>
      <c r="B910" s="330" t="s">
        <v>2232</v>
      </c>
      <c r="C910" s="200" t="s">
        <v>2233</v>
      </c>
      <c r="D910" s="329" t="s">
        <v>2234</v>
      </c>
      <c r="E910" s="320" t="s">
        <v>2219</v>
      </c>
      <c r="F910" s="325">
        <v>30</v>
      </c>
      <c r="G910" s="325">
        <v>30</v>
      </c>
      <c r="H910" s="299">
        <v>0</v>
      </c>
      <c r="I910" s="325">
        <v>30</v>
      </c>
      <c r="J910" s="314"/>
    </row>
    <row r="911" spans="1:10" ht="15.75">
      <c r="A911" s="194">
        <v>903</v>
      </c>
      <c r="B911" s="330" t="s">
        <v>2235</v>
      </c>
      <c r="C911" s="200" t="s">
        <v>2236</v>
      </c>
      <c r="D911" s="329" t="s">
        <v>2237</v>
      </c>
      <c r="E911" s="320" t="s">
        <v>2219</v>
      </c>
      <c r="F911" s="325">
        <v>15</v>
      </c>
      <c r="G911" s="325">
        <v>15</v>
      </c>
      <c r="H911" s="299">
        <v>0</v>
      </c>
      <c r="I911" s="325">
        <v>15</v>
      </c>
      <c r="J911" s="314"/>
    </row>
    <row r="912" spans="1:10" ht="15.75">
      <c r="A912" s="194">
        <v>904</v>
      </c>
      <c r="B912" s="330" t="s">
        <v>2235</v>
      </c>
      <c r="C912" s="200" t="s">
        <v>2238</v>
      </c>
      <c r="D912" s="329" t="s">
        <v>2239</v>
      </c>
      <c r="E912" s="320" t="s">
        <v>2219</v>
      </c>
      <c r="F912" s="325">
        <v>15</v>
      </c>
      <c r="G912" s="325">
        <v>15</v>
      </c>
      <c r="H912" s="299">
        <v>0</v>
      </c>
      <c r="I912" s="325">
        <v>15</v>
      </c>
      <c r="J912" s="314"/>
    </row>
    <row r="913" spans="1:10" ht="15.75">
      <c r="A913" s="194">
        <v>905</v>
      </c>
      <c r="B913" s="330" t="s">
        <v>2235</v>
      </c>
      <c r="C913" s="200" t="s">
        <v>2240</v>
      </c>
      <c r="D913" s="329" t="s">
        <v>2241</v>
      </c>
      <c r="E913" s="320" t="s">
        <v>2219</v>
      </c>
      <c r="F913" s="325">
        <v>15</v>
      </c>
      <c r="G913" s="325">
        <v>15</v>
      </c>
      <c r="H913" s="299">
        <v>0</v>
      </c>
      <c r="I913" s="325">
        <v>15</v>
      </c>
      <c r="J913" s="314"/>
    </row>
    <row r="914" spans="1:10" s="523" customFormat="1" ht="15">
      <c r="A914" s="515">
        <v>906</v>
      </c>
      <c r="B914" s="524">
        <v>41072</v>
      </c>
      <c r="C914" s="517" t="s">
        <v>2242</v>
      </c>
      <c r="D914" s="533" t="s">
        <v>2243</v>
      </c>
      <c r="E914" s="519" t="s">
        <v>2210</v>
      </c>
      <c r="F914" s="520">
        <v>183.33</v>
      </c>
      <c r="G914" s="520">
        <v>183.33</v>
      </c>
      <c r="H914" s="521">
        <v>0</v>
      </c>
      <c r="I914" s="520">
        <v>183.33</v>
      </c>
      <c r="J914" s="522"/>
    </row>
    <row r="915" spans="1:10" s="523" customFormat="1" ht="16.5" customHeight="1">
      <c r="A915" s="515">
        <v>907</v>
      </c>
      <c r="B915" s="524">
        <v>41075</v>
      </c>
      <c r="C915" s="517" t="s">
        <v>2244</v>
      </c>
      <c r="D915" s="533" t="s">
        <v>2245</v>
      </c>
      <c r="E915" s="519" t="s">
        <v>2206</v>
      </c>
      <c r="F915" s="520">
        <v>750</v>
      </c>
      <c r="G915" s="520">
        <v>750</v>
      </c>
      <c r="H915" s="521">
        <v>0</v>
      </c>
      <c r="I915" s="520">
        <v>750</v>
      </c>
      <c r="J915" s="522"/>
    </row>
    <row r="916" spans="1:10" s="523" customFormat="1" ht="16.5" customHeight="1">
      <c r="A916" s="515">
        <v>908</v>
      </c>
      <c r="B916" s="524">
        <v>41075</v>
      </c>
      <c r="C916" s="517" t="s">
        <v>2246</v>
      </c>
      <c r="D916" s="533" t="s">
        <v>2247</v>
      </c>
      <c r="E916" s="519" t="s">
        <v>2206</v>
      </c>
      <c r="F916" s="520">
        <v>750</v>
      </c>
      <c r="G916" s="520">
        <v>750</v>
      </c>
      <c r="H916" s="521">
        <v>0</v>
      </c>
      <c r="I916" s="520">
        <v>750</v>
      </c>
      <c r="J916" s="522"/>
    </row>
    <row r="917" spans="1:10" s="523" customFormat="1" ht="16.5" customHeight="1">
      <c r="A917" s="515">
        <v>909</v>
      </c>
      <c r="B917" s="524">
        <v>41075</v>
      </c>
      <c r="C917" s="517" t="s">
        <v>2248</v>
      </c>
      <c r="D917" s="518" t="s">
        <v>2249</v>
      </c>
      <c r="E917" s="519" t="s">
        <v>2206</v>
      </c>
      <c r="F917" s="520">
        <v>750</v>
      </c>
      <c r="G917" s="520">
        <v>750</v>
      </c>
      <c r="H917" s="521">
        <v>0</v>
      </c>
      <c r="I917" s="520">
        <v>750</v>
      </c>
      <c r="J917" s="522"/>
    </row>
    <row r="918" spans="1:10" s="523" customFormat="1" ht="15">
      <c r="A918" s="515">
        <v>910</v>
      </c>
      <c r="B918" s="524">
        <v>41075</v>
      </c>
      <c r="C918" s="517" t="s">
        <v>2250</v>
      </c>
      <c r="D918" s="518" t="s">
        <v>2251</v>
      </c>
      <c r="E918" s="519" t="s">
        <v>2206</v>
      </c>
      <c r="F918" s="520">
        <v>750</v>
      </c>
      <c r="G918" s="520">
        <v>750</v>
      </c>
      <c r="H918" s="521">
        <v>0</v>
      </c>
      <c r="I918" s="520">
        <v>750</v>
      </c>
      <c r="J918" s="522"/>
    </row>
    <row r="919" spans="1:10" s="523" customFormat="1" ht="15">
      <c r="A919" s="515">
        <v>911</v>
      </c>
      <c r="B919" s="524">
        <v>41075</v>
      </c>
      <c r="C919" s="517" t="s">
        <v>2252</v>
      </c>
      <c r="D919" s="518" t="s">
        <v>2253</v>
      </c>
      <c r="E919" s="519" t="s">
        <v>2206</v>
      </c>
      <c r="F919" s="520">
        <v>750</v>
      </c>
      <c r="G919" s="520">
        <v>750</v>
      </c>
      <c r="H919" s="521">
        <v>0</v>
      </c>
      <c r="I919" s="520">
        <v>750</v>
      </c>
      <c r="J919" s="522"/>
    </row>
    <row r="920" spans="1:10" s="523" customFormat="1" ht="15">
      <c r="A920" s="515">
        <v>912</v>
      </c>
      <c r="B920" s="524">
        <v>41075</v>
      </c>
      <c r="C920" s="517" t="s">
        <v>2254</v>
      </c>
      <c r="D920" s="518" t="s">
        <v>2255</v>
      </c>
      <c r="E920" s="519" t="s">
        <v>2206</v>
      </c>
      <c r="F920" s="520">
        <v>750</v>
      </c>
      <c r="G920" s="520">
        <v>750</v>
      </c>
      <c r="H920" s="521">
        <v>0</v>
      </c>
      <c r="I920" s="520">
        <v>750</v>
      </c>
      <c r="J920" s="522"/>
    </row>
    <row r="921" spans="1:10" s="523" customFormat="1" ht="15">
      <c r="A921" s="515">
        <v>913</v>
      </c>
      <c r="B921" s="524">
        <v>41120</v>
      </c>
      <c r="C921" s="525" t="s">
        <v>2256</v>
      </c>
      <c r="D921" s="526" t="s">
        <v>2257</v>
      </c>
      <c r="E921" s="540" t="s">
        <v>2258</v>
      </c>
      <c r="F921" s="520">
        <v>450</v>
      </c>
      <c r="G921" s="520">
        <v>450</v>
      </c>
      <c r="H921" s="521">
        <v>0</v>
      </c>
      <c r="I921" s="520">
        <v>450</v>
      </c>
      <c r="J921" s="522"/>
    </row>
    <row r="922" spans="1:10" s="523" customFormat="1" ht="15">
      <c r="A922" s="515">
        <v>914</v>
      </c>
      <c r="B922" s="524">
        <v>41121</v>
      </c>
      <c r="C922" s="525" t="s">
        <v>2259</v>
      </c>
      <c r="D922" s="526" t="s">
        <v>2260</v>
      </c>
      <c r="E922" s="527" t="s">
        <v>2261</v>
      </c>
      <c r="F922" s="520">
        <v>40</v>
      </c>
      <c r="G922" s="520">
        <v>40</v>
      </c>
      <c r="H922" s="521">
        <v>0</v>
      </c>
      <c r="I922" s="520">
        <v>40</v>
      </c>
      <c r="J922" s="522"/>
    </row>
    <row r="923" spans="1:10" s="523" customFormat="1" ht="15.75" customHeight="1">
      <c r="A923" s="515">
        <v>915</v>
      </c>
      <c r="B923" s="524">
        <v>41121</v>
      </c>
      <c r="C923" s="525" t="s">
        <v>2202</v>
      </c>
      <c r="D923" s="526" t="s">
        <v>2203</v>
      </c>
      <c r="E923" s="527" t="s">
        <v>2262</v>
      </c>
      <c r="F923" s="520">
        <v>6699.87</v>
      </c>
      <c r="G923" s="520">
        <v>6699.87</v>
      </c>
      <c r="H923" s="521">
        <v>0</v>
      </c>
      <c r="I923" s="520">
        <v>6699.87</v>
      </c>
      <c r="J923" s="522"/>
    </row>
    <row r="924" spans="1:10" s="523" customFormat="1" ht="15">
      <c r="A924" s="515">
        <v>916</v>
      </c>
      <c r="B924" s="524">
        <v>41121</v>
      </c>
      <c r="C924" s="525" t="s">
        <v>203</v>
      </c>
      <c r="D924" s="526" t="s">
        <v>2263</v>
      </c>
      <c r="E924" s="527" t="s">
        <v>2264</v>
      </c>
      <c r="F924" s="520">
        <v>200</v>
      </c>
      <c r="G924" s="520">
        <v>200</v>
      </c>
      <c r="H924" s="521">
        <v>0</v>
      </c>
      <c r="I924" s="520">
        <v>200</v>
      </c>
      <c r="J924" s="522"/>
    </row>
    <row r="925" spans="1:10" s="523" customFormat="1" ht="15">
      <c r="A925" s="515">
        <v>917</v>
      </c>
      <c r="B925" s="524">
        <v>41121</v>
      </c>
      <c r="C925" s="527" t="s">
        <v>2265</v>
      </c>
      <c r="D925" s="518" t="s">
        <v>2266</v>
      </c>
      <c r="E925" s="527" t="s">
        <v>2267</v>
      </c>
      <c r="F925" s="535">
        <v>14570.541666666666</v>
      </c>
      <c r="G925" s="535">
        <v>14570.541666666666</v>
      </c>
      <c r="H925" s="521">
        <v>0</v>
      </c>
      <c r="I925" s="535">
        <v>14570.541666666666</v>
      </c>
      <c r="J925" s="522"/>
    </row>
    <row r="926" spans="1:10" s="523" customFormat="1" ht="15">
      <c r="A926" s="515">
        <v>918</v>
      </c>
      <c r="B926" s="524">
        <v>41121</v>
      </c>
      <c r="C926" s="536" t="s">
        <v>2268</v>
      </c>
      <c r="D926" s="518" t="s">
        <v>2269</v>
      </c>
      <c r="E926" s="536" t="s">
        <v>2210</v>
      </c>
      <c r="F926" s="535">
        <v>509.92666666666668</v>
      </c>
      <c r="G926" s="535">
        <v>509.92666666666668</v>
      </c>
      <c r="H926" s="521">
        <v>0</v>
      </c>
      <c r="I926" s="535">
        <v>509.92666666666668</v>
      </c>
      <c r="J926" s="522"/>
    </row>
    <row r="927" spans="1:10" s="523" customFormat="1" ht="15">
      <c r="A927" s="515">
        <v>919</v>
      </c>
      <c r="B927" s="524">
        <v>41121</v>
      </c>
      <c r="C927" s="536" t="s">
        <v>2270</v>
      </c>
      <c r="D927" s="518" t="s">
        <v>2271</v>
      </c>
      <c r="E927" s="536" t="s">
        <v>2272</v>
      </c>
      <c r="F927" s="535">
        <v>1161.44</v>
      </c>
      <c r="G927" s="535">
        <v>1161.44</v>
      </c>
      <c r="H927" s="521">
        <v>0</v>
      </c>
      <c r="I927" s="535">
        <v>1161.44</v>
      </c>
      <c r="J927" s="522"/>
    </row>
    <row r="928" spans="1:10" s="523" customFormat="1" ht="15">
      <c r="A928" s="515">
        <v>920</v>
      </c>
      <c r="B928" s="544">
        <v>41115</v>
      </c>
      <c r="C928" s="545" t="s">
        <v>2273</v>
      </c>
      <c r="D928" s="546" t="s">
        <v>2274</v>
      </c>
      <c r="E928" s="547" t="s">
        <v>2275</v>
      </c>
      <c r="F928" s="543">
        <v>5680</v>
      </c>
      <c r="G928" s="543">
        <v>5680</v>
      </c>
      <c r="H928" s="548">
        <v>0</v>
      </c>
      <c r="I928" s="543">
        <v>5680</v>
      </c>
      <c r="J928" s="522"/>
    </row>
    <row r="929" spans="1:10" s="523" customFormat="1" ht="25.5">
      <c r="A929" s="515">
        <v>921</v>
      </c>
      <c r="B929" s="524" t="s">
        <v>3063</v>
      </c>
      <c r="C929" s="528" t="s">
        <v>3064</v>
      </c>
      <c r="D929" s="528" t="s">
        <v>3065</v>
      </c>
      <c r="E929" s="519" t="s">
        <v>3066</v>
      </c>
      <c r="F929" s="529">
        <v>1</v>
      </c>
      <c r="G929" s="529">
        <v>1</v>
      </c>
      <c r="H929" s="530">
        <v>0</v>
      </c>
      <c r="I929" s="529">
        <v>1</v>
      </c>
      <c r="J929" s="522"/>
    </row>
    <row r="930" spans="1:10" s="523" customFormat="1" ht="25.5">
      <c r="A930" s="515">
        <v>922</v>
      </c>
      <c r="B930" s="524" t="s">
        <v>3063</v>
      </c>
      <c r="C930" s="528" t="s">
        <v>3064</v>
      </c>
      <c r="D930" s="528" t="s">
        <v>3065</v>
      </c>
      <c r="E930" s="519" t="s">
        <v>3066</v>
      </c>
      <c r="F930" s="529">
        <v>0.5</v>
      </c>
      <c r="G930" s="529">
        <v>0.5</v>
      </c>
      <c r="H930" s="530">
        <v>0</v>
      </c>
      <c r="I930" s="529">
        <v>0.5</v>
      </c>
      <c r="J930" s="522"/>
    </row>
    <row r="931" spans="1:10" s="523" customFormat="1" ht="25.5">
      <c r="A931" s="515">
        <v>923</v>
      </c>
      <c r="B931" s="524" t="s">
        <v>3063</v>
      </c>
      <c r="C931" s="528" t="s">
        <v>3064</v>
      </c>
      <c r="D931" s="528" t="s">
        <v>3065</v>
      </c>
      <c r="E931" s="519" t="s">
        <v>3066</v>
      </c>
      <c r="F931" s="529">
        <v>77.5</v>
      </c>
      <c r="G931" s="529">
        <v>77.5</v>
      </c>
      <c r="H931" s="530">
        <v>0</v>
      </c>
      <c r="I931" s="529">
        <v>77.5</v>
      </c>
      <c r="J931" s="522"/>
    </row>
    <row r="932" spans="1:10" s="523" customFormat="1" ht="15">
      <c r="A932" s="515">
        <v>924</v>
      </c>
      <c r="B932" s="524" t="s">
        <v>3067</v>
      </c>
      <c r="C932" s="525" t="s">
        <v>2211</v>
      </c>
      <c r="D932" s="528" t="s">
        <v>2212</v>
      </c>
      <c r="E932" s="519" t="s">
        <v>3068</v>
      </c>
      <c r="F932" s="529">
        <v>5817.87</v>
      </c>
      <c r="G932" s="529">
        <v>5817.87</v>
      </c>
      <c r="H932" s="530">
        <v>0</v>
      </c>
      <c r="I932" s="529">
        <v>5817.87</v>
      </c>
      <c r="J932" s="522"/>
    </row>
    <row r="933" spans="1:10" s="523" customFormat="1" ht="25.5">
      <c r="A933" s="515">
        <v>925</v>
      </c>
      <c r="B933" s="524" t="s">
        <v>3069</v>
      </c>
      <c r="C933" s="528" t="s">
        <v>3064</v>
      </c>
      <c r="D933" s="528" t="s">
        <v>3065</v>
      </c>
      <c r="E933" s="519" t="s">
        <v>3066</v>
      </c>
      <c r="F933" s="529">
        <v>1</v>
      </c>
      <c r="G933" s="529">
        <v>1</v>
      </c>
      <c r="H933" s="530">
        <v>0</v>
      </c>
      <c r="I933" s="529">
        <v>1</v>
      </c>
      <c r="J933" s="522"/>
    </row>
    <row r="934" spans="1:10" s="523" customFormat="1" ht="25.5">
      <c r="A934" s="515">
        <v>926</v>
      </c>
      <c r="B934" s="524" t="s">
        <v>3069</v>
      </c>
      <c r="C934" s="528" t="s">
        <v>3064</v>
      </c>
      <c r="D934" s="528" t="s">
        <v>3065</v>
      </c>
      <c r="E934" s="519" t="s">
        <v>3066</v>
      </c>
      <c r="F934" s="529">
        <v>0.5</v>
      </c>
      <c r="G934" s="529">
        <v>0.5</v>
      </c>
      <c r="H934" s="530">
        <v>0</v>
      </c>
      <c r="I934" s="529">
        <v>0.5</v>
      </c>
      <c r="J934" s="522"/>
    </row>
    <row r="935" spans="1:10" s="523" customFormat="1" ht="25.5">
      <c r="A935" s="515">
        <v>927</v>
      </c>
      <c r="B935" s="524" t="s">
        <v>3069</v>
      </c>
      <c r="C935" s="528" t="s">
        <v>3064</v>
      </c>
      <c r="D935" s="528" t="s">
        <v>3065</v>
      </c>
      <c r="E935" s="519" t="s">
        <v>3066</v>
      </c>
      <c r="F935" s="529">
        <v>77.5</v>
      </c>
      <c r="G935" s="529">
        <v>77.5</v>
      </c>
      <c r="H935" s="530">
        <v>0</v>
      </c>
      <c r="I935" s="529">
        <v>77.5</v>
      </c>
      <c r="J935" s="522"/>
    </row>
    <row r="936" spans="1:10" s="523" customFormat="1" ht="15">
      <c r="A936" s="515">
        <v>928</v>
      </c>
      <c r="B936" s="524" t="s">
        <v>2706</v>
      </c>
      <c r="C936" s="534" t="s">
        <v>3070</v>
      </c>
      <c r="D936" s="528" t="s">
        <v>3071</v>
      </c>
      <c r="E936" s="519" t="s">
        <v>3072</v>
      </c>
      <c r="F936" s="529">
        <v>45</v>
      </c>
      <c r="G936" s="529">
        <v>45</v>
      </c>
      <c r="H936" s="530">
        <v>0</v>
      </c>
      <c r="I936" s="529">
        <v>45</v>
      </c>
      <c r="J936" s="522"/>
    </row>
    <row r="937" spans="1:10" s="523" customFormat="1" ht="15">
      <c r="A937" s="515">
        <v>929</v>
      </c>
      <c r="B937" s="524" t="s">
        <v>3073</v>
      </c>
      <c r="C937" s="528" t="s">
        <v>2211</v>
      </c>
      <c r="D937" s="528" t="s">
        <v>2212</v>
      </c>
      <c r="E937" s="519" t="s">
        <v>3068</v>
      </c>
      <c r="F937" s="529">
        <v>2000</v>
      </c>
      <c r="G937" s="529">
        <v>2000</v>
      </c>
      <c r="H937" s="530">
        <v>0</v>
      </c>
      <c r="I937" s="529">
        <v>2000</v>
      </c>
      <c r="J937" s="522"/>
    </row>
    <row r="938" spans="1:10" s="523" customFormat="1" ht="25.5">
      <c r="A938" s="515">
        <v>930</v>
      </c>
      <c r="B938" s="524" t="s">
        <v>2712</v>
      </c>
      <c r="C938" s="528" t="s">
        <v>3064</v>
      </c>
      <c r="D938" s="528" t="s">
        <v>3065</v>
      </c>
      <c r="E938" s="519" t="s">
        <v>3066</v>
      </c>
      <c r="F938" s="529">
        <v>3.5</v>
      </c>
      <c r="G938" s="529">
        <v>3.5</v>
      </c>
      <c r="H938" s="530">
        <v>0</v>
      </c>
      <c r="I938" s="529">
        <v>3.5</v>
      </c>
      <c r="J938" s="522"/>
    </row>
    <row r="939" spans="1:10" s="523" customFormat="1" ht="25.5">
      <c r="A939" s="515">
        <v>931</v>
      </c>
      <c r="B939" s="524" t="s">
        <v>2712</v>
      </c>
      <c r="C939" s="528" t="s">
        <v>3064</v>
      </c>
      <c r="D939" s="528" t="s">
        <v>3065</v>
      </c>
      <c r="E939" s="519" t="s">
        <v>3066</v>
      </c>
      <c r="F939" s="529">
        <v>1.5</v>
      </c>
      <c r="G939" s="529">
        <v>1.5</v>
      </c>
      <c r="H939" s="530">
        <v>0</v>
      </c>
      <c r="I939" s="529">
        <v>1.5</v>
      </c>
      <c r="J939" s="522"/>
    </row>
    <row r="940" spans="1:10" s="523" customFormat="1" ht="15">
      <c r="A940" s="515">
        <v>932</v>
      </c>
      <c r="B940" s="542" t="s">
        <v>2691</v>
      </c>
      <c r="C940" s="528" t="s">
        <v>3100</v>
      </c>
      <c r="D940" s="528"/>
      <c r="E940" s="519" t="s">
        <v>3099</v>
      </c>
      <c r="F940" s="529">
        <v>23442.05</v>
      </c>
      <c r="G940" s="529">
        <v>23442.05</v>
      </c>
      <c r="H940" s="530"/>
      <c r="I940" s="529">
        <v>23442.05</v>
      </c>
      <c r="J940" s="522"/>
    </row>
    <row r="941" spans="1:10" s="523" customFormat="1" ht="25.5">
      <c r="A941" s="515">
        <v>933</v>
      </c>
      <c r="B941" s="531" t="s">
        <v>3074</v>
      </c>
      <c r="C941" s="528" t="s">
        <v>3075</v>
      </c>
      <c r="D941" s="519"/>
      <c r="E941" s="519" t="s">
        <v>3076</v>
      </c>
      <c r="F941" s="520">
        <v>16387.13</v>
      </c>
      <c r="G941" s="520">
        <v>16387.13</v>
      </c>
      <c r="H941" s="530">
        <v>0</v>
      </c>
      <c r="I941" s="520">
        <v>16387.13</v>
      </c>
      <c r="J941" s="522"/>
    </row>
    <row r="942" spans="1:10" s="523" customFormat="1" ht="15">
      <c r="A942" s="515">
        <v>934</v>
      </c>
      <c r="B942" s="531" t="s">
        <v>3077</v>
      </c>
      <c r="C942" s="528" t="s">
        <v>3078</v>
      </c>
      <c r="D942" s="532" t="s">
        <v>2326</v>
      </c>
      <c r="E942" s="519" t="s">
        <v>3079</v>
      </c>
      <c r="F942" s="520">
        <v>806.02</v>
      </c>
      <c r="G942" s="520">
        <v>806.02</v>
      </c>
      <c r="H942" s="530">
        <v>0</v>
      </c>
      <c r="I942" s="520">
        <v>806.02</v>
      </c>
      <c r="J942" s="522"/>
    </row>
    <row r="943" spans="1:10" s="523" customFormat="1" ht="15">
      <c r="A943" s="515">
        <v>935</v>
      </c>
      <c r="B943" s="531" t="s">
        <v>3077</v>
      </c>
      <c r="C943" s="528" t="s">
        <v>3080</v>
      </c>
      <c r="D943" s="532" t="s">
        <v>2338</v>
      </c>
      <c r="E943" s="519" t="s">
        <v>3079</v>
      </c>
      <c r="F943" s="520">
        <v>166.67</v>
      </c>
      <c r="G943" s="520">
        <v>166.67</v>
      </c>
      <c r="H943" s="530">
        <v>0</v>
      </c>
      <c r="I943" s="520">
        <v>166.67</v>
      </c>
      <c r="J943" s="522"/>
    </row>
    <row r="944" spans="1:10" s="523" customFormat="1" ht="15">
      <c r="A944" s="515">
        <v>936</v>
      </c>
      <c r="B944" s="531" t="s">
        <v>3077</v>
      </c>
      <c r="C944" s="528" t="s">
        <v>3081</v>
      </c>
      <c r="D944" s="532" t="s">
        <v>2368</v>
      </c>
      <c r="E944" s="519" t="s">
        <v>3079</v>
      </c>
      <c r="F944" s="520">
        <v>333.33</v>
      </c>
      <c r="G944" s="520">
        <v>333.33</v>
      </c>
      <c r="H944" s="530">
        <v>0</v>
      </c>
      <c r="I944" s="520">
        <v>333.33</v>
      </c>
      <c r="J944" s="522"/>
    </row>
    <row r="945" spans="1:10" s="523" customFormat="1" ht="15">
      <c r="A945" s="515">
        <v>937</v>
      </c>
      <c r="B945" s="531" t="s">
        <v>3077</v>
      </c>
      <c r="C945" s="528" t="s">
        <v>3082</v>
      </c>
      <c r="D945" s="532" t="s">
        <v>2381</v>
      </c>
      <c r="E945" s="519" t="s">
        <v>3079</v>
      </c>
      <c r="F945" s="520">
        <v>270.83</v>
      </c>
      <c r="G945" s="520">
        <v>270.83</v>
      </c>
      <c r="H945" s="530">
        <v>0</v>
      </c>
      <c r="I945" s="520">
        <v>270.83</v>
      </c>
      <c r="J945" s="522"/>
    </row>
    <row r="946" spans="1:10" s="523" customFormat="1" ht="15">
      <c r="A946" s="515">
        <v>938</v>
      </c>
      <c r="B946" s="531" t="s">
        <v>3077</v>
      </c>
      <c r="C946" s="528" t="s">
        <v>3083</v>
      </c>
      <c r="D946" s="532" t="s">
        <v>2385</v>
      </c>
      <c r="E946" s="519" t="s">
        <v>3079</v>
      </c>
      <c r="F946" s="520">
        <v>276.02999999999997</v>
      </c>
      <c r="G946" s="520">
        <v>276.02999999999997</v>
      </c>
      <c r="H946" s="530">
        <v>0</v>
      </c>
      <c r="I946" s="520">
        <v>276.02999999999997</v>
      </c>
      <c r="J946" s="522"/>
    </row>
    <row r="947" spans="1:10" s="523" customFormat="1" ht="15">
      <c r="A947" s="515">
        <v>939</v>
      </c>
      <c r="B947" s="531" t="s">
        <v>3077</v>
      </c>
      <c r="C947" s="528" t="s">
        <v>3084</v>
      </c>
      <c r="D947" s="532" t="s">
        <v>2423</v>
      </c>
      <c r="E947" s="519" t="s">
        <v>3079</v>
      </c>
      <c r="F947" s="520">
        <v>83.33</v>
      </c>
      <c r="G947" s="520">
        <v>83.33</v>
      </c>
      <c r="H947" s="530">
        <v>0</v>
      </c>
      <c r="I947" s="520">
        <v>83.33</v>
      </c>
      <c r="J947" s="522"/>
    </row>
    <row r="948" spans="1:10" s="523" customFormat="1" ht="15">
      <c r="A948" s="515">
        <v>940</v>
      </c>
      <c r="B948" s="531" t="s">
        <v>3077</v>
      </c>
      <c r="C948" s="528" t="s">
        <v>3085</v>
      </c>
      <c r="D948" s="532" t="s">
        <v>2427</v>
      </c>
      <c r="E948" s="519" t="s">
        <v>3079</v>
      </c>
      <c r="F948" s="520">
        <v>104.17</v>
      </c>
      <c r="G948" s="520">
        <v>104.17</v>
      </c>
      <c r="H948" s="530">
        <v>0</v>
      </c>
      <c r="I948" s="520">
        <v>104.17</v>
      </c>
      <c r="J948" s="522"/>
    </row>
    <row r="949" spans="1:10" s="523" customFormat="1" ht="15">
      <c r="A949" s="515">
        <v>941</v>
      </c>
      <c r="B949" s="531" t="s">
        <v>3077</v>
      </c>
      <c r="C949" s="528" t="s">
        <v>3086</v>
      </c>
      <c r="D949" s="532" t="s">
        <v>2435</v>
      </c>
      <c r="E949" s="519" t="s">
        <v>3079</v>
      </c>
      <c r="F949" s="520">
        <v>166.67</v>
      </c>
      <c r="G949" s="520">
        <v>166.67</v>
      </c>
      <c r="H949" s="530">
        <v>0</v>
      </c>
      <c r="I949" s="520">
        <v>166.67</v>
      </c>
      <c r="J949" s="522"/>
    </row>
    <row r="950" spans="1:10" s="523" customFormat="1" ht="15">
      <c r="A950" s="515">
        <v>942</v>
      </c>
      <c r="B950" s="531" t="s">
        <v>3077</v>
      </c>
      <c r="C950" s="528" t="s">
        <v>3087</v>
      </c>
      <c r="D950" s="532" t="s">
        <v>2446</v>
      </c>
      <c r="E950" s="519" t="s">
        <v>3079</v>
      </c>
      <c r="F950" s="520">
        <v>125</v>
      </c>
      <c r="G950" s="520">
        <v>125</v>
      </c>
      <c r="H950" s="530">
        <v>0</v>
      </c>
      <c r="I950" s="520">
        <v>125</v>
      </c>
      <c r="J950" s="522"/>
    </row>
    <row r="951" spans="1:10" s="523" customFormat="1" ht="15">
      <c r="A951" s="515">
        <v>943</v>
      </c>
      <c r="B951" s="531" t="s">
        <v>3077</v>
      </c>
      <c r="C951" s="528" t="s">
        <v>3088</v>
      </c>
      <c r="D951" s="532" t="s">
        <v>2477</v>
      </c>
      <c r="E951" s="519" t="s">
        <v>3079</v>
      </c>
      <c r="F951" s="520">
        <v>62.5</v>
      </c>
      <c r="G951" s="520">
        <v>62.5</v>
      </c>
      <c r="H951" s="530">
        <v>0</v>
      </c>
      <c r="I951" s="520">
        <v>62.5</v>
      </c>
      <c r="J951" s="522"/>
    </row>
    <row r="952" spans="1:10" s="523" customFormat="1" ht="15">
      <c r="A952" s="515">
        <v>944</v>
      </c>
      <c r="B952" s="531" t="s">
        <v>3077</v>
      </c>
      <c r="C952" s="528" t="s">
        <v>3089</v>
      </c>
      <c r="D952" s="532" t="s">
        <v>2492</v>
      </c>
      <c r="E952" s="519" t="s">
        <v>3079</v>
      </c>
      <c r="F952" s="520">
        <v>116.67</v>
      </c>
      <c r="G952" s="520">
        <v>116.67</v>
      </c>
      <c r="H952" s="530">
        <v>0</v>
      </c>
      <c r="I952" s="520">
        <v>116.67</v>
      </c>
      <c r="J952" s="522"/>
    </row>
    <row r="953" spans="1:10" s="523" customFormat="1" ht="15">
      <c r="A953" s="515">
        <v>945</v>
      </c>
      <c r="B953" s="531" t="s">
        <v>3077</v>
      </c>
      <c r="C953" s="528" t="s">
        <v>3090</v>
      </c>
      <c r="D953" s="532" t="s">
        <v>2543</v>
      </c>
      <c r="E953" s="519" t="s">
        <v>3079</v>
      </c>
      <c r="F953" s="520">
        <v>416.67</v>
      </c>
      <c r="G953" s="520">
        <v>416.67</v>
      </c>
      <c r="H953" s="530">
        <v>0</v>
      </c>
      <c r="I953" s="520">
        <v>416.67</v>
      </c>
      <c r="J953" s="522"/>
    </row>
    <row r="954" spans="1:10" s="523" customFormat="1" ht="15">
      <c r="A954" s="515">
        <v>946</v>
      </c>
      <c r="B954" s="531" t="s">
        <v>3077</v>
      </c>
      <c r="C954" s="528" t="s">
        <v>3091</v>
      </c>
      <c r="D954" s="532" t="s">
        <v>2498</v>
      </c>
      <c r="E954" s="519" t="s">
        <v>3079</v>
      </c>
      <c r="F954" s="520">
        <v>375</v>
      </c>
      <c r="G954" s="520">
        <v>375</v>
      </c>
      <c r="H954" s="530">
        <v>0</v>
      </c>
      <c r="I954" s="520">
        <v>375</v>
      </c>
      <c r="J954" s="522"/>
    </row>
    <row r="955" spans="1:10" s="523" customFormat="1" ht="15">
      <c r="A955" s="515">
        <v>947</v>
      </c>
      <c r="B955" s="531" t="s">
        <v>3077</v>
      </c>
      <c r="C955" s="528" t="s">
        <v>3092</v>
      </c>
      <c r="D955" s="532" t="s">
        <v>2502</v>
      </c>
      <c r="E955" s="519" t="s">
        <v>3079</v>
      </c>
      <c r="F955" s="520">
        <v>83.33</v>
      </c>
      <c r="G955" s="520">
        <v>83.33</v>
      </c>
      <c r="H955" s="530">
        <v>0</v>
      </c>
      <c r="I955" s="520">
        <v>83.33</v>
      </c>
      <c r="J955" s="522"/>
    </row>
    <row r="956" spans="1:10" s="523" customFormat="1" ht="15">
      <c r="A956" s="515">
        <v>948</v>
      </c>
      <c r="B956" s="531" t="s">
        <v>3077</v>
      </c>
      <c r="C956" s="528" t="s">
        <v>3093</v>
      </c>
      <c r="D956" s="532" t="s">
        <v>3094</v>
      </c>
      <c r="E956" s="519" t="s">
        <v>3079</v>
      </c>
      <c r="F956" s="520">
        <v>1587.19</v>
      </c>
      <c r="G956" s="520">
        <v>1587.19</v>
      </c>
      <c r="H956" s="530">
        <v>0</v>
      </c>
      <c r="I956" s="520">
        <v>1587.19</v>
      </c>
      <c r="J956" s="522"/>
    </row>
    <row r="957" spans="1:10" s="523" customFormat="1" ht="15">
      <c r="A957" s="515">
        <v>949</v>
      </c>
      <c r="B957" s="531" t="s">
        <v>3077</v>
      </c>
      <c r="C957" s="528" t="s">
        <v>3095</v>
      </c>
      <c r="D957" s="532" t="s">
        <v>2523</v>
      </c>
      <c r="E957" s="519" t="s">
        <v>3079</v>
      </c>
      <c r="F957" s="520">
        <v>104.17</v>
      </c>
      <c r="G957" s="520">
        <v>104.17</v>
      </c>
      <c r="H957" s="530">
        <v>0</v>
      </c>
      <c r="I957" s="520">
        <v>104.17</v>
      </c>
      <c r="J957" s="522"/>
    </row>
    <row r="958" spans="1:10" s="523" customFormat="1" ht="15">
      <c r="A958" s="515">
        <v>950</v>
      </c>
      <c r="B958" s="531" t="s">
        <v>3077</v>
      </c>
      <c r="C958" s="528" t="s">
        <v>3096</v>
      </c>
      <c r="D958" s="532" t="s">
        <v>2527</v>
      </c>
      <c r="E958" s="519" t="s">
        <v>3079</v>
      </c>
      <c r="F958" s="520">
        <v>552.07000000000005</v>
      </c>
      <c r="G958" s="520">
        <v>552.07000000000005</v>
      </c>
      <c r="H958" s="530">
        <v>0</v>
      </c>
      <c r="I958" s="520">
        <v>552.07000000000005</v>
      </c>
      <c r="J958" s="522"/>
    </row>
    <row r="959" spans="1:10" ht="15">
      <c r="A959" s="195"/>
      <c r="B959" s="510"/>
      <c r="C959" s="511"/>
      <c r="D959" s="511"/>
      <c r="E959" s="511"/>
      <c r="F959" s="340"/>
      <c r="G959" s="340"/>
      <c r="H959" s="340"/>
      <c r="I959" s="340"/>
      <c r="J959" s="314"/>
    </row>
    <row r="960" spans="1:10" ht="15">
      <c r="A960" s="314"/>
      <c r="B960" s="512"/>
      <c r="C960" s="314"/>
      <c r="D960" s="314"/>
      <c r="E960" s="314"/>
      <c r="F960" s="334"/>
      <c r="G960" s="334"/>
      <c r="H960" s="334"/>
      <c r="I960" s="334"/>
      <c r="J960" s="314"/>
    </row>
    <row r="961" spans="1:10" ht="15">
      <c r="A961" s="314"/>
      <c r="B961" s="513" t="s">
        <v>107</v>
      </c>
      <c r="C961" s="314"/>
      <c r="D961" s="314"/>
      <c r="E961" s="314"/>
      <c r="F961" s="333"/>
      <c r="G961" s="334"/>
      <c r="H961" s="334"/>
      <c r="I961" s="334"/>
      <c r="J961" s="314"/>
    </row>
    <row r="962" spans="1:10" ht="15">
      <c r="A962" s="314"/>
      <c r="B962" s="512"/>
      <c r="C962" s="314"/>
      <c r="D962" s="314"/>
      <c r="E962" s="314"/>
      <c r="F962" s="335"/>
      <c r="G962" s="334"/>
      <c r="H962" s="334"/>
      <c r="I962" s="335"/>
      <c r="J962" s="314"/>
    </row>
    <row r="963" spans="1:10" ht="15">
      <c r="A963" s="314"/>
      <c r="B963" s="512"/>
      <c r="C963" s="336"/>
      <c r="D963" s="314"/>
      <c r="E963" s="314"/>
      <c r="F963" s="337"/>
      <c r="G963" s="337"/>
      <c r="H963" s="340"/>
      <c r="I963" s="338"/>
      <c r="J963" s="314"/>
    </row>
    <row r="964" spans="1:10" ht="15">
      <c r="A964" s="327"/>
      <c r="B964" s="512"/>
      <c r="C964" s="339" t="s">
        <v>267</v>
      </c>
      <c r="D964" s="314"/>
      <c r="E964" s="314"/>
      <c r="F964" s="340" t="s">
        <v>272</v>
      </c>
      <c r="G964" s="332"/>
      <c r="H964" s="332"/>
      <c r="I964" s="338"/>
      <c r="J964" s="314"/>
    </row>
    <row r="965" spans="1:10" ht="15">
      <c r="A965" s="327"/>
      <c r="B965" s="512"/>
      <c r="C965" s="314"/>
      <c r="D965" s="314"/>
      <c r="E965" s="314"/>
      <c r="F965" s="334" t="s">
        <v>268</v>
      </c>
      <c r="G965" s="334"/>
      <c r="H965" s="334"/>
      <c r="I965" s="335"/>
      <c r="J965" s="314"/>
    </row>
    <row r="966" spans="1:10" ht="15">
      <c r="A966" s="327"/>
      <c r="B966" s="512"/>
      <c r="C966" s="341" t="s">
        <v>139</v>
      </c>
      <c r="D966" s="327"/>
      <c r="E966" s="327"/>
      <c r="F966" s="335"/>
      <c r="G966" s="342"/>
      <c r="H966" s="342"/>
      <c r="I966" s="335"/>
      <c r="J966" s="327"/>
    </row>
    <row r="967" spans="1:10" ht="15">
      <c r="A967" s="314"/>
      <c r="B967" s="512"/>
      <c r="C967" s="314"/>
      <c r="D967" s="314"/>
      <c r="E967" s="314"/>
      <c r="F967" s="334"/>
      <c r="G967" s="334"/>
      <c r="H967" s="334"/>
      <c r="I967" s="334"/>
      <c r="J967" s="314"/>
    </row>
    <row r="968" spans="1:10" ht="15">
      <c r="A968" s="314"/>
      <c r="B968" s="512"/>
      <c r="C968" s="314"/>
      <c r="D968" s="314"/>
      <c r="E968" s="314"/>
      <c r="F968" s="334"/>
      <c r="G968" s="334"/>
      <c r="H968" s="334"/>
      <c r="I968" s="334"/>
      <c r="J968" s="314"/>
    </row>
    <row r="969" spans="1:10" ht="15">
      <c r="A969" s="314"/>
      <c r="B969" s="512"/>
      <c r="C969" s="314"/>
      <c r="D969" s="314"/>
      <c r="E969" s="314"/>
      <c r="F969" s="334"/>
      <c r="G969" s="334"/>
      <c r="H969" s="334"/>
      <c r="I969" s="334"/>
      <c r="J969" s="314"/>
    </row>
    <row r="970" spans="1:10" ht="15">
      <c r="A970" s="314"/>
      <c r="B970" s="512"/>
      <c r="C970" s="314"/>
      <c r="D970" s="314"/>
      <c r="E970" s="314"/>
      <c r="F970" s="334"/>
      <c r="G970" s="334"/>
      <c r="H970" s="334"/>
      <c r="I970" s="334"/>
      <c r="J970" s="314"/>
    </row>
    <row r="971" spans="1:10" ht="15">
      <c r="A971" s="314"/>
      <c r="B971" s="512"/>
      <c r="C971" s="314"/>
      <c r="D971" s="314"/>
      <c r="E971" s="314"/>
      <c r="F971" s="334"/>
      <c r="G971" s="334"/>
      <c r="H971" s="334"/>
      <c r="I971" s="334"/>
      <c r="J971" s="314"/>
    </row>
    <row r="972" spans="1:10" ht="15">
      <c r="A972" s="314"/>
      <c r="B972" s="512"/>
      <c r="C972" s="314"/>
      <c r="D972" s="314"/>
      <c r="E972" s="314"/>
      <c r="F972" s="334"/>
      <c r="G972" s="334"/>
      <c r="H972" s="334"/>
      <c r="I972" s="334"/>
      <c r="J972" s="314"/>
    </row>
    <row r="973" spans="1:10" ht="15">
      <c r="A973" s="314"/>
      <c r="B973" s="512"/>
      <c r="C973" s="314"/>
      <c r="D973" s="314"/>
      <c r="E973" s="314"/>
      <c r="F973" s="334"/>
      <c r="G973" s="334"/>
      <c r="H973" s="334"/>
      <c r="I973" s="334"/>
      <c r="J973" s="314"/>
    </row>
    <row r="974" spans="1:10" ht="15">
      <c r="A974" s="314"/>
      <c r="B974" s="512"/>
      <c r="C974" s="314"/>
      <c r="D974" s="314"/>
      <c r="E974" s="314"/>
      <c r="F974" s="334"/>
      <c r="G974" s="334"/>
      <c r="H974" s="334"/>
      <c r="I974" s="334"/>
      <c r="J974" s="314"/>
    </row>
    <row r="975" spans="1:10" ht="15">
      <c r="A975" s="314"/>
      <c r="B975" s="512"/>
      <c r="C975" s="314"/>
      <c r="D975" s="314"/>
      <c r="E975" s="314"/>
      <c r="F975" s="334"/>
      <c r="G975" s="334"/>
      <c r="H975" s="334"/>
      <c r="I975" s="334"/>
      <c r="J975" s="314"/>
    </row>
    <row r="976" spans="1:10" ht="15">
      <c r="A976" s="314"/>
      <c r="B976" s="512"/>
      <c r="C976" s="314"/>
      <c r="D976" s="314"/>
      <c r="E976" s="314"/>
      <c r="F976" s="334"/>
      <c r="G976" s="334"/>
      <c r="H976" s="334"/>
      <c r="I976" s="334"/>
      <c r="J976" s="314"/>
    </row>
    <row r="977" spans="1:10" ht="15">
      <c r="A977" s="314"/>
      <c r="B977" s="512"/>
      <c r="C977" s="314"/>
      <c r="D977" s="314"/>
      <c r="E977" s="314"/>
      <c r="F977" s="334"/>
      <c r="G977" s="334"/>
      <c r="H977" s="334"/>
      <c r="I977" s="334"/>
      <c r="J977" s="314"/>
    </row>
    <row r="978" spans="1:10" ht="15">
      <c r="A978" s="314"/>
      <c r="B978" s="512"/>
      <c r="C978" s="314"/>
      <c r="D978" s="314"/>
      <c r="E978" s="314"/>
      <c r="F978" s="334"/>
      <c r="G978" s="334"/>
      <c r="H978" s="334"/>
      <c r="I978" s="334"/>
      <c r="J978" s="314"/>
    </row>
    <row r="979" spans="1:10" ht="15">
      <c r="A979" s="314"/>
      <c r="B979" s="512"/>
      <c r="C979" s="314"/>
      <c r="D979" s="314"/>
      <c r="E979" s="314"/>
      <c r="F979" s="334"/>
      <c r="G979" s="334"/>
      <c r="H979" s="334"/>
      <c r="I979" s="334"/>
      <c r="J979" s="314"/>
    </row>
    <row r="980" spans="1:10" ht="15">
      <c r="A980" s="314"/>
      <c r="B980" s="512"/>
      <c r="C980" s="314"/>
      <c r="D980" s="314"/>
      <c r="E980" s="314"/>
      <c r="F980" s="334"/>
      <c r="G980" s="334"/>
      <c r="H980" s="334"/>
      <c r="I980" s="334"/>
      <c r="J980" s="314"/>
    </row>
  </sheetData>
  <mergeCells count="1">
    <mergeCell ref="I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Normal="100" zoomScaleSheetLayoutView="70" workbookViewId="0">
      <selection activeCell="J13" sqref="J13"/>
    </sheetView>
  </sheetViews>
  <sheetFormatPr defaultRowHeight="12.75"/>
  <cols>
    <col min="1" max="1" width="2.7109375" style="218" customWidth="1"/>
    <col min="2" max="2" width="9" style="218" customWidth="1"/>
    <col min="3" max="3" width="23.42578125" style="218" customWidth="1"/>
    <col min="4" max="4" width="13.28515625" style="218" customWidth="1"/>
    <col min="5" max="5" width="9.5703125" style="218" customWidth="1"/>
    <col min="6" max="6" width="11.5703125" style="218" customWidth="1"/>
    <col min="7" max="7" width="12.28515625" style="218" customWidth="1"/>
    <col min="8" max="8" width="15.28515625" style="218" customWidth="1"/>
    <col min="9" max="9" width="17.5703125" style="218" customWidth="1"/>
    <col min="10" max="11" width="12.42578125" style="218" customWidth="1"/>
    <col min="12" max="12" width="23.5703125" style="218" customWidth="1"/>
    <col min="13" max="13" width="18.5703125" style="218" customWidth="1"/>
    <col min="14" max="14" width="0.85546875" style="218" customWidth="1"/>
    <col min="15" max="16384" width="9.140625" style="218"/>
  </cols>
  <sheetData>
    <row r="1" spans="1:14" ht="13.5">
      <c r="A1" s="215" t="s">
        <v>463</v>
      </c>
      <c r="B1" s="216"/>
      <c r="C1" s="216"/>
      <c r="D1" s="216"/>
      <c r="E1" s="216"/>
      <c r="F1" s="216"/>
      <c r="G1" s="216"/>
      <c r="H1" s="216"/>
      <c r="I1" s="219"/>
      <c r="J1" s="273"/>
      <c r="K1" s="273"/>
      <c r="L1" s="273"/>
      <c r="M1" s="273" t="s">
        <v>420</v>
      </c>
      <c r="N1" s="219"/>
    </row>
    <row r="2" spans="1:14" ht="15">
      <c r="A2" s="219" t="s">
        <v>319</v>
      </c>
      <c r="B2" s="216"/>
      <c r="C2" s="216"/>
      <c r="D2" s="217"/>
      <c r="E2" s="217"/>
      <c r="F2" s="217"/>
      <c r="G2" s="217"/>
      <c r="H2" s="217"/>
      <c r="I2" s="216"/>
      <c r="J2" s="216"/>
      <c r="K2" s="216"/>
      <c r="L2" s="216"/>
      <c r="M2" s="580" t="s">
        <v>2558</v>
      </c>
      <c r="N2" s="581"/>
    </row>
    <row r="3" spans="1:14">
      <c r="A3" s="219"/>
      <c r="B3" s="216"/>
      <c r="C3" s="216"/>
      <c r="D3" s="217"/>
      <c r="E3" s="217"/>
      <c r="F3" s="217"/>
      <c r="G3" s="217"/>
      <c r="H3" s="217"/>
      <c r="I3" s="216"/>
      <c r="J3" s="216"/>
      <c r="K3" s="216"/>
      <c r="L3" s="216"/>
      <c r="M3" s="216"/>
      <c r="N3" s="219"/>
    </row>
    <row r="4" spans="1:14" ht="15">
      <c r="A4" s="136" t="s">
        <v>273</v>
      </c>
      <c r="B4" s="216"/>
      <c r="C4" s="216"/>
      <c r="D4" s="220"/>
      <c r="E4" s="274"/>
      <c r="F4" s="220"/>
      <c r="G4" s="217"/>
      <c r="H4" s="217"/>
      <c r="I4" s="217"/>
      <c r="J4" s="217"/>
      <c r="K4" s="217"/>
      <c r="L4" s="216"/>
      <c r="M4" s="217"/>
      <c r="N4" s="219"/>
    </row>
    <row r="5" spans="1:14" ht="15">
      <c r="A5" s="221"/>
      <c r="B5" s="244" t="s">
        <v>503</v>
      </c>
      <c r="C5" s="244"/>
      <c r="D5" s="244"/>
      <c r="E5" s="222"/>
      <c r="F5" s="222"/>
      <c r="G5" s="222"/>
      <c r="H5" s="222"/>
      <c r="I5" s="222"/>
      <c r="J5" s="222"/>
      <c r="K5" s="222"/>
      <c r="L5" s="222"/>
      <c r="M5" s="222"/>
      <c r="N5" s="219"/>
    </row>
    <row r="6" spans="1:14" ht="13.5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19"/>
    </row>
    <row r="7" spans="1:14" ht="51">
      <c r="A7" s="276" t="s">
        <v>64</v>
      </c>
      <c r="B7" s="277" t="s">
        <v>421</v>
      </c>
      <c r="C7" s="277" t="s">
        <v>422</v>
      </c>
      <c r="D7" s="278" t="s">
        <v>423</v>
      </c>
      <c r="E7" s="278" t="s">
        <v>274</v>
      </c>
      <c r="F7" s="278" t="s">
        <v>424</v>
      </c>
      <c r="G7" s="278" t="s">
        <v>425</v>
      </c>
      <c r="H7" s="277" t="s">
        <v>426</v>
      </c>
      <c r="I7" s="279" t="s">
        <v>427</v>
      </c>
      <c r="J7" s="279" t="s">
        <v>428</v>
      </c>
      <c r="K7" s="280" t="s">
        <v>429</v>
      </c>
      <c r="L7" s="280" t="s">
        <v>430</v>
      </c>
      <c r="M7" s="278" t="s">
        <v>420</v>
      </c>
      <c r="N7" s="219"/>
    </row>
    <row r="8" spans="1:14">
      <c r="A8" s="224">
        <v>1</v>
      </c>
      <c r="B8" s="225">
        <v>2</v>
      </c>
      <c r="C8" s="225">
        <v>3</v>
      </c>
      <c r="D8" s="226">
        <v>4</v>
      </c>
      <c r="E8" s="226">
        <v>5</v>
      </c>
      <c r="F8" s="226">
        <v>6</v>
      </c>
      <c r="G8" s="226">
        <v>7</v>
      </c>
      <c r="H8" s="226">
        <v>8</v>
      </c>
      <c r="I8" s="226">
        <v>9</v>
      </c>
      <c r="J8" s="226">
        <v>10</v>
      </c>
      <c r="K8" s="226">
        <v>11</v>
      </c>
      <c r="L8" s="226">
        <v>12</v>
      </c>
      <c r="M8" s="226">
        <v>13</v>
      </c>
      <c r="N8" s="219"/>
    </row>
    <row r="9" spans="1:14" ht="15">
      <c r="A9" s="227">
        <v>1</v>
      </c>
      <c r="B9" s="228"/>
      <c r="C9" s="281"/>
      <c r="D9" s="227"/>
      <c r="E9" s="227"/>
      <c r="F9" s="227"/>
      <c r="G9" s="227"/>
      <c r="H9" s="227"/>
      <c r="I9" s="227"/>
      <c r="J9" s="227"/>
      <c r="K9" s="227"/>
      <c r="L9" s="227"/>
      <c r="M9" s="282" t="str">
        <f t="shared" ref="M9:M33" si="0">IF(ISBLANK(B9),"",$M$2)</f>
        <v/>
      </c>
      <c r="N9" s="219"/>
    </row>
    <row r="10" spans="1:14" ht="15">
      <c r="A10" s="227">
        <v>2</v>
      </c>
      <c r="B10" s="228"/>
      <c r="C10" s="281"/>
      <c r="D10" s="227"/>
      <c r="E10" s="227"/>
      <c r="F10" s="227"/>
      <c r="G10" s="227"/>
      <c r="H10" s="227"/>
      <c r="I10" s="227"/>
      <c r="J10" s="227"/>
      <c r="K10" s="227"/>
      <c r="L10" s="227"/>
      <c r="M10" s="282" t="str">
        <f t="shared" si="0"/>
        <v/>
      </c>
      <c r="N10" s="219"/>
    </row>
    <row r="11" spans="1:14" ht="15">
      <c r="A11" s="227">
        <v>3</v>
      </c>
      <c r="B11" s="228"/>
      <c r="C11" s="281"/>
      <c r="D11" s="227"/>
      <c r="E11" s="227"/>
      <c r="F11" s="227"/>
      <c r="G11" s="227"/>
      <c r="H11" s="227"/>
      <c r="I11" s="227"/>
      <c r="J11" s="227"/>
      <c r="K11" s="227"/>
      <c r="L11" s="227"/>
      <c r="M11" s="282" t="str">
        <f t="shared" si="0"/>
        <v/>
      </c>
      <c r="N11" s="219"/>
    </row>
    <row r="12" spans="1:14" ht="15">
      <c r="A12" s="227">
        <v>4</v>
      </c>
      <c r="B12" s="228"/>
      <c r="C12" s="281"/>
      <c r="D12" s="227"/>
      <c r="E12" s="227"/>
      <c r="F12" s="227"/>
      <c r="G12" s="227"/>
      <c r="H12" s="227"/>
      <c r="I12" s="227"/>
      <c r="J12" s="227"/>
      <c r="K12" s="227"/>
      <c r="L12" s="227"/>
      <c r="M12" s="282" t="str">
        <f t="shared" si="0"/>
        <v/>
      </c>
      <c r="N12" s="219"/>
    </row>
    <row r="13" spans="1:14" ht="15">
      <c r="A13" s="227">
        <v>5</v>
      </c>
      <c r="B13" s="228"/>
      <c r="C13" s="281"/>
      <c r="D13" s="227"/>
      <c r="E13" s="227"/>
      <c r="F13" s="227"/>
      <c r="G13" s="227"/>
      <c r="H13" s="227"/>
      <c r="I13" s="227"/>
      <c r="J13" s="227"/>
      <c r="K13" s="227"/>
      <c r="L13" s="227"/>
      <c r="M13" s="282" t="str">
        <f t="shared" si="0"/>
        <v/>
      </c>
      <c r="N13" s="219"/>
    </row>
    <row r="14" spans="1:14" ht="15">
      <c r="A14" s="227">
        <v>6</v>
      </c>
      <c r="B14" s="228"/>
      <c r="C14" s="281"/>
      <c r="D14" s="227"/>
      <c r="E14" s="227"/>
      <c r="F14" s="227"/>
      <c r="G14" s="227"/>
      <c r="H14" s="227"/>
      <c r="I14" s="227"/>
      <c r="J14" s="227"/>
      <c r="K14" s="227"/>
      <c r="L14" s="227"/>
      <c r="M14" s="282" t="str">
        <f t="shared" si="0"/>
        <v/>
      </c>
      <c r="N14" s="219"/>
    </row>
    <row r="15" spans="1:14" ht="15">
      <c r="A15" s="227">
        <v>7</v>
      </c>
      <c r="B15" s="228"/>
      <c r="C15" s="281"/>
      <c r="D15" s="227"/>
      <c r="E15" s="227"/>
      <c r="F15" s="227"/>
      <c r="G15" s="227"/>
      <c r="H15" s="227"/>
      <c r="I15" s="227"/>
      <c r="J15" s="227"/>
      <c r="K15" s="227"/>
      <c r="L15" s="227"/>
      <c r="M15" s="282" t="str">
        <f t="shared" si="0"/>
        <v/>
      </c>
      <c r="N15" s="219"/>
    </row>
    <row r="16" spans="1:14" ht="15">
      <c r="A16" s="227">
        <v>8</v>
      </c>
      <c r="B16" s="228"/>
      <c r="C16" s="281"/>
      <c r="D16" s="227"/>
      <c r="E16" s="227"/>
      <c r="F16" s="227"/>
      <c r="G16" s="227"/>
      <c r="H16" s="227"/>
      <c r="I16" s="227"/>
      <c r="J16" s="227"/>
      <c r="K16" s="227"/>
      <c r="L16" s="227"/>
      <c r="M16" s="282" t="str">
        <f t="shared" si="0"/>
        <v/>
      </c>
      <c r="N16" s="219"/>
    </row>
    <row r="17" spans="1:14" ht="15">
      <c r="A17" s="227">
        <v>9</v>
      </c>
      <c r="B17" s="228"/>
      <c r="C17" s="281"/>
      <c r="D17" s="227"/>
      <c r="E17" s="227"/>
      <c r="F17" s="227"/>
      <c r="G17" s="227"/>
      <c r="H17" s="227"/>
      <c r="I17" s="227"/>
      <c r="J17" s="227"/>
      <c r="K17" s="227"/>
      <c r="L17" s="227"/>
      <c r="M17" s="282" t="str">
        <f t="shared" si="0"/>
        <v/>
      </c>
      <c r="N17" s="219"/>
    </row>
    <row r="18" spans="1:14" ht="15">
      <c r="A18" s="227">
        <v>10</v>
      </c>
      <c r="B18" s="228"/>
      <c r="C18" s="281"/>
      <c r="D18" s="227"/>
      <c r="E18" s="227"/>
      <c r="F18" s="227"/>
      <c r="G18" s="227"/>
      <c r="H18" s="227"/>
      <c r="I18" s="227"/>
      <c r="J18" s="227"/>
      <c r="K18" s="227"/>
      <c r="L18" s="227"/>
      <c r="M18" s="282" t="str">
        <f t="shared" si="0"/>
        <v/>
      </c>
      <c r="N18" s="219"/>
    </row>
    <row r="19" spans="1:14" ht="15">
      <c r="A19" s="227">
        <v>11</v>
      </c>
      <c r="B19" s="228"/>
      <c r="C19" s="281"/>
      <c r="D19" s="227"/>
      <c r="E19" s="227"/>
      <c r="F19" s="227"/>
      <c r="G19" s="227"/>
      <c r="H19" s="227"/>
      <c r="I19" s="227"/>
      <c r="J19" s="227"/>
      <c r="K19" s="227"/>
      <c r="L19" s="227"/>
      <c r="M19" s="282" t="str">
        <f t="shared" si="0"/>
        <v/>
      </c>
      <c r="N19" s="219"/>
    </row>
    <row r="20" spans="1:14" ht="15">
      <c r="A20" s="227">
        <v>12</v>
      </c>
      <c r="B20" s="228"/>
      <c r="C20" s="281"/>
      <c r="D20" s="227"/>
      <c r="E20" s="227"/>
      <c r="F20" s="227"/>
      <c r="G20" s="227"/>
      <c r="H20" s="227"/>
      <c r="I20" s="227"/>
      <c r="J20" s="227"/>
      <c r="K20" s="227"/>
      <c r="L20" s="227"/>
      <c r="M20" s="282" t="str">
        <f t="shared" si="0"/>
        <v/>
      </c>
      <c r="N20" s="219"/>
    </row>
    <row r="21" spans="1:14" ht="15">
      <c r="A21" s="227">
        <v>13</v>
      </c>
      <c r="B21" s="228"/>
      <c r="C21" s="281"/>
      <c r="D21" s="227"/>
      <c r="E21" s="227"/>
      <c r="F21" s="227"/>
      <c r="G21" s="227"/>
      <c r="H21" s="227"/>
      <c r="I21" s="227"/>
      <c r="J21" s="227"/>
      <c r="K21" s="227"/>
      <c r="L21" s="227"/>
      <c r="M21" s="282" t="str">
        <f t="shared" si="0"/>
        <v/>
      </c>
      <c r="N21" s="219"/>
    </row>
    <row r="22" spans="1:14" ht="15">
      <c r="A22" s="227">
        <v>14</v>
      </c>
      <c r="B22" s="228"/>
      <c r="C22" s="281"/>
      <c r="D22" s="227"/>
      <c r="E22" s="227"/>
      <c r="F22" s="227"/>
      <c r="G22" s="227"/>
      <c r="H22" s="227"/>
      <c r="I22" s="227"/>
      <c r="J22" s="227"/>
      <c r="K22" s="227"/>
      <c r="L22" s="227"/>
      <c r="M22" s="282" t="str">
        <f t="shared" si="0"/>
        <v/>
      </c>
      <c r="N22" s="219"/>
    </row>
    <row r="23" spans="1:14" ht="15">
      <c r="A23" s="227">
        <v>15</v>
      </c>
      <c r="B23" s="228"/>
      <c r="C23" s="281"/>
      <c r="D23" s="227"/>
      <c r="E23" s="227"/>
      <c r="F23" s="227"/>
      <c r="G23" s="227"/>
      <c r="H23" s="227"/>
      <c r="I23" s="227"/>
      <c r="J23" s="227"/>
      <c r="K23" s="227"/>
      <c r="L23" s="227"/>
      <c r="M23" s="282" t="str">
        <f t="shared" si="0"/>
        <v/>
      </c>
      <c r="N23" s="219"/>
    </row>
    <row r="24" spans="1:14" ht="15">
      <c r="A24" s="227">
        <v>16</v>
      </c>
      <c r="B24" s="228"/>
      <c r="C24" s="281"/>
      <c r="D24" s="227"/>
      <c r="E24" s="227"/>
      <c r="F24" s="227"/>
      <c r="G24" s="227"/>
      <c r="H24" s="227"/>
      <c r="I24" s="227"/>
      <c r="J24" s="227"/>
      <c r="K24" s="227"/>
      <c r="L24" s="227"/>
      <c r="M24" s="282" t="str">
        <f t="shared" si="0"/>
        <v/>
      </c>
      <c r="N24" s="219"/>
    </row>
    <row r="25" spans="1:14" ht="15">
      <c r="A25" s="227">
        <v>17</v>
      </c>
      <c r="B25" s="228"/>
      <c r="C25" s="281"/>
      <c r="D25" s="227"/>
      <c r="E25" s="227"/>
      <c r="F25" s="227"/>
      <c r="G25" s="227"/>
      <c r="H25" s="227"/>
      <c r="I25" s="227"/>
      <c r="J25" s="227"/>
      <c r="K25" s="227"/>
      <c r="L25" s="227"/>
      <c r="M25" s="282" t="str">
        <f t="shared" si="0"/>
        <v/>
      </c>
      <c r="N25" s="219"/>
    </row>
    <row r="26" spans="1:14" ht="15">
      <c r="A26" s="227">
        <v>18</v>
      </c>
      <c r="B26" s="228"/>
      <c r="C26" s="281"/>
      <c r="D26" s="227"/>
      <c r="E26" s="227"/>
      <c r="F26" s="227"/>
      <c r="G26" s="227"/>
      <c r="H26" s="227"/>
      <c r="I26" s="227"/>
      <c r="J26" s="227"/>
      <c r="K26" s="227"/>
      <c r="L26" s="227"/>
      <c r="M26" s="282" t="str">
        <f t="shared" si="0"/>
        <v/>
      </c>
      <c r="N26" s="219"/>
    </row>
    <row r="27" spans="1:14" ht="15">
      <c r="A27" s="227">
        <v>19</v>
      </c>
      <c r="B27" s="228"/>
      <c r="C27" s="281"/>
      <c r="D27" s="227"/>
      <c r="E27" s="227"/>
      <c r="F27" s="227"/>
      <c r="G27" s="227"/>
      <c r="H27" s="227"/>
      <c r="I27" s="227"/>
      <c r="J27" s="227"/>
      <c r="K27" s="227"/>
      <c r="L27" s="227"/>
      <c r="M27" s="282" t="str">
        <f t="shared" si="0"/>
        <v/>
      </c>
      <c r="N27" s="219"/>
    </row>
    <row r="28" spans="1:14" ht="15">
      <c r="A28" s="227">
        <v>20</v>
      </c>
      <c r="B28" s="228"/>
      <c r="C28" s="281"/>
      <c r="D28" s="227"/>
      <c r="E28" s="227"/>
      <c r="F28" s="227"/>
      <c r="G28" s="227"/>
      <c r="H28" s="227"/>
      <c r="I28" s="227"/>
      <c r="J28" s="227"/>
      <c r="K28" s="227"/>
      <c r="L28" s="227"/>
      <c r="M28" s="282" t="str">
        <f t="shared" si="0"/>
        <v/>
      </c>
      <c r="N28" s="219"/>
    </row>
    <row r="29" spans="1:14" ht="15">
      <c r="A29" s="227">
        <v>21</v>
      </c>
      <c r="B29" s="228"/>
      <c r="C29" s="281"/>
      <c r="D29" s="227"/>
      <c r="E29" s="227"/>
      <c r="F29" s="227"/>
      <c r="G29" s="227"/>
      <c r="H29" s="227"/>
      <c r="I29" s="227"/>
      <c r="J29" s="227"/>
      <c r="K29" s="227"/>
      <c r="L29" s="227"/>
      <c r="M29" s="282" t="str">
        <f t="shared" si="0"/>
        <v/>
      </c>
      <c r="N29" s="219"/>
    </row>
    <row r="30" spans="1:14" ht="15">
      <c r="A30" s="227">
        <v>22</v>
      </c>
      <c r="B30" s="228"/>
      <c r="C30" s="281"/>
      <c r="D30" s="227"/>
      <c r="E30" s="227"/>
      <c r="F30" s="227"/>
      <c r="G30" s="227"/>
      <c r="H30" s="227"/>
      <c r="I30" s="227"/>
      <c r="J30" s="227"/>
      <c r="K30" s="227"/>
      <c r="L30" s="227"/>
      <c r="M30" s="282" t="str">
        <f t="shared" si="0"/>
        <v/>
      </c>
      <c r="N30" s="219"/>
    </row>
    <row r="31" spans="1:14" ht="15">
      <c r="A31" s="227">
        <v>23</v>
      </c>
      <c r="B31" s="228"/>
      <c r="C31" s="281"/>
      <c r="D31" s="227"/>
      <c r="E31" s="227"/>
      <c r="F31" s="227"/>
      <c r="G31" s="227"/>
      <c r="H31" s="227"/>
      <c r="I31" s="227"/>
      <c r="J31" s="227"/>
      <c r="K31" s="227"/>
      <c r="L31" s="227"/>
      <c r="M31" s="282" t="str">
        <f t="shared" si="0"/>
        <v/>
      </c>
      <c r="N31" s="219"/>
    </row>
    <row r="32" spans="1:14" ht="15">
      <c r="A32" s="227">
        <v>24</v>
      </c>
      <c r="B32" s="228"/>
      <c r="C32" s="281"/>
      <c r="D32" s="227"/>
      <c r="E32" s="227"/>
      <c r="F32" s="227"/>
      <c r="G32" s="227"/>
      <c r="H32" s="227"/>
      <c r="I32" s="227"/>
      <c r="J32" s="227"/>
      <c r="K32" s="227"/>
      <c r="L32" s="227"/>
      <c r="M32" s="282" t="str">
        <f t="shared" si="0"/>
        <v/>
      </c>
      <c r="N32" s="219"/>
    </row>
    <row r="33" spans="1:14" ht="15">
      <c r="A33" s="283" t="s">
        <v>280</v>
      </c>
      <c r="B33" s="228"/>
      <c r="C33" s="281"/>
      <c r="D33" s="227"/>
      <c r="E33" s="227"/>
      <c r="F33" s="227"/>
      <c r="G33" s="227"/>
      <c r="H33" s="227"/>
      <c r="I33" s="227"/>
      <c r="J33" s="227"/>
      <c r="K33" s="227"/>
      <c r="L33" s="227"/>
      <c r="M33" s="282" t="str">
        <f t="shared" si="0"/>
        <v/>
      </c>
      <c r="N33" s="219"/>
    </row>
    <row r="34" spans="1:14" s="234" customFormat="1"/>
    <row r="37" spans="1:14" s="21" customFormat="1" ht="15">
      <c r="B37" s="229" t="s">
        <v>107</v>
      </c>
    </row>
    <row r="38" spans="1:14" s="21" customFormat="1" ht="15">
      <c r="B38" s="229"/>
    </row>
    <row r="39" spans="1:14" s="21" customFormat="1" ht="15">
      <c r="C39" s="231"/>
      <c r="D39" s="230"/>
      <c r="E39" s="230"/>
      <c r="H39" s="231"/>
      <c r="I39" s="231"/>
      <c r="J39" s="230"/>
      <c r="K39" s="230"/>
      <c r="L39" s="230"/>
    </row>
    <row r="40" spans="1:14" s="21" customFormat="1" ht="15">
      <c r="C40" s="232" t="s">
        <v>267</v>
      </c>
      <c r="D40" s="230"/>
      <c r="E40" s="230"/>
      <c r="H40" s="229" t="s">
        <v>321</v>
      </c>
      <c r="M40" s="230"/>
    </row>
    <row r="41" spans="1:14" s="21" customFormat="1" ht="15">
      <c r="C41" s="232" t="s">
        <v>139</v>
      </c>
      <c r="D41" s="230"/>
      <c r="E41" s="230"/>
      <c r="H41" s="233" t="s">
        <v>268</v>
      </c>
      <c r="M41" s="230"/>
    </row>
    <row r="42" spans="1:14" ht="15">
      <c r="C42" s="232"/>
      <c r="F42" s="233"/>
      <c r="J42" s="235"/>
      <c r="K42" s="235"/>
      <c r="L42" s="235"/>
      <c r="M42" s="235"/>
    </row>
    <row r="43" spans="1:14" ht="15">
      <c r="C43" s="23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46">
        <v>40907</v>
      </c>
      <c r="C2" t="s">
        <v>199</v>
      </c>
      <c r="E2" t="s">
        <v>232</v>
      </c>
      <c r="G2" s="63" t="s">
        <v>238</v>
      </c>
    </row>
    <row r="3" spans="1:7" ht="15">
      <c r="A3" s="46">
        <v>40908</v>
      </c>
      <c r="C3" t="s">
        <v>200</v>
      </c>
      <c r="E3" t="s">
        <v>233</v>
      </c>
      <c r="G3" s="63" t="s">
        <v>239</v>
      </c>
    </row>
    <row r="4" spans="1:7" ht="15">
      <c r="A4" s="46">
        <v>40909</v>
      </c>
      <c r="C4" t="s">
        <v>201</v>
      </c>
      <c r="E4" t="s">
        <v>234</v>
      </c>
      <c r="G4" s="63" t="s">
        <v>240</v>
      </c>
    </row>
    <row r="5" spans="1:7">
      <c r="A5" s="46">
        <v>40910</v>
      </c>
      <c r="C5" t="s">
        <v>202</v>
      </c>
      <c r="E5" t="s">
        <v>235</v>
      </c>
    </row>
    <row r="6" spans="1:7">
      <c r="A6" s="46">
        <v>40911</v>
      </c>
      <c r="C6" t="s">
        <v>203</v>
      </c>
    </row>
    <row r="7" spans="1:7">
      <c r="A7" s="46">
        <v>40912</v>
      </c>
      <c r="C7" t="s">
        <v>204</v>
      </c>
    </row>
    <row r="8" spans="1:7">
      <c r="A8" s="46">
        <v>40913</v>
      </c>
      <c r="C8" t="s">
        <v>205</v>
      </c>
    </row>
    <row r="9" spans="1:7">
      <c r="A9" s="46">
        <v>40914</v>
      </c>
      <c r="C9" t="s">
        <v>206</v>
      </c>
    </row>
    <row r="10" spans="1:7">
      <c r="A10" s="46">
        <v>40915</v>
      </c>
      <c r="C10" t="s">
        <v>207</v>
      </c>
    </row>
    <row r="11" spans="1:7">
      <c r="A11" s="46">
        <v>40916</v>
      </c>
      <c r="C11" t="s">
        <v>208</v>
      </c>
    </row>
    <row r="12" spans="1:7">
      <c r="A12" s="46">
        <v>40917</v>
      </c>
      <c r="C12" t="s">
        <v>209</v>
      </c>
    </row>
    <row r="13" spans="1:7">
      <c r="A13" s="46">
        <v>40918</v>
      </c>
      <c r="C13" t="s">
        <v>210</v>
      </c>
    </row>
    <row r="14" spans="1:7">
      <c r="A14" s="46">
        <v>40919</v>
      </c>
      <c r="C14" t="s">
        <v>211</v>
      </c>
    </row>
    <row r="15" spans="1:7">
      <c r="A15" s="46">
        <v>40920</v>
      </c>
      <c r="C15" t="s">
        <v>212</v>
      </c>
    </row>
    <row r="16" spans="1:7">
      <c r="A16" s="46">
        <v>40921</v>
      </c>
      <c r="C16" t="s">
        <v>213</v>
      </c>
    </row>
    <row r="17" spans="1:3">
      <c r="A17" s="46">
        <v>40922</v>
      </c>
      <c r="C17" t="s">
        <v>214</v>
      </c>
    </row>
    <row r="18" spans="1:3">
      <c r="A18" s="46">
        <v>40923</v>
      </c>
      <c r="C18" t="s">
        <v>215</v>
      </c>
    </row>
    <row r="19" spans="1:3">
      <c r="A19" s="46">
        <v>40924</v>
      </c>
      <c r="C19" t="s">
        <v>216</v>
      </c>
    </row>
    <row r="20" spans="1:3">
      <c r="A20" s="46">
        <v>40925</v>
      </c>
      <c r="C20" t="s">
        <v>217</v>
      </c>
    </row>
    <row r="21" spans="1:3">
      <c r="A21" s="46">
        <v>40926</v>
      </c>
    </row>
    <row r="22" spans="1:3">
      <c r="A22" s="46">
        <v>40927</v>
      </c>
    </row>
    <row r="23" spans="1:3">
      <c r="A23" s="46">
        <v>40928</v>
      </c>
    </row>
    <row r="24" spans="1:3">
      <c r="A24" s="46">
        <v>40929</v>
      </c>
    </row>
    <row r="25" spans="1:3">
      <c r="A25" s="46">
        <v>40930</v>
      </c>
    </row>
    <row r="26" spans="1:3">
      <c r="A26" s="46">
        <v>40931</v>
      </c>
    </row>
    <row r="27" spans="1:3">
      <c r="A27" s="46">
        <v>40932</v>
      </c>
    </row>
    <row r="28" spans="1:3">
      <c r="A28" s="46">
        <v>40933</v>
      </c>
    </row>
    <row r="29" spans="1:3">
      <c r="A29" s="46">
        <v>40934</v>
      </c>
    </row>
    <row r="30" spans="1:3">
      <c r="A30" s="46">
        <v>40935</v>
      </c>
    </row>
    <row r="31" spans="1:3">
      <c r="A31" s="46">
        <v>40936</v>
      </c>
    </row>
    <row r="32" spans="1:3">
      <c r="A32" s="46">
        <v>40937</v>
      </c>
    </row>
    <row r="33" spans="1:1">
      <c r="A33" s="46">
        <v>40938</v>
      </c>
    </row>
    <row r="34" spans="1:1">
      <c r="A34" s="46">
        <v>40939</v>
      </c>
    </row>
    <row r="35" spans="1:1">
      <c r="A35" s="46">
        <v>40941</v>
      </c>
    </row>
    <row r="36" spans="1:1">
      <c r="A36" s="46">
        <v>40942</v>
      </c>
    </row>
    <row r="37" spans="1:1">
      <c r="A37" s="46">
        <v>40943</v>
      </c>
    </row>
    <row r="38" spans="1:1">
      <c r="A38" s="46">
        <v>40944</v>
      </c>
    </row>
    <row r="39" spans="1:1">
      <c r="A39" s="46">
        <v>40945</v>
      </c>
    </row>
    <row r="40" spans="1:1">
      <c r="A40" s="46">
        <v>40946</v>
      </c>
    </row>
    <row r="41" spans="1:1">
      <c r="A41" s="46">
        <v>40947</v>
      </c>
    </row>
    <row r="42" spans="1:1">
      <c r="A42" s="46">
        <v>40948</v>
      </c>
    </row>
    <row r="43" spans="1:1">
      <c r="A43" s="46">
        <v>40949</v>
      </c>
    </row>
    <row r="44" spans="1:1">
      <c r="A44" s="46">
        <v>40950</v>
      </c>
    </row>
    <row r="45" spans="1:1">
      <c r="A45" s="46">
        <v>40951</v>
      </c>
    </row>
    <row r="46" spans="1:1">
      <c r="A46" s="46">
        <v>40952</v>
      </c>
    </row>
    <row r="47" spans="1:1">
      <c r="A47" s="46">
        <v>40953</v>
      </c>
    </row>
    <row r="48" spans="1:1">
      <c r="A48" s="46">
        <v>40954</v>
      </c>
    </row>
    <row r="49" spans="1:1">
      <c r="A49" s="46">
        <v>40955</v>
      </c>
    </row>
    <row r="50" spans="1:1">
      <c r="A50" s="46">
        <v>40956</v>
      </c>
    </row>
    <row r="51" spans="1:1">
      <c r="A51" s="46">
        <v>40957</v>
      </c>
    </row>
    <row r="52" spans="1:1">
      <c r="A52" s="46">
        <v>40958</v>
      </c>
    </row>
    <row r="53" spans="1:1">
      <c r="A53" s="46">
        <v>40959</v>
      </c>
    </row>
    <row r="54" spans="1:1">
      <c r="A54" s="46">
        <v>40960</v>
      </c>
    </row>
    <row r="55" spans="1:1">
      <c r="A55" s="46">
        <v>40961</v>
      </c>
    </row>
    <row r="56" spans="1:1">
      <c r="A56" s="46">
        <v>40962</v>
      </c>
    </row>
    <row r="57" spans="1:1">
      <c r="A57" s="46">
        <v>40963</v>
      </c>
    </row>
    <row r="58" spans="1:1">
      <c r="A58" s="46">
        <v>40964</v>
      </c>
    </row>
    <row r="59" spans="1:1">
      <c r="A59" s="46">
        <v>40965</v>
      </c>
    </row>
    <row r="60" spans="1:1">
      <c r="A60" s="46">
        <v>40966</v>
      </c>
    </row>
    <row r="61" spans="1:1">
      <c r="A61" s="46">
        <v>40967</v>
      </c>
    </row>
    <row r="62" spans="1:1">
      <c r="A62" s="46">
        <v>40968</v>
      </c>
    </row>
    <row r="63" spans="1:1">
      <c r="A63" s="46">
        <v>40969</v>
      </c>
    </row>
    <row r="64" spans="1:1">
      <c r="A64" s="46">
        <v>40970</v>
      </c>
    </row>
    <row r="65" spans="1:1">
      <c r="A65" s="46">
        <v>40971</v>
      </c>
    </row>
    <row r="66" spans="1:1">
      <c r="A66" s="46">
        <v>40972</v>
      </c>
    </row>
    <row r="67" spans="1:1">
      <c r="A67" s="46">
        <v>40973</v>
      </c>
    </row>
    <row r="68" spans="1:1">
      <c r="A68" s="46">
        <v>40974</v>
      </c>
    </row>
    <row r="69" spans="1:1">
      <c r="A69" s="46">
        <v>40975</v>
      </c>
    </row>
    <row r="70" spans="1:1">
      <c r="A70" s="46">
        <v>40976</v>
      </c>
    </row>
    <row r="71" spans="1:1">
      <c r="A71" s="46">
        <v>40977</v>
      </c>
    </row>
    <row r="72" spans="1:1">
      <c r="A72" s="46">
        <v>40978</v>
      </c>
    </row>
    <row r="73" spans="1:1">
      <c r="A73" s="46">
        <v>40979</v>
      </c>
    </row>
    <row r="74" spans="1:1">
      <c r="A74" s="46">
        <v>40980</v>
      </c>
    </row>
    <row r="75" spans="1:1">
      <c r="A75" s="46">
        <v>40981</v>
      </c>
    </row>
    <row r="76" spans="1:1">
      <c r="A76" s="46">
        <v>40982</v>
      </c>
    </row>
    <row r="77" spans="1:1">
      <c r="A77" s="46">
        <v>40983</v>
      </c>
    </row>
    <row r="78" spans="1:1">
      <c r="A78" s="46">
        <v>40984</v>
      </c>
    </row>
    <row r="79" spans="1:1">
      <c r="A79" s="46">
        <v>40985</v>
      </c>
    </row>
    <row r="80" spans="1:1">
      <c r="A80" s="46">
        <v>40986</v>
      </c>
    </row>
    <row r="81" spans="1:1">
      <c r="A81" s="46">
        <v>40987</v>
      </c>
    </row>
    <row r="82" spans="1:1">
      <c r="A82" s="46">
        <v>40988</v>
      </c>
    </row>
    <row r="83" spans="1:1">
      <c r="A83" s="46">
        <v>40989</v>
      </c>
    </row>
    <row r="84" spans="1:1">
      <c r="A84" s="46">
        <v>40990</v>
      </c>
    </row>
    <row r="85" spans="1:1">
      <c r="A85" s="46">
        <v>40991</v>
      </c>
    </row>
    <row r="86" spans="1:1">
      <c r="A86" s="46">
        <v>40992</v>
      </c>
    </row>
    <row r="87" spans="1:1">
      <c r="A87" s="46">
        <v>40993</v>
      </c>
    </row>
    <row r="88" spans="1:1">
      <c r="A88" s="46">
        <v>40994</v>
      </c>
    </row>
    <row r="89" spans="1:1">
      <c r="A89" s="46">
        <v>40995</v>
      </c>
    </row>
    <row r="90" spans="1:1">
      <c r="A90" s="46">
        <v>40996</v>
      </c>
    </row>
    <row r="91" spans="1:1">
      <c r="A91" s="46">
        <v>40997</v>
      </c>
    </row>
    <row r="92" spans="1:1">
      <c r="A92" s="46">
        <v>40998</v>
      </c>
    </row>
    <row r="93" spans="1:1">
      <c r="A93" s="46">
        <v>40999</v>
      </c>
    </row>
    <row r="94" spans="1:1">
      <c r="A94" s="46">
        <v>41000</v>
      </c>
    </row>
    <row r="95" spans="1:1">
      <c r="A95" s="46">
        <v>41001</v>
      </c>
    </row>
    <row r="96" spans="1:1">
      <c r="A96" s="46">
        <v>41002</v>
      </c>
    </row>
    <row r="97" spans="1:1">
      <c r="A97" s="46">
        <v>41003</v>
      </c>
    </row>
    <row r="98" spans="1:1">
      <c r="A98" s="46">
        <v>41004</v>
      </c>
    </row>
    <row r="99" spans="1:1">
      <c r="A99" s="46">
        <v>41005</v>
      </c>
    </row>
    <row r="100" spans="1:1">
      <c r="A100" s="46">
        <v>41006</v>
      </c>
    </row>
    <row r="101" spans="1:1">
      <c r="A101" s="46">
        <v>41007</v>
      </c>
    </row>
    <row r="102" spans="1:1">
      <c r="A102" s="46">
        <v>41008</v>
      </c>
    </row>
    <row r="103" spans="1:1">
      <c r="A103" s="46">
        <v>41009</v>
      </c>
    </row>
    <row r="104" spans="1:1">
      <c r="A104" s="46">
        <v>41010</v>
      </c>
    </row>
    <row r="105" spans="1:1">
      <c r="A105" s="46">
        <v>41011</v>
      </c>
    </row>
    <row r="106" spans="1:1">
      <c r="A106" s="46">
        <v>41012</v>
      </c>
    </row>
    <row r="107" spans="1:1">
      <c r="A107" s="46">
        <v>41013</v>
      </c>
    </row>
    <row r="108" spans="1:1">
      <c r="A108" s="46">
        <v>41014</v>
      </c>
    </row>
    <row r="109" spans="1:1">
      <c r="A109" s="46">
        <v>41015</v>
      </c>
    </row>
    <row r="110" spans="1:1">
      <c r="A110" s="46">
        <v>41016</v>
      </c>
    </row>
    <row r="111" spans="1:1">
      <c r="A111" s="46">
        <v>41017</v>
      </c>
    </row>
    <row r="112" spans="1:1">
      <c r="A112" s="46">
        <v>41018</v>
      </c>
    </row>
    <row r="113" spans="1:1">
      <c r="A113" s="46">
        <v>41019</v>
      </c>
    </row>
    <row r="114" spans="1:1">
      <c r="A114" s="46">
        <v>41020</v>
      </c>
    </row>
    <row r="115" spans="1:1">
      <c r="A115" s="46">
        <v>41021</v>
      </c>
    </row>
    <row r="116" spans="1:1">
      <c r="A116" s="46">
        <v>41022</v>
      </c>
    </row>
    <row r="117" spans="1:1">
      <c r="A117" s="46">
        <v>41023</v>
      </c>
    </row>
    <row r="118" spans="1:1">
      <c r="A118" s="46">
        <v>41024</v>
      </c>
    </row>
    <row r="119" spans="1:1">
      <c r="A119" s="46">
        <v>41025</v>
      </c>
    </row>
    <row r="120" spans="1:1">
      <c r="A120" s="46">
        <v>41026</v>
      </c>
    </row>
    <row r="121" spans="1:1">
      <c r="A121" s="46">
        <v>41027</v>
      </c>
    </row>
    <row r="122" spans="1:1">
      <c r="A122" s="46">
        <v>41028</v>
      </c>
    </row>
    <row r="123" spans="1:1">
      <c r="A123" s="46">
        <v>41029</v>
      </c>
    </row>
    <row r="124" spans="1:1">
      <c r="A124" s="46">
        <v>41030</v>
      </c>
    </row>
    <row r="125" spans="1:1">
      <c r="A125" s="46">
        <v>41031</v>
      </c>
    </row>
    <row r="126" spans="1:1">
      <c r="A126" s="46">
        <v>41032</v>
      </c>
    </row>
    <row r="127" spans="1:1">
      <c r="A127" s="46">
        <v>41033</v>
      </c>
    </row>
    <row r="128" spans="1:1">
      <c r="A128" s="46">
        <v>41034</v>
      </c>
    </row>
    <row r="129" spans="1:1">
      <c r="A129" s="46">
        <v>41035</v>
      </c>
    </row>
    <row r="130" spans="1:1">
      <c r="A130" s="46">
        <v>41036</v>
      </c>
    </row>
    <row r="131" spans="1:1">
      <c r="A131" s="46">
        <v>41037</v>
      </c>
    </row>
    <row r="132" spans="1:1">
      <c r="A132" s="46">
        <v>41038</v>
      </c>
    </row>
    <row r="133" spans="1:1">
      <c r="A133" s="46">
        <v>41039</v>
      </c>
    </row>
    <row r="134" spans="1:1">
      <c r="A134" s="46">
        <v>41040</v>
      </c>
    </row>
    <row r="135" spans="1:1">
      <c r="A135" s="46">
        <v>41041</v>
      </c>
    </row>
    <row r="136" spans="1:1">
      <c r="A136" s="46">
        <v>41042</v>
      </c>
    </row>
    <row r="137" spans="1:1">
      <c r="A137" s="46">
        <v>41043</v>
      </c>
    </row>
    <row r="138" spans="1:1">
      <c r="A138" s="46">
        <v>41044</v>
      </c>
    </row>
    <row r="139" spans="1:1">
      <c r="A139" s="46">
        <v>41045</v>
      </c>
    </row>
    <row r="140" spans="1:1">
      <c r="A140" s="46">
        <v>41046</v>
      </c>
    </row>
    <row r="141" spans="1:1">
      <c r="A141" s="46">
        <v>41047</v>
      </c>
    </row>
    <row r="142" spans="1:1">
      <c r="A142" s="46">
        <v>41048</v>
      </c>
    </row>
    <row r="143" spans="1:1">
      <c r="A143" s="46">
        <v>41049</v>
      </c>
    </row>
    <row r="144" spans="1:1">
      <c r="A144" s="46">
        <v>41050</v>
      </c>
    </row>
    <row r="145" spans="1:1">
      <c r="A145" s="46">
        <v>41051</v>
      </c>
    </row>
    <row r="146" spans="1:1">
      <c r="A146" s="46">
        <v>41052</v>
      </c>
    </row>
    <row r="147" spans="1:1">
      <c r="A147" s="46">
        <v>41053</v>
      </c>
    </row>
    <row r="148" spans="1:1">
      <c r="A148" s="46">
        <v>41054</v>
      </c>
    </row>
    <row r="149" spans="1:1">
      <c r="A149" s="46">
        <v>41055</v>
      </c>
    </row>
    <row r="150" spans="1:1">
      <c r="A150" s="46">
        <v>41056</v>
      </c>
    </row>
    <row r="151" spans="1:1">
      <c r="A151" s="46">
        <v>41057</v>
      </c>
    </row>
    <row r="152" spans="1:1">
      <c r="A152" s="46">
        <v>41058</v>
      </c>
    </row>
    <row r="153" spans="1:1">
      <c r="A153" s="46">
        <v>41059</v>
      </c>
    </row>
    <row r="154" spans="1:1">
      <c r="A154" s="46">
        <v>41060</v>
      </c>
    </row>
    <row r="155" spans="1:1">
      <c r="A155" s="46">
        <v>41061</v>
      </c>
    </row>
    <row r="156" spans="1:1">
      <c r="A156" s="46">
        <v>41062</v>
      </c>
    </row>
    <row r="157" spans="1:1">
      <c r="A157" s="46">
        <v>41063</v>
      </c>
    </row>
    <row r="158" spans="1:1">
      <c r="A158" s="46">
        <v>41064</v>
      </c>
    </row>
    <row r="159" spans="1:1">
      <c r="A159" s="46">
        <v>41065</v>
      </c>
    </row>
    <row r="160" spans="1:1">
      <c r="A160" s="46">
        <v>41066</v>
      </c>
    </row>
    <row r="161" spans="1:1">
      <c r="A161" s="46">
        <v>41067</v>
      </c>
    </row>
    <row r="162" spans="1:1">
      <c r="A162" s="46">
        <v>41068</v>
      </c>
    </row>
    <row r="163" spans="1:1">
      <c r="A163" s="46">
        <v>41069</v>
      </c>
    </row>
    <row r="164" spans="1:1">
      <c r="A164" s="46">
        <v>41070</v>
      </c>
    </row>
    <row r="165" spans="1:1">
      <c r="A165" s="46">
        <v>41071</v>
      </c>
    </row>
    <row r="166" spans="1:1">
      <c r="A166" s="46">
        <v>41072</v>
      </c>
    </row>
    <row r="167" spans="1:1">
      <c r="A167" s="46">
        <v>41073</v>
      </c>
    </row>
    <row r="168" spans="1:1">
      <c r="A168" s="46">
        <v>41074</v>
      </c>
    </row>
    <row r="169" spans="1:1">
      <c r="A169" s="46">
        <v>41075</v>
      </c>
    </row>
    <row r="170" spans="1:1">
      <c r="A170" s="46">
        <v>41076</v>
      </c>
    </row>
    <row r="171" spans="1:1">
      <c r="A171" s="46">
        <v>41077</v>
      </c>
    </row>
    <row r="172" spans="1:1">
      <c r="A172" s="46">
        <v>41078</v>
      </c>
    </row>
    <row r="173" spans="1:1">
      <c r="A173" s="46">
        <v>41079</v>
      </c>
    </row>
    <row r="174" spans="1:1">
      <c r="A174" s="46">
        <v>41080</v>
      </c>
    </row>
    <row r="175" spans="1:1">
      <c r="A175" s="46">
        <v>41081</v>
      </c>
    </row>
    <row r="176" spans="1:1">
      <c r="A176" s="46">
        <v>41082</v>
      </c>
    </row>
    <row r="177" spans="1:1">
      <c r="A177" s="46">
        <v>41083</v>
      </c>
    </row>
    <row r="178" spans="1:1">
      <c r="A178" s="46">
        <v>41084</v>
      </c>
    </row>
    <row r="179" spans="1:1">
      <c r="A179" s="46">
        <v>41085</v>
      </c>
    </row>
    <row r="180" spans="1:1">
      <c r="A180" s="46">
        <v>41086</v>
      </c>
    </row>
    <row r="181" spans="1:1">
      <c r="A181" s="46">
        <v>41087</v>
      </c>
    </row>
    <row r="182" spans="1:1">
      <c r="A182" s="46">
        <v>41088</v>
      </c>
    </row>
    <row r="183" spans="1:1">
      <c r="A183" s="46">
        <v>41089</v>
      </c>
    </row>
    <row r="184" spans="1:1">
      <c r="A184" s="46">
        <v>41090</v>
      </c>
    </row>
    <row r="185" spans="1:1">
      <c r="A185" s="46">
        <v>41091</v>
      </c>
    </row>
    <row r="186" spans="1:1">
      <c r="A186" s="46">
        <v>41092</v>
      </c>
    </row>
    <row r="187" spans="1:1">
      <c r="A187" s="46">
        <v>41093</v>
      </c>
    </row>
    <row r="188" spans="1:1">
      <c r="A188" s="46">
        <v>41094</v>
      </c>
    </row>
    <row r="189" spans="1:1">
      <c r="A189" s="46">
        <v>41095</v>
      </c>
    </row>
    <row r="190" spans="1:1">
      <c r="A190" s="46">
        <v>41096</v>
      </c>
    </row>
    <row r="191" spans="1:1">
      <c r="A191" s="46">
        <v>41097</v>
      </c>
    </row>
    <row r="192" spans="1:1">
      <c r="A192" s="46">
        <v>41098</v>
      </c>
    </row>
    <row r="193" spans="1:1">
      <c r="A193" s="46">
        <v>41099</v>
      </c>
    </row>
    <row r="194" spans="1:1">
      <c r="A194" s="46">
        <v>41100</v>
      </c>
    </row>
    <row r="195" spans="1:1">
      <c r="A195" s="46">
        <v>41101</v>
      </c>
    </row>
    <row r="196" spans="1:1">
      <c r="A196" s="46">
        <v>41102</v>
      </c>
    </row>
    <row r="197" spans="1:1">
      <c r="A197" s="46">
        <v>41103</v>
      </c>
    </row>
    <row r="198" spans="1:1">
      <c r="A198" s="46">
        <v>41104</v>
      </c>
    </row>
    <row r="199" spans="1:1">
      <c r="A199" s="46">
        <v>41105</v>
      </c>
    </row>
    <row r="200" spans="1:1">
      <c r="A200" s="46">
        <v>41106</v>
      </c>
    </row>
    <row r="201" spans="1:1">
      <c r="A201" s="46">
        <v>41107</v>
      </c>
    </row>
    <row r="202" spans="1:1">
      <c r="A202" s="46">
        <v>41108</v>
      </c>
    </row>
    <row r="203" spans="1:1">
      <c r="A203" s="46">
        <v>41109</v>
      </c>
    </row>
    <row r="204" spans="1:1">
      <c r="A204" s="46">
        <v>41110</v>
      </c>
    </row>
    <row r="205" spans="1:1">
      <c r="A205" s="46">
        <v>41111</v>
      </c>
    </row>
    <row r="206" spans="1:1">
      <c r="A206" s="46">
        <v>41112</v>
      </c>
    </row>
    <row r="207" spans="1:1">
      <c r="A207" s="46">
        <v>41113</v>
      </c>
    </row>
    <row r="208" spans="1:1">
      <c r="A208" s="46">
        <v>41114</v>
      </c>
    </row>
    <row r="209" spans="1:1">
      <c r="A209" s="46">
        <v>41115</v>
      </c>
    </row>
    <row r="210" spans="1:1">
      <c r="A210" s="46">
        <v>41116</v>
      </c>
    </row>
    <row r="211" spans="1:1">
      <c r="A211" s="46">
        <v>41117</v>
      </c>
    </row>
    <row r="212" spans="1:1">
      <c r="A212" s="46">
        <v>41118</v>
      </c>
    </row>
    <row r="213" spans="1:1">
      <c r="A213" s="46">
        <v>41119</v>
      </c>
    </row>
    <row r="214" spans="1:1">
      <c r="A214" s="46">
        <v>41120</v>
      </c>
    </row>
    <row r="215" spans="1:1">
      <c r="A215" s="46">
        <v>41121</v>
      </c>
    </row>
    <row r="216" spans="1:1">
      <c r="A216" s="46">
        <v>41122</v>
      </c>
    </row>
    <row r="217" spans="1:1">
      <c r="A217" s="46">
        <v>41123</v>
      </c>
    </row>
    <row r="218" spans="1:1">
      <c r="A218" s="46">
        <v>41124</v>
      </c>
    </row>
    <row r="219" spans="1:1">
      <c r="A219" s="46">
        <v>41125</v>
      </c>
    </row>
    <row r="220" spans="1:1">
      <c r="A220" s="46">
        <v>41126</v>
      </c>
    </row>
    <row r="221" spans="1:1">
      <c r="A221" s="46">
        <v>41127</v>
      </c>
    </row>
    <row r="222" spans="1:1">
      <c r="A222" s="46">
        <v>41128</v>
      </c>
    </row>
    <row r="223" spans="1:1">
      <c r="A223" s="46">
        <v>41129</v>
      </c>
    </row>
    <row r="224" spans="1:1">
      <c r="A224" s="46">
        <v>41130</v>
      </c>
    </row>
    <row r="225" spans="1:1">
      <c r="A225" s="46">
        <v>41131</v>
      </c>
    </row>
    <row r="226" spans="1:1">
      <c r="A226" s="46">
        <v>41132</v>
      </c>
    </row>
    <row r="227" spans="1:1">
      <c r="A227" s="46">
        <v>41133</v>
      </c>
    </row>
    <row r="228" spans="1:1">
      <c r="A228" s="46">
        <v>41134</v>
      </c>
    </row>
    <row r="229" spans="1:1">
      <c r="A229" s="46">
        <v>41135</v>
      </c>
    </row>
    <row r="230" spans="1:1">
      <c r="A230" s="46">
        <v>41136</v>
      </c>
    </row>
    <row r="231" spans="1:1">
      <c r="A231" s="46">
        <v>41137</v>
      </c>
    </row>
    <row r="232" spans="1:1">
      <c r="A232" s="46">
        <v>41138</v>
      </c>
    </row>
    <row r="233" spans="1:1">
      <c r="A233" s="46">
        <v>41139</v>
      </c>
    </row>
    <row r="234" spans="1:1">
      <c r="A234" s="46">
        <v>41140</v>
      </c>
    </row>
    <row r="235" spans="1:1">
      <c r="A235" s="46">
        <v>41141</v>
      </c>
    </row>
    <row r="236" spans="1:1">
      <c r="A236" s="46">
        <v>41142</v>
      </c>
    </row>
    <row r="237" spans="1:1">
      <c r="A237" s="46">
        <v>41143</v>
      </c>
    </row>
    <row r="238" spans="1:1">
      <c r="A238" s="46">
        <v>41144</v>
      </c>
    </row>
    <row r="239" spans="1:1">
      <c r="A239" s="46">
        <v>41145</v>
      </c>
    </row>
    <row r="240" spans="1:1">
      <c r="A240" s="46">
        <v>41146</v>
      </c>
    </row>
    <row r="241" spans="1:1">
      <c r="A241" s="46">
        <v>41147</v>
      </c>
    </row>
    <row r="242" spans="1:1">
      <c r="A242" s="46">
        <v>41148</v>
      </c>
    </row>
    <row r="243" spans="1:1">
      <c r="A243" s="46">
        <v>41149</v>
      </c>
    </row>
    <row r="244" spans="1:1">
      <c r="A244" s="46">
        <v>41150</v>
      </c>
    </row>
    <row r="245" spans="1:1">
      <c r="A245" s="46">
        <v>41151</v>
      </c>
    </row>
    <row r="246" spans="1:1">
      <c r="A246" s="46">
        <v>41152</v>
      </c>
    </row>
    <row r="247" spans="1:1">
      <c r="A247" s="46">
        <v>41153</v>
      </c>
    </row>
    <row r="248" spans="1:1">
      <c r="A248" s="46">
        <v>41154</v>
      </c>
    </row>
    <row r="249" spans="1:1">
      <c r="A249" s="46">
        <v>41155</v>
      </c>
    </row>
    <row r="250" spans="1:1">
      <c r="A250" s="46">
        <v>41156</v>
      </c>
    </row>
    <row r="251" spans="1:1">
      <c r="A251" s="46">
        <v>41157</v>
      </c>
    </row>
    <row r="252" spans="1:1">
      <c r="A252" s="46">
        <v>41158</v>
      </c>
    </row>
    <row r="253" spans="1:1">
      <c r="A253" s="46">
        <v>41159</v>
      </c>
    </row>
    <row r="254" spans="1:1">
      <c r="A254" s="46">
        <v>41160</v>
      </c>
    </row>
    <row r="255" spans="1:1">
      <c r="A255" s="46">
        <v>41161</v>
      </c>
    </row>
    <row r="256" spans="1:1">
      <c r="A256" s="46">
        <v>41162</v>
      </c>
    </row>
    <row r="257" spans="1:1">
      <c r="A257" s="46">
        <v>41163</v>
      </c>
    </row>
    <row r="258" spans="1:1">
      <c r="A258" s="46">
        <v>41164</v>
      </c>
    </row>
    <row r="259" spans="1:1">
      <c r="A259" s="46">
        <v>41165</v>
      </c>
    </row>
    <row r="260" spans="1:1">
      <c r="A260" s="46">
        <v>41166</v>
      </c>
    </row>
    <row r="261" spans="1:1">
      <c r="A261" s="46">
        <v>41167</v>
      </c>
    </row>
    <row r="262" spans="1:1">
      <c r="A262" s="46">
        <v>41168</v>
      </c>
    </row>
    <row r="263" spans="1:1">
      <c r="A263" s="46">
        <v>41169</v>
      </c>
    </row>
    <row r="264" spans="1:1">
      <c r="A264" s="46">
        <v>41170</v>
      </c>
    </row>
    <row r="265" spans="1:1">
      <c r="A265" s="46">
        <v>41171</v>
      </c>
    </row>
    <row r="266" spans="1:1">
      <c r="A266" s="46">
        <v>41172</v>
      </c>
    </row>
    <row r="267" spans="1:1">
      <c r="A267" s="46">
        <v>41173</v>
      </c>
    </row>
    <row r="268" spans="1:1">
      <c r="A268" s="46">
        <v>41174</v>
      </c>
    </row>
    <row r="269" spans="1:1">
      <c r="A269" s="46">
        <v>41175</v>
      </c>
    </row>
    <row r="270" spans="1:1">
      <c r="A270" s="46">
        <v>41176</v>
      </c>
    </row>
    <row r="271" spans="1:1">
      <c r="A271" s="46">
        <v>41177</v>
      </c>
    </row>
    <row r="272" spans="1:1">
      <c r="A272" s="46">
        <v>41178</v>
      </c>
    </row>
    <row r="273" spans="1:1">
      <c r="A273" s="46">
        <v>41179</v>
      </c>
    </row>
    <row r="274" spans="1:1">
      <c r="A274" s="46">
        <v>41180</v>
      </c>
    </row>
    <row r="275" spans="1:1">
      <c r="A275" s="46">
        <v>41181</v>
      </c>
    </row>
    <row r="276" spans="1:1">
      <c r="A276" s="46">
        <v>41182</v>
      </c>
    </row>
    <row r="277" spans="1:1">
      <c r="A277" s="46">
        <v>41183</v>
      </c>
    </row>
    <row r="278" spans="1:1">
      <c r="A278" s="46">
        <v>41184</v>
      </c>
    </row>
    <row r="279" spans="1:1">
      <c r="A279" s="46">
        <v>41185</v>
      </c>
    </row>
    <row r="280" spans="1:1">
      <c r="A280" s="46">
        <v>41186</v>
      </c>
    </row>
    <row r="281" spans="1:1">
      <c r="A281" s="46">
        <v>41187</v>
      </c>
    </row>
    <row r="282" spans="1:1">
      <c r="A282" s="46">
        <v>41188</v>
      </c>
    </row>
    <row r="283" spans="1:1">
      <c r="A283" s="46">
        <v>41189</v>
      </c>
    </row>
    <row r="284" spans="1:1">
      <c r="A284" s="46">
        <v>41190</v>
      </c>
    </row>
    <row r="285" spans="1:1">
      <c r="A285" s="46">
        <v>41191</v>
      </c>
    </row>
    <row r="286" spans="1:1">
      <c r="A286" s="46">
        <v>41192</v>
      </c>
    </row>
    <row r="287" spans="1:1">
      <c r="A287" s="46">
        <v>41193</v>
      </c>
    </row>
    <row r="288" spans="1:1">
      <c r="A288" s="46">
        <v>41194</v>
      </c>
    </row>
    <row r="289" spans="1:1">
      <c r="A289" s="46">
        <v>41195</v>
      </c>
    </row>
    <row r="290" spans="1:1">
      <c r="A290" s="46">
        <v>41196</v>
      </c>
    </row>
    <row r="291" spans="1:1">
      <c r="A291" s="46">
        <v>41197</v>
      </c>
    </row>
    <row r="292" spans="1:1">
      <c r="A292" s="46">
        <v>41198</v>
      </c>
    </row>
    <row r="293" spans="1:1">
      <c r="A293" s="46">
        <v>41199</v>
      </c>
    </row>
    <row r="294" spans="1:1">
      <c r="A294" s="46">
        <v>41200</v>
      </c>
    </row>
    <row r="295" spans="1:1">
      <c r="A295" s="46">
        <v>41201</v>
      </c>
    </row>
    <row r="296" spans="1:1">
      <c r="A296" s="46">
        <v>41202</v>
      </c>
    </row>
    <row r="297" spans="1:1">
      <c r="A297" s="46">
        <v>41203</v>
      </c>
    </row>
    <row r="298" spans="1:1">
      <c r="A298" s="46">
        <v>41204</v>
      </c>
    </row>
    <row r="299" spans="1:1">
      <c r="A299" s="46">
        <v>41205</v>
      </c>
    </row>
    <row r="300" spans="1:1">
      <c r="A300" s="46">
        <v>41206</v>
      </c>
    </row>
    <row r="301" spans="1:1">
      <c r="A301" s="46">
        <v>41207</v>
      </c>
    </row>
    <row r="302" spans="1:1">
      <c r="A302" s="46">
        <v>41208</v>
      </c>
    </row>
    <row r="303" spans="1:1">
      <c r="A303" s="46">
        <v>41209</v>
      </c>
    </row>
    <row r="304" spans="1:1">
      <c r="A304" s="46">
        <v>41210</v>
      </c>
    </row>
    <row r="305" spans="1:1">
      <c r="A305" s="46">
        <v>41211</v>
      </c>
    </row>
    <row r="306" spans="1:1">
      <c r="A306" s="46">
        <v>41212</v>
      </c>
    </row>
    <row r="307" spans="1:1">
      <c r="A307" s="46">
        <v>41213</v>
      </c>
    </row>
    <row r="308" spans="1:1">
      <c r="A308" s="46">
        <v>41214</v>
      </c>
    </row>
    <row r="309" spans="1:1">
      <c r="A309" s="46">
        <v>41215</v>
      </c>
    </row>
    <row r="310" spans="1:1">
      <c r="A310" s="46">
        <v>41216</v>
      </c>
    </row>
    <row r="311" spans="1:1">
      <c r="A311" s="46">
        <v>41217</v>
      </c>
    </row>
    <row r="312" spans="1:1">
      <c r="A312" s="46">
        <v>41218</v>
      </c>
    </row>
    <row r="313" spans="1:1">
      <c r="A313" s="46">
        <v>41219</v>
      </c>
    </row>
    <row r="314" spans="1:1">
      <c r="A314" s="46">
        <v>41220</v>
      </c>
    </row>
    <row r="315" spans="1:1">
      <c r="A315" s="46">
        <v>41221</v>
      </c>
    </row>
    <row r="316" spans="1:1">
      <c r="A316" s="46">
        <v>41222</v>
      </c>
    </row>
    <row r="317" spans="1:1">
      <c r="A317" s="46">
        <v>41223</v>
      </c>
    </row>
    <row r="318" spans="1:1">
      <c r="A318" s="46">
        <v>41224</v>
      </c>
    </row>
    <row r="319" spans="1:1">
      <c r="A319" s="46">
        <v>41225</v>
      </c>
    </row>
    <row r="320" spans="1:1">
      <c r="A320" s="46">
        <v>41226</v>
      </c>
    </row>
    <row r="321" spans="1:1">
      <c r="A321" s="46">
        <v>41227</v>
      </c>
    </row>
    <row r="322" spans="1:1">
      <c r="A322" s="46">
        <v>41228</v>
      </c>
    </row>
    <row r="323" spans="1:1">
      <c r="A323" s="46">
        <v>41229</v>
      </c>
    </row>
    <row r="324" spans="1:1">
      <c r="A324" s="46">
        <v>41230</v>
      </c>
    </row>
    <row r="325" spans="1:1">
      <c r="A325" s="46">
        <v>41231</v>
      </c>
    </row>
    <row r="326" spans="1:1">
      <c r="A326" s="46">
        <v>41232</v>
      </c>
    </row>
    <row r="327" spans="1:1">
      <c r="A327" s="46">
        <v>41233</v>
      </c>
    </row>
    <row r="328" spans="1:1">
      <c r="A328" s="46">
        <v>41234</v>
      </c>
    </row>
    <row r="329" spans="1:1">
      <c r="A329" s="46">
        <v>41235</v>
      </c>
    </row>
    <row r="330" spans="1:1">
      <c r="A330" s="46">
        <v>41236</v>
      </c>
    </row>
    <row r="331" spans="1:1">
      <c r="A331" s="46">
        <v>41237</v>
      </c>
    </row>
    <row r="332" spans="1:1">
      <c r="A332" s="46">
        <v>41238</v>
      </c>
    </row>
    <row r="333" spans="1:1">
      <c r="A333" s="46">
        <v>41239</v>
      </c>
    </row>
    <row r="334" spans="1:1">
      <c r="A334" s="46">
        <v>41240</v>
      </c>
    </row>
    <row r="335" spans="1:1">
      <c r="A335" s="46">
        <v>41241</v>
      </c>
    </row>
    <row r="336" spans="1:1">
      <c r="A336" s="46">
        <v>41242</v>
      </c>
    </row>
    <row r="337" spans="1:1">
      <c r="A337" s="46">
        <v>41243</v>
      </c>
    </row>
    <row r="338" spans="1:1">
      <c r="A338" s="46">
        <v>41244</v>
      </c>
    </row>
    <row r="339" spans="1:1">
      <c r="A339" s="46">
        <v>41245</v>
      </c>
    </row>
    <row r="340" spans="1:1">
      <c r="A340" s="46">
        <v>41246</v>
      </c>
    </row>
    <row r="341" spans="1:1">
      <c r="A341" s="46">
        <v>41247</v>
      </c>
    </row>
    <row r="342" spans="1:1">
      <c r="A342" s="46">
        <v>41248</v>
      </c>
    </row>
    <row r="343" spans="1:1">
      <c r="A343" s="46">
        <v>41249</v>
      </c>
    </row>
    <row r="344" spans="1:1">
      <c r="A344" s="46">
        <v>41250</v>
      </c>
    </row>
    <row r="345" spans="1:1">
      <c r="A345" s="46">
        <v>41251</v>
      </c>
    </row>
    <row r="346" spans="1:1">
      <c r="A346" s="46">
        <v>41252</v>
      </c>
    </row>
    <row r="347" spans="1:1">
      <c r="A347" s="46">
        <v>41253</v>
      </c>
    </row>
    <row r="348" spans="1:1">
      <c r="A348" s="46">
        <v>41254</v>
      </c>
    </row>
    <row r="349" spans="1:1">
      <c r="A349" s="46">
        <v>41255</v>
      </c>
    </row>
    <row r="350" spans="1:1">
      <c r="A350" s="46">
        <v>41256</v>
      </c>
    </row>
    <row r="351" spans="1:1">
      <c r="A351" s="46">
        <v>41257</v>
      </c>
    </row>
    <row r="352" spans="1:1">
      <c r="A352" s="46">
        <v>41258</v>
      </c>
    </row>
    <row r="353" spans="1:1">
      <c r="A353" s="46">
        <v>41259</v>
      </c>
    </row>
    <row r="354" spans="1:1">
      <c r="A354" s="46">
        <v>41260</v>
      </c>
    </row>
    <row r="355" spans="1:1">
      <c r="A355" s="46">
        <v>41261</v>
      </c>
    </row>
    <row r="356" spans="1:1">
      <c r="A356" s="46">
        <v>41262</v>
      </c>
    </row>
    <row r="357" spans="1:1">
      <c r="A357" s="46">
        <v>41263</v>
      </c>
    </row>
    <row r="358" spans="1:1">
      <c r="A358" s="46">
        <v>41264</v>
      </c>
    </row>
    <row r="359" spans="1:1">
      <c r="A359" s="46">
        <v>41265</v>
      </c>
    </row>
    <row r="360" spans="1:1">
      <c r="A360" s="46">
        <v>41266</v>
      </c>
    </row>
    <row r="361" spans="1:1">
      <c r="A361" s="46">
        <v>41267</v>
      </c>
    </row>
    <row r="362" spans="1:1">
      <c r="A362" s="46">
        <v>41268</v>
      </c>
    </row>
    <row r="363" spans="1:1">
      <c r="A363" s="46">
        <v>41269</v>
      </c>
    </row>
    <row r="364" spans="1:1">
      <c r="A364" s="46">
        <v>41270</v>
      </c>
    </row>
    <row r="365" spans="1:1">
      <c r="A365" s="46">
        <v>41271</v>
      </c>
    </row>
    <row r="366" spans="1:1">
      <c r="A366" s="46">
        <v>41272</v>
      </c>
    </row>
    <row r="367" spans="1:1">
      <c r="A367" s="46">
        <v>41273</v>
      </c>
    </row>
    <row r="368" spans="1:1">
      <c r="A368" s="46">
        <v>41274</v>
      </c>
    </row>
    <row r="369" spans="1:1">
      <c r="A369" s="46">
        <v>41275</v>
      </c>
    </row>
    <row r="370" spans="1:1">
      <c r="A370" s="46">
        <v>41276</v>
      </c>
    </row>
    <row r="371" spans="1:1">
      <c r="A371" s="46">
        <v>41277</v>
      </c>
    </row>
    <row r="372" spans="1:1">
      <c r="A372" s="46">
        <v>41278</v>
      </c>
    </row>
    <row r="373" spans="1:1">
      <c r="A373" s="46">
        <v>41279</v>
      </c>
    </row>
    <row r="374" spans="1:1">
      <c r="A374" s="46">
        <v>41280</v>
      </c>
    </row>
    <row r="375" spans="1:1">
      <c r="A375" s="46">
        <v>41281</v>
      </c>
    </row>
    <row r="376" spans="1:1">
      <c r="A376" s="46">
        <v>41282</v>
      </c>
    </row>
    <row r="377" spans="1:1">
      <c r="A377" s="46">
        <v>41283</v>
      </c>
    </row>
    <row r="378" spans="1:1">
      <c r="A378" s="46">
        <v>41284</v>
      </c>
    </row>
    <row r="379" spans="1:1">
      <c r="A379" s="46">
        <v>41285</v>
      </c>
    </row>
    <row r="380" spans="1:1">
      <c r="A380" s="46">
        <v>41286</v>
      </c>
    </row>
    <row r="381" spans="1:1">
      <c r="A381" s="46">
        <v>41287</v>
      </c>
    </row>
    <row r="382" spans="1:1">
      <c r="A382" s="46">
        <v>41288</v>
      </c>
    </row>
    <row r="383" spans="1:1">
      <c r="A383" s="46">
        <v>41289</v>
      </c>
    </row>
    <row r="384" spans="1:1">
      <c r="A384" s="46">
        <v>41290</v>
      </c>
    </row>
    <row r="385" spans="1:1">
      <c r="A385" s="46">
        <v>41291</v>
      </c>
    </row>
    <row r="386" spans="1:1">
      <c r="A386" s="46">
        <v>41292</v>
      </c>
    </row>
    <row r="387" spans="1:1">
      <c r="A387" s="46">
        <v>41293</v>
      </c>
    </row>
    <row r="388" spans="1:1">
      <c r="A388" s="46">
        <v>41294</v>
      </c>
    </row>
    <row r="389" spans="1:1">
      <c r="A389" s="46">
        <v>41295</v>
      </c>
    </row>
    <row r="390" spans="1:1">
      <c r="A390" s="46">
        <v>41296</v>
      </c>
    </row>
    <row r="391" spans="1:1">
      <c r="A391" s="46">
        <v>41297</v>
      </c>
    </row>
    <row r="392" spans="1:1">
      <c r="A392" s="46">
        <v>41298</v>
      </c>
    </row>
    <row r="393" spans="1:1">
      <c r="A393" s="46">
        <v>41299</v>
      </c>
    </row>
    <row r="394" spans="1:1">
      <c r="A394" s="46">
        <v>41300</v>
      </c>
    </row>
    <row r="395" spans="1:1">
      <c r="A395" s="46">
        <v>41301</v>
      </c>
    </row>
    <row r="396" spans="1:1">
      <c r="A396" s="46">
        <v>41302</v>
      </c>
    </row>
    <row r="397" spans="1:1">
      <c r="A397" s="46">
        <v>41303</v>
      </c>
    </row>
    <row r="398" spans="1:1">
      <c r="A398" s="46">
        <v>41304</v>
      </c>
    </row>
    <row r="399" spans="1:1">
      <c r="A399" s="46">
        <v>41305</v>
      </c>
    </row>
    <row r="400" spans="1:1">
      <c r="A400" s="46">
        <v>41306</v>
      </c>
    </row>
    <row r="401" spans="1:1">
      <c r="A401" s="46">
        <v>41307</v>
      </c>
    </row>
    <row r="402" spans="1:1">
      <c r="A402" s="46">
        <v>41308</v>
      </c>
    </row>
    <row r="403" spans="1:1">
      <c r="A403" s="46">
        <v>41309</v>
      </c>
    </row>
    <row r="404" spans="1:1">
      <c r="A404" s="46">
        <v>41310</v>
      </c>
    </row>
    <row r="405" spans="1:1">
      <c r="A405" s="46">
        <v>41311</v>
      </c>
    </row>
    <row r="406" spans="1:1">
      <c r="A406" s="46">
        <v>41312</v>
      </c>
    </row>
    <row r="407" spans="1:1">
      <c r="A407" s="46">
        <v>41313</v>
      </c>
    </row>
    <row r="408" spans="1:1">
      <c r="A408" s="46">
        <v>41314</v>
      </c>
    </row>
    <row r="409" spans="1:1">
      <c r="A409" s="46">
        <v>41315</v>
      </c>
    </row>
    <row r="410" spans="1:1">
      <c r="A410" s="46">
        <v>41316</v>
      </c>
    </row>
    <row r="411" spans="1:1">
      <c r="A411" s="46">
        <v>41317</v>
      </c>
    </row>
    <row r="412" spans="1:1">
      <c r="A412" s="46">
        <v>41318</v>
      </c>
    </row>
    <row r="413" spans="1:1">
      <c r="A413" s="46">
        <v>41319</v>
      </c>
    </row>
    <row r="414" spans="1:1">
      <c r="A414" s="46">
        <v>41320</v>
      </c>
    </row>
    <row r="415" spans="1:1">
      <c r="A415" s="46">
        <v>41321</v>
      </c>
    </row>
    <row r="416" spans="1:1">
      <c r="A416" s="46">
        <v>41322</v>
      </c>
    </row>
    <row r="417" spans="1:1">
      <c r="A417" s="46">
        <v>41323</v>
      </c>
    </row>
    <row r="418" spans="1:1">
      <c r="A418" s="46">
        <v>41324</v>
      </c>
    </row>
    <row r="419" spans="1:1">
      <c r="A419" s="46">
        <v>41325</v>
      </c>
    </row>
    <row r="420" spans="1:1">
      <c r="A420" s="46">
        <v>41326</v>
      </c>
    </row>
    <row r="421" spans="1:1">
      <c r="A421" s="46">
        <v>41327</v>
      </c>
    </row>
    <row r="422" spans="1:1">
      <c r="A422" s="46">
        <v>41328</v>
      </c>
    </row>
    <row r="423" spans="1:1">
      <c r="A423" s="46">
        <v>41329</v>
      </c>
    </row>
    <row r="424" spans="1:1">
      <c r="A424" s="46">
        <v>41330</v>
      </c>
    </row>
    <row r="425" spans="1:1">
      <c r="A425" s="46">
        <v>41331</v>
      </c>
    </row>
    <row r="426" spans="1:1">
      <c r="A426" s="46">
        <v>41332</v>
      </c>
    </row>
    <row r="427" spans="1:1">
      <c r="A427" s="46">
        <v>41333</v>
      </c>
    </row>
    <row r="428" spans="1:1">
      <c r="A428" s="46">
        <v>41334</v>
      </c>
    </row>
    <row r="429" spans="1:1">
      <c r="A429" s="46">
        <v>41335</v>
      </c>
    </row>
    <row r="430" spans="1:1">
      <c r="A430" s="46">
        <v>41336</v>
      </c>
    </row>
    <row r="431" spans="1:1">
      <c r="A431" s="46">
        <v>41337</v>
      </c>
    </row>
    <row r="432" spans="1:1">
      <c r="A432" s="46">
        <v>41338</v>
      </c>
    </row>
    <row r="433" spans="1:1">
      <c r="A433" s="46">
        <v>41339</v>
      </c>
    </row>
    <row r="434" spans="1:1">
      <c r="A434" s="46">
        <v>41340</v>
      </c>
    </row>
    <row r="435" spans="1:1">
      <c r="A435" s="46">
        <v>41341</v>
      </c>
    </row>
    <row r="436" spans="1:1">
      <c r="A436" s="46">
        <v>41342</v>
      </c>
    </row>
    <row r="437" spans="1:1">
      <c r="A437" s="46">
        <v>41343</v>
      </c>
    </row>
    <row r="438" spans="1:1">
      <c r="A438" s="46">
        <v>41344</v>
      </c>
    </row>
    <row r="439" spans="1:1">
      <c r="A439" s="46">
        <v>41345</v>
      </c>
    </row>
    <row r="440" spans="1:1">
      <c r="A440" s="46">
        <v>41346</v>
      </c>
    </row>
    <row r="441" spans="1:1">
      <c r="A441" s="46">
        <v>41347</v>
      </c>
    </row>
    <row r="442" spans="1:1">
      <c r="A442" s="46">
        <v>41348</v>
      </c>
    </row>
    <row r="443" spans="1:1">
      <c r="A443" s="46">
        <v>41349</v>
      </c>
    </row>
    <row r="444" spans="1:1">
      <c r="A444" s="46">
        <v>41350</v>
      </c>
    </row>
    <row r="445" spans="1:1">
      <c r="A445" s="46">
        <v>41351</v>
      </c>
    </row>
    <row r="446" spans="1:1">
      <c r="A446" s="46">
        <v>41352</v>
      </c>
    </row>
    <row r="447" spans="1:1">
      <c r="A447" s="46">
        <v>41353</v>
      </c>
    </row>
    <row r="448" spans="1:1">
      <c r="A448" s="46">
        <v>41354</v>
      </c>
    </row>
    <row r="449" spans="1:1">
      <c r="A449" s="46">
        <v>41355</v>
      </c>
    </row>
    <row r="450" spans="1:1">
      <c r="A450" s="46">
        <v>41356</v>
      </c>
    </row>
    <row r="451" spans="1:1">
      <c r="A451" s="46">
        <v>41357</v>
      </c>
    </row>
    <row r="452" spans="1:1">
      <c r="A452" s="46">
        <v>41358</v>
      </c>
    </row>
    <row r="453" spans="1:1">
      <c r="A453" s="46">
        <v>41359</v>
      </c>
    </row>
    <row r="454" spans="1:1">
      <c r="A454" s="46">
        <v>41360</v>
      </c>
    </row>
    <row r="455" spans="1:1">
      <c r="A455" s="46">
        <v>41361</v>
      </c>
    </row>
    <row r="456" spans="1:1">
      <c r="A456" s="46">
        <v>41362</v>
      </c>
    </row>
    <row r="457" spans="1:1">
      <c r="A457" s="46">
        <v>41363</v>
      </c>
    </row>
    <row r="458" spans="1:1">
      <c r="A458" s="46">
        <v>41364</v>
      </c>
    </row>
    <row r="459" spans="1:1">
      <c r="A459" s="46">
        <v>41365</v>
      </c>
    </row>
    <row r="460" spans="1:1">
      <c r="A460" s="46">
        <v>41366</v>
      </c>
    </row>
    <row r="461" spans="1:1">
      <c r="A461" s="46">
        <v>41367</v>
      </c>
    </row>
    <row r="462" spans="1:1">
      <c r="A462" s="46">
        <v>41368</v>
      </c>
    </row>
    <row r="463" spans="1:1">
      <c r="A463" s="46">
        <v>41369</v>
      </c>
    </row>
    <row r="464" spans="1:1">
      <c r="A464" s="46">
        <v>41370</v>
      </c>
    </row>
    <row r="465" spans="1:1">
      <c r="A465" s="46">
        <v>41371</v>
      </c>
    </row>
    <row r="466" spans="1:1">
      <c r="A466" s="46">
        <v>41372</v>
      </c>
    </row>
    <row r="467" spans="1:1">
      <c r="A467" s="46">
        <v>41373</v>
      </c>
    </row>
    <row r="468" spans="1:1">
      <c r="A468" s="46">
        <v>41374</v>
      </c>
    </row>
    <row r="469" spans="1:1">
      <c r="A469" s="46">
        <v>41375</v>
      </c>
    </row>
    <row r="470" spans="1:1">
      <c r="A470" s="46">
        <v>41376</v>
      </c>
    </row>
    <row r="471" spans="1:1">
      <c r="A471" s="46">
        <v>41377</v>
      </c>
    </row>
    <row r="472" spans="1:1">
      <c r="A472" s="46">
        <v>41378</v>
      </c>
    </row>
    <row r="473" spans="1:1">
      <c r="A473" s="46">
        <v>41379</v>
      </c>
    </row>
    <row r="474" spans="1:1">
      <c r="A474" s="46">
        <v>41380</v>
      </c>
    </row>
    <row r="475" spans="1:1">
      <c r="A475" s="46">
        <v>41381</v>
      </c>
    </row>
    <row r="476" spans="1:1">
      <c r="A476" s="46">
        <v>41382</v>
      </c>
    </row>
    <row r="477" spans="1:1">
      <c r="A477" s="46">
        <v>41383</v>
      </c>
    </row>
    <row r="478" spans="1:1">
      <c r="A478" s="46">
        <v>41384</v>
      </c>
    </row>
    <row r="479" spans="1:1">
      <c r="A479" s="46">
        <v>41385</v>
      </c>
    </row>
    <row r="480" spans="1:1">
      <c r="A480" s="46">
        <v>41386</v>
      </c>
    </row>
    <row r="481" spans="1:1">
      <c r="A481" s="46">
        <v>41387</v>
      </c>
    </row>
    <row r="482" spans="1:1">
      <c r="A482" s="46">
        <v>41388</v>
      </c>
    </row>
    <row r="483" spans="1:1">
      <c r="A483" s="46">
        <v>41389</v>
      </c>
    </row>
    <row r="484" spans="1:1">
      <c r="A484" s="46">
        <v>41390</v>
      </c>
    </row>
    <row r="485" spans="1:1">
      <c r="A485" s="46">
        <v>41391</v>
      </c>
    </row>
    <row r="486" spans="1:1">
      <c r="A486" s="46">
        <v>41392</v>
      </c>
    </row>
    <row r="487" spans="1:1">
      <c r="A487" s="46">
        <v>41393</v>
      </c>
    </row>
    <row r="488" spans="1:1">
      <c r="A488" s="46">
        <v>41394</v>
      </c>
    </row>
    <row r="489" spans="1:1">
      <c r="A489" s="46">
        <v>41395</v>
      </c>
    </row>
    <row r="490" spans="1:1">
      <c r="A490" s="46">
        <v>41396</v>
      </c>
    </row>
    <row r="491" spans="1:1">
      <c r="A491" s="46">
        <v>41397</v>
      </c>
    </row>
    <row r="492" spans="1:1">
      <c r="A492" s="46">
        <v>41398</v>
      </c>
    </row>
    <row r="493" spans="1:1">
      <c r="A493" s="46">
        <v>41399</v>
      </c>
    </row>
    <row r="494" spans="1:1">
      <c r="A494" s="46">
        <v>41400</v>
      </c>
    </row>
    <row r="495" spans="1:1">
      <c r="A495" s="46">
        <v>41401</v>
      </c>
    </row>
    <row r="496" spans="1:1">
      <c r="A496" s="46">
        <v>41402</v>
      </c>
    </row>
    <row r="497" spans="1:1">
      <c r="A497" s="46">
        <v>41403</v>
      </c>
    </row>
    <row r="498" spans="1:1">
      <c r="A498" s="46">
        <v>41404</v>
      </c>
    </row>
    <row r="499" spans="1:1">
      <c r="A499" s="46">
        <v>41405</v>
      </c>
    </row>
    <row r="500" spans="1:1">
      <c r="A500" s="46">
        <v>41406</v>
      </c>
    </row>
    <row r="501" spans="1:1">
      <c r="A501" s="46">
        <v>41407</v>
      </c>
    </row>
    <row r="502" spans="1:1">
      <c r="A502" s="46">
        <v>41408</v>
      </c>
    </row>
    <row r="503" spans="1:1">
      <c r="A503" s="46">
        <v>41409</v>
      </c>
    </row>
    <row r="504" spans="1:1">
      <c r="A504" s="46">
        <v>41410</v>
      </c>
    </row>
    <row r="505" spans="1:1">
      <c r="A505" s="46">
        <v>41411</v>
      </c>
    </row>
    <row r="506" spans="1:1">
      <c r="A506" s="46">
        <v>41412</v>
      </c>
    </row>
    <row r="507" spans="1:1">
      <c r="A507" s="46">
        <v>41413</v>
      </c>
    </row>
    <row r="508" spans="1:1">
      <c r="A508" s="46">
        <v>41414</v>
      </c>
    </row>
    <row r="509" spans="1:1">
      <c r="A509" s="46">
        <v>41415</v>
      </c>
    </row>
    <row r="510" spans="1:1">
      <c r="A510" s="46">
        <v>41416</v>
      </c>
    </row>
    <row r="511" spans="1:1">
      <c r="A511" s="46">
        <v>41417</v>
      </c>
    </row>
    <row r="512" spans="1:1">
      <c r="A512" s="46">
        <v>41418</v>
      </c>
    </row>
    <row r="513" spans="1:1">
      <c r="A513" s="46">
        <v>41419</v>
      </c>
    </row>
    <row r="514" spans="1:1">
      <c r="A514" s="46">
        <v>41420</v>
      </c>
    </row>
    <row r="515" spans="1:1">
      <c r="A515" s="46">
        <v>41421</v>
      </c>
    </row>
    <row r="516" spans="1:1">
      <c r="A516" s="46">
        <v>41422</v>
      </c>
    </row>
    <row r="517" spans="1:1">
      <c r="A517" s="46">
        <v>41423</v>
      </c>
    </row>
    <row r="518" spans="1:1">
      <c r="A518" s="46">
        <v>41424</v>
      </c>
    </row>
    <row r="519" spans="1:1">
      <c r="A519" s="46">
        <v>41425</v>
      </c>
    </row>
    <row r="520" spans="1:1">
      <c r="A520" s="46">
        <v>41426</v>
      </c>
    </row>
    <row r="521" spans="1:1">
      <c r="A521" s="46">
        <v>41427</v>
      </c>
    </row>
    <row r="522" spans="1:1">
      <c r="A522" s="46">
        <v>41428</v>
      </c>
    </row>
    <row r="523" spans="1:1">
      <c r="A523" s="46">
        <v>41429</v>
      </c>
    </row>
    <row r="524" spans="1:1">
      <c r="A524" s="46">
        <v>41430</v>
      </c>
    </row>
    <row r="525" spans="1:1">
      <c r="A525" s="46">
        <v>41431</v>
      </c>
    </row>
    <row r="526" spans="1:1">
      <c r="A526" s="46">
        <v>41432</v>
      </c>
    </row>
    <row r="527" spans="1:1">
      <c r="A527" s="46">
        <v>41433</v>
      </c>
    </row>
    <row r="528" spans="1:1">
      <c r="A528" s="46">
        <v>41434</v>
      </c>
    </row>
    <row r="529" spans="1:1">
      <c r="A529" s="46">
        <v>41435</v>
      </c>
    </row>
    <row r="530" spans="1:1">
      <c r="A530" s="46">
        <v>41436</v>
      </c>
    </row>
    <row r="531" spans="1:1">
      <c r="A531" s="46">
        <v>41437</v>
      </c>
    </row>
    <row r="532" spans="1:1">
      <c r="A532" s="46">
        <v>41438</v>
      </c>
    </row>
    <row r="533" spans="1:1">
      <c r="A533" s="46">
        <v>41439</v>
      </c>
    </row>
    <row r="534" spans="1:1">
      <c r="A534" s="46">
        <v>41440</v>
      </c>
    </row>
    <row r="535" spans="1:1">
      <c r="A535" s="46">
        <v>41441</v>
      </c>
    </row>
    <row r="536" spans="1:1">
      <c r="A536" s="46">
        <v>41442</v>
      </c>
    </row>
    <row r="537" spans="1:1">
      <c r="A537" s="46">
        <v>41443</v>
      </c>
    </row>
    <row r="538" spans="1:1">
      <c r="A538" s="46">
        <v>41444</v>
      </c>
    </row>
    <row r="539" spans="1:1">
      <c r="A539" s="46">
        <v>41445</v>
      </c>
    </row>
    <row r="540" spans="1:1">
      <c r="A540" s="46">
        <v>41446</v>
      </c>
    </row>
    <row r="541" spans="1:1">
      <c r="A541" s="46">
        <v>41447</v>
      </c>
    </row>
    <row r="542" spans="1:1">
      <c r="A542" s="46">
        <v>41448</v>
      </c>
    </row>
    <row r="543" spans="1:1">
      <c r="A543" s="46">
        <v>41449</v>
      </c>
    </row>
    <row r="544" spans="1:1">
      <c r="A544" s="46">
        <v>41450</v>
      </c>
    </row>
    <row r="545" spans="1:1">
      <c r="A545" s="46">
        <v>41451</v>
      </c>
    </row>
    <row r="546" spans="1:1">
      <c r="A546" s="46">
        <v>41452</v>
      </c>
    </row>
    <row r="547" spans="1:1">
      <c r="A547" s="46">
        <v>41453</v>
      </c>
    </row>
    <row r="548" spans="1:1">
      <c r="A548" s="46">
        <v>41454</v>
      </c>
    </row>
    <row r="549" spans="1:1">
      <c r="A549" s="46">
        <v>41455</v>
      </c>
    </row>
    <row r="550" spans="1:1">
      <c r="A550" s="46">
        <v>41456</v>
      </c>
    </row>
    <row r="551" spans="1:1">
      <c r="A551" s="46">
        <v>41457</v>
      </c>
    </row>
    <row r="552" spans="1:1">
      <c r="A552" s="46">
        <v>41458</v>
      </c>
    </row>
    <row r="553" spans="1:1">
      <c r="A553" s="46">
        <v>41459</v>
      </c>
    </row>
    <row r="554" spans="1:1">
      <c r="A554" s="46">
        <v>41460</v>
      </c>
    </row>
    <row r="555" spans="1:1">
      <c r="A555" s="46">
        <v>41461</v>
      </c>
    </row>
    <row r="556" spans="1:1">
      <c r="A556" s="46">
        <v>41462</v>
      </c>
    </row>
    <row r="557" spans="1:1">
      <c r="A557" s="46">
        <v>41463</v>
      </c>
    </row>
    <row r="558" spans="1:1">
      <c r="A558" s="46">
        <v>41464</v>
      </c>
    </row>
    <row r="559" spans="1:1">
      <c r="A559" s="46">
        <v>41465</v>
      </c>
    </row>
    <row r="560" spans="1:1">
      <c r="A560" s="46">
        <v>41466</v>
      </c>
    </row>
    <row r="561" spans="1:1">
      <c r="A561" s="46">
        <v>41467</v>
      </c>
    </row>
    <row r="562" spans="1:1">
      <c r="A562" s="46">
        <v>41468</v>
      </c>
    </row>
    <row r="563" spans="1:1">
      <c r="A563" s="46">
        <v>41469</v>
      </c>
    </row>
    <row r="564" spans="1:1">
      <c r="A564" s="46">
        <v>41470</v>
      </c>
    </row>
    <row r="565" spans="1:1">
      <c r="A565" s="46">
        <v>41471</v>
      </c>
    </row>
    <row r="566" spans="1:1">
      <c r="A566" s="46">
        <v>41472</v>
      </c>
    </row>
    <row r="567" spans="1:1">
      <c r="A567" s="46">
        <v>41473</v>
      </c>
    </row>
    <row r="568" spans="1:1">
      <c r="A568" s="46">
        <v>41474</v>
      </c>
    </row>
    <row r="569" spans="1:1">
      <c r="A569" s="46">
        <v>41475</v>
      </c>
    </row>
    <row r="570" spans="1:1">
      <c r="A570" s="46">
        <v>41476</v>
      </c>
    </row>
    <row r="571" spans="1:1">
      <c r="A571" s="46">
        <v>41477</v>
      </c>
    </row>
    <row r="572" spans="1:1">
      <c r="A572" s="46">
        <v>41478</v>
      </c>
    </row>
    <row r="573" spans="1:1">
      <c r="A573" s="46">
        <v>41479</v>
      </c>
    </row>
    <row r="574" spans="1:1">
      <c r="A574" s="46">
        <v>41480</v>
      </c>
    </row>
    <row r="575" spans="1:1">
      <c r="A575" s="46">
        <v>41481</v>
      </c>
    </row>
    <row r="576" spans="1:1">
      <c r="A576" s="46">
        <v>41482</v>
      </c>
    </row>
    <row r="577" spans="1:1">
      <c r="A577" s="46">
        <v>41483</v>
      </c>
    </row>
    <row r="578" spans="1:1">
      <c r="A578" s="46">
        <v>41484</v>
      </c>
    </row>
    <row r="579" spans="1:1">
      <c r="A579" s="46">
        <v>41485</v>
      </c>
    </row>
    <row r="580" spans="1:1">
      <c r="A580" s="46">
        <v>41486</v>
      </c>
    </row>
    <row r="581" spans="1:1">
      <c r="A581" s="46">
        <v>41487</v>
      </c>
    </row>
    <row r="582" spans="1:1">
      <c r="A582" s="46">
        <v>41488</v>
      </c>
    </row>
    <row r="583" spans="1:1">
      <c r="A583" s="46">
        <v>41489</v>
      </c>
    </row>
    <row r="584" spans="1:1">
      <c r="A584" s="46">
        <v>41490</v>
      </c>
    </row>
    <row r="585" spans="1:1">
      <c r="A585" s="46">
        <v>41491</v>
      </c>
    </row>
    <row r="586" spans="1:1">
      <c r="A586" s="46">
        <v>41492</v>
      </c>
    </row>
    <row r="587" spans="1:1">
      <c r="A587" s="46">
        <v>41493</v>
      </c>
    </row>
    <row r="588" spans="1:1">
      <c r="A588" s="46">
        <v>41494</v>
      </c>
    </row>
    <row r="589" spans="1:1">
      <c r="A589" s="46">
        <v>41495</v>
      </c>
    </row>
    <row r="590" spans="1:1">
      <c r="A590" s="46">
        <v>41496</v>
      </c>
    </row>
    <row r="591" spans="1:1">
      <c r="A591" s="46">
        <v>41497</v>
      </c>
    </row>
    <row r="592" spans="1:1">
      <c r="A592" s="46">
        <v>41498</v>
      </c>
    </row>
    <row r="593" spans="1:1">
      <c r="A593" s="46">
        <v>41499</v>
      </c>
    </row>
    <row r="594" spans="1:1">
      <c r="A594" s="46">
        <v>41500</v>
      </c>
    </row>
    <row r="595" spans="1:1">
      <c r="A595" s="46">
        <v>41501</v>
      </c>
    </row>
    <row r="596" spans="1:1">
      <c r="A596" s="46">
        <v>41502</v>
      </c>
    </row>
    <row r="597" spans="1:1">
      <c r="A597" s="46">
        <v>41503</v>
      </c>
    </row>
    <row r="598" spans="1:1">
      <c r="A598" s="46">
        <v>41504</v>
      </c>
    </row>
    <row r="599" spans="1:1">
      <c r="A599" s="46">
        <v>41505</v>
      </c>
    </row>
    <row r="600" spans="1:1">
      <c r="A600" s="46">
        <v>41506</v>
      </c>
    </row>
    <row r="601" spans="1:1">
      <c r="A601" s="46">
        <v>41507</v>
      </c>
    </row>
    <row r="602" spans="1:1">
      <c r="A602" s="46">
        <v>41508</v>
      </c>
    </row>
    <row r="603" spans="1:1">
      <c r="A603" s="46">
        <v>41509</v>
      </c>
    </row>
    <row r="604" spans="1:1">
      <c r="A604" s="46">
        <v>41510</v>
      </c>
    </row>
    <row r="605" spans="1:1">
      <c r="A605" s="46">
        <v>41511</v>
      </c>
    </row>
    <row r="606" spans="1:1">
      <c r="A606" s="46">
        <v>41512</v>
      </c>
    </row>
    <row r="607" spans="1:1">
      <c r="A607" s="46">
        <v>41513</v>
      </c>
    </row>
    <row r="608" spans="1:1">
      <c r="A608" s="46">
        <v>41514</v>
      </c>
    </row>
    <row r="609" spans="1:1">
      <c r="A609" s="46">
        <v>41515</v>
      </c>
    </row>
    <row r="610" spans="1:1">
      <c r="A610" s="46">
        <v>41516</v>
      </c>
    </row>
    <row r="611" spans="1:1">
      <c r="A611" s="46">
        <v>41517</v>
      </c>
    </row>
    <row r="612" spans="1:1">
      <c r="A612" s="46">
        <v>41518</v>
      </c>
    </row>
    <row r="613" spans="1:1">
      <c r="A613" s="46">
        <v>41519</v>
      </c>
    </row>
    <row r="614" spans="1:1">
      <c r="A614" s="46">
        <v>41520</v>
      </c>
    </row>
    <row r="615" spans="1:1">
      <c r="A615" s="46">
        <v>41521</v>
      </c>
    </row>
    <row r="616" spans="1:1">
      <c r="A616" s="46">
        <v>41522</v>
      </c>
    </row>
    <row r="617" spans="1:1">
      <c r="A617" s="46">
        <v>41523</v>
      </c>
    </row>
    <row r="618" spans="1:1">
      <c r="A618" s="46">
        <v>41524</v>
      </c>
    </row>
    <row r="619" spans="1:1">
      <c r="A619" s="46">
        <v>41525</v>
      </c>
    </row>
    <row r="620" spans="1:1">
      <c r="A620" s="46">
        <v>41526</v>
      </c>
    </row>
    <row r="621" spans="1:1">
      <c r="A621" s="46">
        <v>41527</v>
      </c>
    </row>
    <row r="622" spans="1:1">
      <c r="A622" s="46">
        <v>41528</v>
      </c>
    </row>
    <row r="623" spans="1:1">
      <c r="A623" s="46">
        <v>41529</v>
      </c>
    </row>
    <row r="624" spans="1:1">
      <c r="A624" s="46">
        <v>41530</v>
      </c>
    </row>
    <row r="625" spans="1:1">
      <c r="A625" s="46">
        <v>41531</v>
      </c>
    </row>
    <row r="626" spans="1:1">
      <c r="A626" s="46">
        <v>41532</v>
      </c>
    </row>
    <row r="627" spans="1:1">
      <c r="A627" s="46">
        <v>41533</v>
      </c>
    </row>
    <row r="628" spans="1:1">
      <c r="A628" s="46">
        <v>41534</v>
      </c>
    </row>
    <row r="629" spans="1:1">
      <c r="A629" s="46">
        <v>41535</v>
      </c>
    </row>
    <row r="630" spans="1:1">
      <c r="A630" s="46">
        <v>41536</v>
      </c>
    </row>
    <row r="631" spans="1:1">
      <c r="A631" s="46">
        <v>41537</v>
      </c>
    </row>
    <row r="632" spans="1:1">
      <c r="A632" s="46">
        <v>41538</v>
      </c>
    </row>
    <row r="633" spans="1:1">
      <c r="A633" s="46">
        <v>41539</v>
      </c>
    </row>
    <row r="634" spans="1:1">
      <c r="A634" s="46">
        <v>41540</v>
      </c>
    </row>
    <row r="635" spans="1:1">
      <c r="A635" s="46">
        <v>41541</v>
      </c>
    </row>
    <row r="636" spans="1:1">
      <c r="A636" s="46">
        <v>41542</v>
      </c>
    </row>
    <row r="637" spans="1:1">
      <c r="A637" s="46">
        <v>41543</v>
      </c>
    </row>
    <row r="638" spans="1:1">
      <c r="A638" s="46">
        <v>41544</v>
      </c>
    </row>
    <row r="639" spans="1:1">
      <c r="A639" s="46">
        <v>41545</v>
      </c>
    </row>
    <row r="640" spans="1:1">
      <c r="A640" s="46">
        <v>41546</v>
      </c>
    </row>
    <row r="641" spans="1:1">
      <c r="A641" s="46">
        <v>41547</v>
      </c>
    </row>
    <row r="642" spans="1:1">
      <c r="A642" s="46">
        <v>41548</v>
      </c>
    </row>
    <row r="643" spans="1:1">
      <c r="A643" s="46">
        <v>41549</v>
      </c>
    </row>
    <row r="644" spans="1:1">
      <c r="A644" s="46">
        <v>41550</v>
      </c>
    </row>
    <row r="645" spans="1:1">
      <c r="A645" s="46">
        <v>41551</v>
      </c>
    </row>
    <row r="646" spans="1:1">
      <c r="A646" s="46">
        <v>41552</v>
      </c>
    </row>
    <row r="647" spans="1:1">
      <c r="A647" s="46">
        <v>41553</v>
      </c>
    </row>
    <row r="648" spans="1:1">
      <c r="A648" s="46">
        <v>41554</v>
      </c>
    </row>
    <row r="649" spans="1:1">
      <c r="A649" s="46">
        <v>41555</v>
      </c>
    </row>
    <row r="650" spans="1:1">
      <c r="A650" s="46">
        <v>41556</v>
      </c>
    </row>
    <row r="651" spans="1:1">
      <c r="A651" s="46">
        <v>41557</v>
      </c>
    </row>
    <row r="652" spans="1:1">
      <c r="A652" s="46">
        <v>41558</v>
      </c>
    </row>
    <row r="653" spans="1:1">
      <c r="A653" s="46">
        <v>41559</v>
      </c>
    </row>
    <row r="654" spans="1:1">
      <c r="A654" s="46">
        <v>41560</v>
      </c>
    </row>
    <row r="655" spans="1:1">
      <c r="A655" s="46">
        <v>41561</v>
      </c>
    </row>
    <row r="656" spans="1:1">
      <c r="A656" s="46">
        <v>41562</v>
      </c>
    </row>
    <row r="657" spans="1:1">
      <c r="A657" s="46">
        <v>41563</v>
      </c>
    </row>
    <row r="658" spans="1:1">
      <c r="A658" s="46">
        <v>41564</v>
      </c>
    </row>
    <row r="659" spans="1:1">
      <c r="A659" s="46">
        <v>41565</v>
      </c>
    </row>
    <row r="660" spans="1:1">
      <c r="A660" s="46">
        <v>41566</v>
      </c>
    </row>
    <row r="661" spans="1:1">
      <c r="A661" s="46">
        <v>41567</v>
      </c>
    </row>
    <row r="662" spans="1:1">
      <c r="A662" s="46">
        <v>41568</v>
      </c>
    </row>
    <row r="663" spans="1:1">
      <c r="A663" s="46">
        <v>41569</v>
      </c>
    </row>
    <row r="664" spans="1:1">
      <c r="A664" s="46">
        <v>41570</v>
      </c>
    </row>
    <row r="665" spans="1:1">
      <c r="A665" s="46">
        <v>41571</v>
      </c>
    </row>
    <row r="666" spans="1:1">
      <c r="A666" s="46">
        <v>41572</v>
      </c>
    </row>
    <row r="667" spans="1:1">
      <c r="A667" s="46">
        <v>41573</v>
      </c>
    </row>
    <row r="668" spans="1:1">
      <c r="A668" s="46">
        <v>41574</v>
      </c>
    </row>
    <row r="669" spans="1:1">
      <c r="A669" s="46">
        <v>41575</v>
      </c>
    </row>
    <row r="670" spans="1:1">
      <c r="A670" s="46">
        <v>41576</v>
      </c>
    </row>
    <row r="671" spans="1:1">
      <c r="A671" s="46">
        <v>41577</v>
      </c>
    </row>
    <row r="672" spans="1:1">
      <c r="A672" s="46">
        <v>41578</v>
      </c>
    </row>
    <row r="673" spans="1:1">
      <c r="A673" s="46">
        <v>41579</v>
      </c>
    </row>
    <row r="674" spans="1:1">
      <c r="A674" s="46">
        <v>41580</v>
      </c>
    </row>
    <row r="675" spans="1:1">
      <c r="A675" s="46">
        <v>41581</v>
      </c>
    </row>
    <row r="676" spans="1:1">
      <c r="A676" s="46">
        <v>41582</v>
      </c>
    </row>
    <row r="677" spans="1:1">
      <c r="A677" s="46">
        <v>41583</v>
      </c>
    </row>
    <row r="678" spans="1:1">
      <c r="A678" s="46">
        <v>41584</v>
      </c>
    </row>
    <row r="679" spans="1:1">
      <c r="A679" s="46">
        <v>41585</v>
      </c>
    </row>
    <row r="680" spans="1:1">
      <c r="A680" s="46">
        <v>41586</v>
      </c>
    </row>
    <row r="681" spans="1:1">
      <c r="A681" s="46">
        <v>41587</v>
      </c>
    </row>
    <row r="682" spans="1:1">
      <c r="A682" s="46">
        <v>41588</v>
      </c>
    </row>
    <row r="683" spans="1:1">
      <c r="A683" s="46">
        <v>41589</v>
      </c>
    </row>
    <row r="684" spans="1:1">
      <c r="A684" s="46">
        <v>41590</v>
      </c>
    </row>
    <row r="685" spans="1:1">
      <c r="A685" s="46">
        <v>41591</v>
      </c>
    </row>
    <row r="686" spans="1:1">
      <c r="A686" s="46">
        <v>41592</v>
      </c>
    </row>
    <row r="687" spans="1:1">
      <c r="A687" s="46">
        <v>41593</v>
      </c>
    </row>
    <row r="688" spans="1:1">
      <c r="A688" s="46">
        <v>41594</v>
      </c>
    </row>
    <row r="689" spans="1:1">
      <c r="A689" s="46">
        <v>41595</v>
      </c>
    </row>
    <row r="690" spans="1:1">
      <c r="A690" s="46">
        <v>41596</v>
      </c>
    </row>
    <row r="691" spans="1:1">
      <c r="A691" s="46">
        <v>41597</v>
      </c>
    </row>
    <row r="692" spans="1:1">
      <c r="A692" s="46">
        <v>41598</v>
      </c>
    </row>
    <row r="693" spans="1:1">
      <c r="A693" s="46">
        <v>41599</v>
      </c>
    </row>
    <row r="694" spans="1:1">
      <c r="A694" s="46">
        <v>41600</v>
      </c>
    </row>
    <row r="695" spans="1:1">
      <c r="A695" s="46">
        <v>41601</v>
      </c>
    </row>
    <row r="696" spans="1:1">
      <c r="A696" s="46">
        <v>41602</v>
      </c>
    </row>
    <row r="697" spans="1:1">
      <c r="A697" s="46">
        <v>41603</v>
      </c>
    </row>
    <row r="698" spans="1:1">
      <c r="A698" s="46">
        <v>41604</v>
      </c>
    </row>
    <row r="699" spans="1:1">
      <c r="A699" s="46">
        <v>41605</v>
      </c>
    </row>
    <row r="700" spans="1:1">
      <c r="A700" s="46">
        <v>41606</v>
      </c>
    </row>
    <row r="701" spans="1:1">
      <c r="A701" s="46">
        <v>41607</v>
      </c>
    </row>
    <row r="702" spans="1:1">
      <c r="A702" s="46">
        <v>41608</v>
      </c>
    </row>
    <row r="703" spans="1:1">
      <c r="A703" s="46">
        <v>41609</v>
      </c>
    </row>
    <row r="704" spans="1:1">
      <c r="A704" s="46">
        <v>41610</v>
      </c>
    </row>
    <row r="705" spans="1:1">
      <c r="A705" s="46">
        <v>41611</v>
      </c>
    </row>
    <row r="706" spans="1:1">
      <c r="A706" s="46">
        <v>41612</v>
      </c>
    </row>
    <row r="707" spans="1:1">
      <c r="A707" s="46">
        <v>41613</v>
      </c>
    </row>
    <row r="708" spans="1:1">
      <c r="A708" s="46">
        <v>41614</v>
      </c>
    </row>
    <row r="709" spans="1:1">
      <c r="A709" s="46">
        <v>41615</v>
      </c>
    </row>
    <row r="710" spans="1:1">
      <c r="A710" s="46">
        <v>41616</v>
      </c>
    </row>
    <row r="711" spans="1:1">
      <c r="A711" s="46">
        <v>41617</v>
      </c>
    </row>
    <row r="712" spans="1:1">
      <c r="A712" s="46">
        <v>41618</v>
      </c>
    </row>
    <row r="713" spans="1:1">
      <c r="A713" s="46">
        <v>41619</v>
      </c>
    </row>
    <row r="714" spans="1:1">
      <c r="A714" s="46">
        <v>41620</v>
      </c>
    </row>
    <row r="715" spans="1:1">
      <c r="A715" s="46">
        <v>41621</v>
      </c>
    </row>
    <row r="716" spans="1:1">
      <c r="A716" s="46">
        <v>41622</v>
      </c>
    </row>
    <row r="717" spans="1:1">
      <c r="A717" s="46">
        <v>41623</v>
      </c>
    </row>
    <row r="718" spans="1:1">
      <c r="A718" s="46">
        <v>41624</v>
      </c>
    </row>
    <row r="719" spans="1:1">
      <c r="A719" s="46">
        <v>41625</v>
      </c>
    </row>
    <row r="720" spans="1:1">
      <c r="A720" s="46">
        <v>41626</v>
      </c>
    </row>
    <row r="721" spans="1:1">
      <c r="A721" s="46">
        <v>41627</v>
      </c>
    </row>
    <row r="722" spans="1:1">
      <c r="A722" s="46">
        <v>41628</v>
      </c>
    </row>
    <row r="723" spans="1:1">
      <c r="A723" s="46">
        <v>41629</v>
      </c>
    </row>
    <row r="724" spans="1:1">
      <c r="A724" s="46">
        <v>41630</v>
      </c>
    </row>
    <row r="725" spans="1:1">
      <c r="A725" s="46">
        <v>41631</v>
      </c>
    </row>
    <row r="726" spans="1:1">
      <c r="A726" s="46">
        <v>41632</v>
      </c>
    </row>
    <row r="727" spans="1:1">
      <c r="A727" s="46">
        <v>41633</v>
      </c>
    </row>
    <row r="728" spans="1:1">
      <c r="A728" s="46">
        <v>41634</v>
      </c>
    </row>
    <row r="729" spans="1:1">
      <c r="A729" s="46">
        <v>41635</v>
      </c>
    </row>
    <row r="730" spans="1:1">
      <c r="A730" s="46">
        <v>41636</v>
      </c>
    </row>
    <row r="731" spans="1:1">
      <c r="A731" s="46">
        <v>41637</v>
      </c>
    </row>
    <row r="732" spans="1:1">
      <c r="A732" s="46">
        <v>41638</v>
      </c>
    </row>
    <row r="733" spans="1:1">
      <c r="A733" s="4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13" zoomScaleSheetLayoutView="70" workbookViewId="0">
      <selection activeCell="B1" sqref="B1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9" t="s">
        <v>271</v>
      </c>
      <c r="B1" s="263"/>
      <c r="C1" s="582" t="s">
        <v>110</v>
      </c>
      <c r="D1" s="582"/>
      <c r="E1" s="135"/>
    </row>
    <row r="2" spans="1:12" s="6" customFormat="1">
      <c r="A2" s="81" t="s">
        <v>140</v>
      </c>
      <c r="B2" s="263"/>
      <c r="C2" s="580" t="s">
        <v>2558</v>
      </c>
      <c r="D2" s="581"/>
      <c r="E2" s="135"/>
    </row>
    <row r="3" spans="1:12" s="6" customFormat="1">
      <c r="A3" s="81"/>
      <c r="B3" s="263"/>
      <c r="C3" s="80"/>
      <c r="D3" s="80"/>
      <c r="E3" s="135"/>
    </row>
    <row r="4" spans="1:12" s="2" customFormat="1">
      <c r="A4" s="82" t="str">
        <f>'ფორმა N2'!A4</f>
        <v>ანგარიშვალდებული პირის დასახელება:</v>
      </c>
      <c r="B4" s="264"/>
      <c r="C4" s="81"/>
      <c r="D4" s="81"/>
      <c r="E4" s="130"/>
      <c r="L4" s="6"/>
    </row>
    <row r="5" spans="1:12" s="2" customFormat="1">
      <c r="A5" s="244" t="s">
        <v>503</v>
      </c>
      <c r="B5" s="244"/>
      <c r="C5" s="244"/>
      <c r="D5" s="45"/>
      <c r="E5" s="130"/>
    </row>
    <row r="6" spans="1:12" s="2" customFormat="1">
      <c r="A6" s="82"/>
      <c r="B6" s="264"/>
      <c r="C6" s="81"/>
      <c r="D6" s="81"/>
      <c r="E6" s="130"/>
    </row>
    <row r="7" spans="1:12" s="6" customFormat="1" ht="18">
      <c r="A7" s="105"/>
      <c r="B7" s="134"/>
      <c r="C7" s="83"/>
      <c r="D7" s="83"/>
      <c r="E7" s="135"/>
    </row>
    <row r="8" spans="1:12" s="6" customFormat="1" ht="30">
      <c r="A8" s="126" t="s">
        <v>64</v>
      </c>
      <c r="B8" s="84" t="s">
        <v>250</v>
      </c>
      <c r="C8" s="84" t="s">
        <v>66</v>
      </c>
      <c r="D8" s="84" t="s">
        <v>67</v>
      </c>
      <c r="E8" s="135"/>
      <c r="F8" s="20"/>
    </row>
    <row r="9" spans="1:12" s="7" customFormat="1">
      <c r="A9" s="261">
        <v>1</v>
      </c>
      <c r="B9" s="261" t="s">
        <v>65</v>
      </c>
      <c r="C9" s="90">
        <f>SUM(C10,C25)</f>
        <v>0</v>
      </c>
      <c r="D9" s="90">
        <f>SUM(D10,D25)</f>
        <v>0</v>
      </c>
      <c r="E9" s="135"/>
    </row>
    <row r="10" spans="1:12" s="7" customFormat="1">
      <c r="A10" s="92">
        <v>1.1000000000000001</v>
      </c>
      <c r="B10" s="92" t="s">
        <v>80</v>
      </c>
      <c r="C10" s="90">
        <f>SUM(C11,C12,C15,C18,C24)</f>
        <v>0</v>
      </c>
      <c r="D10" s="90">
        <f>SUM(D11,D12,D15,D18,D23,D24)</f>
        <v>0</v>
      </c>
      <c r="E10" s="135"/>
    </row>
    <row r="11" spans="1:12" s="9" customFormat="1" ht="18">
      <c r="A11" s="93" t="s">
        <v>30</v>
      </c>
      <c r="B11" s="93" t="s">
        <v>79</v>
      </c>
      <c r="C11" s="8"/>
      <c r="D11" s="8"/>
      <c r="E11" s="135"/>
    </row>
    <row r="12" spans="1:12" s="10" customFormat="1">
      <c r="A12" s="93" t="s">
        <v>31</v>
      </c>
      <c r="B12" s="93" t="s">
        <v>310</v>
      </c>
      <c r="C12" s="127">
        <f>SUM(C13:C14)</f>
        <v>0</v>
      </c>
      <c r="D12" s="127">
        <f>SUM(D13:D14)</f>
        <v>0</v>
      </c>
      <c r="E12" s="135"/>
    </row>
    <row r="13" spans="1:12" s="3" customFormat="1">
      <c r="A13" s="102" t="s">
        <v>81</v>
      </c>
      <c r="B13" s="102" t="s">
        <v>313</v>
      </c>
      <c r="C13" s="8"/>
      <c r="D13" s="8"/>
      <c r="E13" s="135"/>
    </row>
    <row r="14" spans="1:12" s="3" customFormat="1">
      <c r="A14" s="102" t="s">
        <v>109</v>
      </c>
      <c r="B14" s="102" t="s">
        <v>97</v>
      </c>
      <c r="C14" s="8"/>
      <c r="D14" s="8"/>
      <c r="E14" s="135"/>
    </row>
    <row r="15" spans="1:12" s="3" customFormat="1">
      <c r="A15" s="93" t="s">
        <v>82</v>
      </c>
      <c r="B15" s="93" t="s">
        <v>83</v>
      </c>
      <c r="C15" s="127">
        <f>SUM(C16:C17)</f>
        <v>0</v>
      </c>
      <c r="D15" s="127">
        <f>SUM(D16:D17)</f>
        <v>0</v>
      </c>
      <c r="E15" s="135"/>
    </row>
    <row r="16" spans="1:12" s="3" customFormat="1">
      <c r="A16" s="102" t="s">
        <v>84</v>
      </c>
      <c r="B16" s="102" t="s">
        <v>86</v>
      </c>
      <c r="C16" s="8"/>
      <c r="D16" s="8"/>
      <c r="E16" s="135"/>
    </row>
    <row r="17" spans="1:5" s="3" customFormat="1" ht="30">
      <c r="A17" s="102" t="s">
        <v>85</v>
      </c>
      <c r="B17" s="102" t="s">
        <v>111</v>
      </c>
      <c r="C17" s="8"/>
      <c r="D17" s="8"/>
      <c r="E17" s="135"/>
    </row>
    <row r="18" spans="1:5" s="3" customFormat="1">
      <c r="A18" s="93" t="s">
        <v>87</v>
      </c>
      <c r="B18" s="93" t="s">
        <v>417</v>
      </c>
      <c r="C18" s="127">
        <f>SUM(C19:C22)</f>
        <v>0</v>
      </c>
      <c r="D18" s="127">
        <f>SUM(D19:D22)</f>
        <v>0</v>
      </c>
      <c r="E18" s="135"/>
    </row>
    <row r="19" spans="1:5" s="3" customFormat="1">
      <c r="A19" s="102" t="s">
        <v>88</v>
      </c>
      <c r="B19" s="102" t="s">
        <v>89</v>
      </c>
      <c r="C19" s="8"/>
      <c r="D19" s="8"/>
      <c r="E19" s="135"/>
    </row>
    <row r="20" spans="1:5" s="3" customFormat="1" ht="30">
      <c r="A20" s="102" t="s">
        <v>92</v>
      </c>
      <c r="B20" s="102" t="s">
        <v>90</v>
      </c>
      <c r="C20" s="8"/>
      <c r="D20" s="8"/>
      <c r="E20" s="135"/>
    </row>
    <row r="21" spans="1:5" s="3" customFormat="1">
      <c r="A21" s="102" t="s">
        <v>93</v>
      </c>
      <c r="B21" s="102" t="s">
        <v>91</v>
      </c>
      <c r="C21" s="8"/>
      <c r="D21" s="8"/>
      <c r="E21" s="135"/>
    </row>
    <row r="22" spans="1:5" s="3" customFormat="1">
      <c r="A22" s="102" t="s">
        <v>94</v>
      </c>
      <c r="B22" s="102" t="s">
        <v>442</v>
      </c>
      <c r="C22" s="8"/>
      <c r="D22" s="8"/>
      <c r="E22" s="135"/>
    </row>
    <row r="23" spans="1:5" s="3" customFormat="1">
      <c r="A23" s="93" t="s">
        <v>95</v>
      </c>
      <c r="B23" s="93" t="s">
        <v>443</v>
      </c>
      <c r="C23" s="286"/>
      <c r="D23" s="8"/>
      <c r="E23" s="135"/>
    </row>
    <row r="24" spans="1:5" s="3" customFormat="1">
      <c r="A24" s="93" t="s">
        <v>252</v>
      </c>
      <c r="B24" s="93" t="s">
        <v>449</v>
      </c>
      <c r="C24" s="8"/>
      <c r="D24" s="8"/>
      <c r="E24" s="135"/>
    </row>
    <row r="25" spans="1:5" s="3" customFormat="1">
      <c r="A25" s="92">
        <v>1.2</v>
      </c>
      <c r="B25" s="261" t="s">
        <v>96</v>
      </c>
      <c r="C25" s="90">
        <f>SUM(C26,C30)</f>
        <v>0</v>
      </c>
      <c r="D25" s="90">
        <f>SUM(D26,D30)</f>
        <v>0</v>
      </c>
      <c r="E25" s="135"/>
    </row>
    <row r="26" spans="1:5">
      <c r="A26" s="93" t="s">
        <v>32</v>
      </c>
      <c r="B26" s="93" t="s">
        <v>313</v>
      </c>
      <c r="C26" s="127">
        <f>SUM(C27:C29)</f>
        <v>0</v>
      </c>
      <c r="D26" s="127">
        <f>SUM(D27:D29)</f>
        <v>0</v>
      </c>
      <c r="E26" s="135"/>
    </row>
    <row r="27" spans="1:5">
      <c r="A27" s="262" t="s">
        <v>98</v>
      </c>
      <c r="B27" s="102" t="s">
        <v>311</v>
      </c>
      <c r="C27" s="8"/>
      <c r="D27" s="8"/>
      <c r="E27" s="135"/>
    </row>
    <row r="28" spans="1:5">
      <c r="A28" s="262" t="s">
        <v>99</v>
      </c>
      <c r="B28" s="102" t="s">
        <v>314</v>
      </c>
      <c r="C28" s="8"/>
      <c r="D28" s="8"/>
      <c r="E28" s="135"/>
    </row>
    <row r="29" spans="1:5">
      <c r="A29" s="262" t="s">
        <v>452</v>
      </c>
      <c r="B29" s="102" t="s">
        <v>312</v>
      </c>
      <c r="C29" s="8"/>
      <c r="D29" s="8"/>
      <c r="E29" s="135"/>
    </row>
    <row r="30" spans="1:5">
      <c r="A30" s="93" t="s">
        <v>33</v>
      </c>
      <c r="B30" s="285" t="s">
        <v>450</v>
      </c>
      <c r="C30" s="8"/>
      <c r="D30" s="8"/>
      <c r="E30" s="135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71" t="s">
        <v>107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446</v>
      </c>
      <c r="D39" s="12"/>
      <c r="E39"/>
      <c r="F39"/>
      <c r="G39"/>
      <c r="H39"/>
      <c r="I39"/>
    </row>
    <row r="40" spans="1:9" s="2" customFormat="1">
      <c r="A40"/>
      <c r="B40" s="266" t="s">
        <v>269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topLeftCell="A40" zoomScaleNormal="100" zoomScaleSheetLayoutView="70" workbookViewId="0">
      <selection activeCell="A54" sqref="A54:XFD54"/>
    </sheetView>
  </sheetViews>
  <sheetFormatPr defaultRowHeight="15"/>
  <cols>
    <col min="1" max="1" width="15.85546875" style="494" customWidth="1"/>
    <col min="2" max="2" width="76.7109375" style="494" customWidth="1"/>
    <col min="3" max="3" width="23.28515625" style="571" customWidth="1"/>
    <col min="4" max="4" width="21.28515625" style="571" customWidth="1"/>
    <col min="5" max="5" width="2" style="494" customWidth="1"/>
    <col min="6" max="16384" width="9.140625" style="494"/>
  </cols>
  <sheetData>
    <row r="1" spans="1:6" s="485" customFormat="1">
      <c r="A1" s="549" t="s">
        <v>407</v>
      </c>
      <c r="B1" s="313"/>
      <c r="C1" s="583" t="s">
        <v>110</v>
      </c>
      <c r="D1" s="583"/>
    </row>
    <row r="2" spans="1:6" s="485" customFormat="1">
      <c r="A2" s="549" t="s">
        <v>408</v>
      </c>
      <c r="B2" s="313"/>
      <c r="C2" s="580" t="s">
        <v>2558</v>
      </c>
      <c r="D2" s="581"/>
    </row>
    <row r="3" spans="1:6" s="485" customFormat="1">
      <c r="A3" s="549" t="s">
        <v>409</v>
      </c>
      <c r="B3" s="313"/>
      <c r="C3" s="298"/>
      <c r="D3" s="298"/>
    </row>
    <row r="4" spans="1:6" s="485" customFormat="1">
      <c r="A4" s="550" t="s">
        <v>140</v>
      </c>
      <c r="B4" s="313"/>
      <c r="C4" s="298"/>
      <c r="D4" s="298"/>
    </row>
    <row r="5" spans="1:6" s="485" customFormat="1">
      <c r="A5" s="550"/>
      <c r="B5" s="313"/>
      <c r="C5" s="298"/>
      <c r="D5" s="298"/>
    </row>
    <row r="6" spans="1:6">
      <c r="A6" s="551" t="str">
        <f>'[1]ფორმა N2'!A4</f>
        <v>ანგარიშვალდებული პირის დასახელება:</v>
      </c>
      <c r="B6" s="551"/>
      <c r="C6" s="552"/>
      <c r="D6" s="552"/>
      <c r="E6" s="491"/>
    </row>
    <row r="7" spans="1:6">
      <c r="A7" s="553" t="s">
        <v>503</v>
      </c>
      <c r="B7" s="553"/>
      <c r="C7" s="554"/>
      <c r="D7" s="552"/>
      <c r="E7" s="491"/>
    </row>
    <row r="8" spans="1:6">
      <c r="A8" s="551"/>
      <c r="B8" s="551"/>
      <c r="C8" s="552"/>
      <c r="D8" s="552"/>
      <c r="E8" s="491"/>
    </row>
    <row r="9" spans="1:6" s="485" customFormat="1">
      <c r="A9" s="313"/>
      <c r="B9" s="313"/>
      <c r="C9" s="313"/>
      <c r="D9" s="313"/>
    </row>
    <row r="10" spans="1:6" s="485" customFormat="1">
      <c r="A10" s="555" t="s">
        <v>64</v>
      </c>
      <c r="B10" s="556" t="s">
        <v>11</v>
      </c>
      <c r="C10" s="556" t="s">
        <v>10</v>
      </c>
      <c r="D10" s="556" t="s">
        <v>9</v>
      </c>
    </row>
    <row r="11" spans="1:6" s="558" customFormat="1">
      <c r="A11" s="261">
        <v>1</v>
      </c>
      <c r="B11" s="261" t="s">
        <v>57</v>
      </c>
      <c r="C11" s="557" t="e">
        <f>C12+C15+C54+C57+C58+C59</f>
        <v>#REF!</v>
      </c>
      <c r="D11" s="557" t="e">
        <f>D12+D15+D54+D57+D58+D59</f>
        <v>#REF!</v>
      </c>
      <c r="E11" s="504" t="e">
        <f>C11-D11</f>
        <v>#REF!</v>
      </c>
      <c r="F11" s="504"/>
    </row>
    <row r="12" spans="1:6" s="559" customFormat="1" ht="18">
      <c r="A12" s="92">
        <v>1.1000000000000001</v>
      </c>
      <c r="B12" s="92" t="s">
        <v>58</v>
      </c>
      <c r="C12" s="492">
        <f>SUM(C13:C14)</f>
        <v>21553.9</v>
      </c>
      <c r="D12" s="492">
        <f>SUM(D13:D14)</f>
        <v>21553.9</v>
      </c>
      <c r="E12" s="505"/>
    </row>
    <row r="13" spans="1:6" s="561" customFormat="1" ht="18">
      <c r="A13" s="93" t="s">
        <v>30</v>
      </c>
      <c r="B13" s="93" t="s">
        <v>59</v>
      </c>
      <c r="C13" s="492">
        <f>16342.9+4086</f>
        <v>20428.900000000001</v>
      </c>
      <c r="D13" s="492">
        <f>16342.9+4086</f>
        <v>20428.900000000001</v>
      </c>
      <c r="E13" s="505"/>
      <c r="F13" s="560"/>
    </row>
    <row r="14" spans="1:6" s="563" customFormat="1" ht="18">
      <c r="A14" s="93" t="s">
        <v>31</v>
      </c>
      <c r="B14" s="93" t="s">
        <v>0</v>
      </c>
      <c r="C14" s="493">
        <v>1125</v>
      </c>
      <c r="D14" s="493">
        <v>1125</v>
      </c>
      <c r="E14" s="505"/>
      <c r="F14" s="562"/>
    </row>
    <row r="15" spans="1:6" s="558" customFormat="1" ht="18">
      <c r="A15" s="92">
        <v>1.2</v>
      </c>
      <c r="B15" s="92" t="s">
        <v>60</v>
      </c>
      <c r="C15" s="556" t="e">
        <f>C16+C19+C31+C32+C33+C34+C37+C38+C44+C45+C46+C47+C48+C52+#REF!+C53</f>
        <v>#REF!</v>
      </c>
      <c r="D15" s="556" t="e">
        <f>D16+D19+D31+D32+D33+D34+D37+D38+D44+D45+D46+D47+D48+D52+#REF!+D53</f>
        <v>#REF!</v>
      </c>
      <c r="E15" s="505"/>
    </row>
    <row r="16" spans="1:6" s="563" customFormat="1" ht="18">
      <c r="A16" s="93" t="s">
        <v>32</v>
      </c>
      <c r="B16" s="93" t="s">
        <v>1</v>
      </c>
      <c r="C16" s="492">
        <f>SUM(C17:C18)</f>
        <v>0</v>
      </c>
      <c r="D16" s="492">
        <f>SUM(D17:D18)</f>
        <v>0</v>
      </c>
      <c r="E16" s="505"/>
    </row>
    <row r="17" spans="1:6" s="563" customFormat="1" ht="18">
      <c r="A17" s="102" t="s">
        <v>98</v>
      </c>
      <c r="B17" s="102" t="s">
        <v>61</v>
      </c>
      <c r="C17" s="297"/>
      <c r="D17" s="564"/>
      <c r="E17" s="505"/>
    </row>
    <row r="18" spans="1:6" s="563" customFormat="1" ht="18">
      <c r="A18" s="102" t="s">
        <v>99</v>
      </c>
      <c r="B18" s="102" t="s">
        <v>62</v>
      </c>
      <c r="C18" s="297"/>
      <c r="D18" s="564"/>
      <c r="E18" s="505"/>
    </row>
    <row r="19" spans="1:6" s="563" customFormat="1" ht="18">
      <c r="A19" s="93" t="s">
        <v>33</v>
      </c>
      <c r="B19" s="93" t="s">
        <v>2</v>
      </c>
      <c r="C19" s="492">
        <f>SUM(C20:C25,C30)</f>
        <v>106326.93</v>
      </c>
      <c r="D19" s="492">
        <f>SUM(D20:D25,D30)</f>
        <v>99537.229999999981</v>
      </c>
      <c r="E19" s="505"/>
      <c r="F19" s="562"/>
    </row>
    <row r="20" spans="1:6" s="565" customFormat="1" ht="30">
      <c r="A20" s="102" t="s">
        <v>12</v>
      </c>
      <c r="B20" s="102" t="s">
        <v>251</v>
      </c>
      <c r="C20" s="486">
        <f>46835.32+450</f>
        <v>47285.32</v>
      </c>
      <c r="D20" s="486">
        <v>46835.32</v>
      </c>
      <c r="E20" s="505"/>
    </row>
    <row r="21" spans="1:6" s="565" customFormat="1" ht="18">
      <c r="A21" s="102" t="s">
        <v>13</v>
      </c>
      <c r="B21" s="102" t="s">
        <v>14</v>
      </c>
      <c r="C21" s="486">
        <f>10467.3+6136.7</f>
        <v>16604</v>
      </c>
      <c r="D21" s="486">
        <v>10467.299999999999</v>
      </c>
      <c r="E21" s="505"/>
    </row>
    <row r="22" spans="1:6" s="565" customFormat="1" ht="30">
      <c r="A22" s="102" t="s">
        <v>283</v>
      </c>
      <c r="B22" s="102" t="s">
        <v>22</v>
      </c>
      <c r="C22" s="487">
        <v>1303</v>
      </c>
      <c r="D22" s="487">
        <v>1303</v>
      </c>
      <c r="E22" s="505"/>
    </row>
    <row r="23" spans="1:6" s="565" customFormat="1" ht="16.5" customHeight="1">
      <c r="A23" s="102" t="s">
        <v>284</v>
      </c>
      <c r="B23" s="102" t="s">
        <v>15</v>
      </c>
      <c r="C23" s="487">
        <f>20310.21+163</f>
        <v>20473.21</v>
      </c>
      <c r="D23" s="487">
        <v>20310.21</v>
      </c>
      <c r="E23" s="505"/>
    </row>
    <row r="24" spans="1:6" s="565" customFormat="1" ht="16.5" customHeight="1">
      <c r="A24" s="102" t="s">
        <v>285</v>
      </c>
      <c r="B24" s="102" t="s">
        <v>16</v>
      </c>
      <c r="C24" s="486"/>
      <c r="D24" s="487"/>
      <c r="E24" s="505"/>
    </row>
    <row r="25" spans="1:6" s="565" customFormat="1" ht="16.5" customHeight="1">
      <c r="A25" s="102" t="s">
        <v>286</v>
      </c>
      <c r="B25" s="102" t="s">
        <v>17</v>
      </c>
      <c r="C25" s="492">
        <f>SUM(C26:C29)</f>
        <v>11532.75</v>
      </c>
      <c r="D25" s="492">
        <f>SUM(D26:D29)</f>
        <v>11532.75</v>
      </c>
      <c r="E25" s="505"/>
    </row>
    <row r="26" spans="1:6" s="565" customFormat="1" ht="16.5" customHeight="1">
      <c r="A26" s="262" t="s">
        <v>287</v>
      </c>
      <c r="B26" s="262" t="s">
        <v>18</v>
      </c>
      <c r="C26" s="487">
        <v>5540.65</v>
      </c>
      <c r="D26" s="487">
        <v>5540.65</v>
      </c>
      <c r="E26" s="505"/>
    </row>
    <row r="27" spans="1:6" s="565" customFormat="1" ht="16.5" customHeight="1">
      <c r="A27" s="262" t="s">
        <v>288</v>
      </c>
      <c r="B27" s="262" t="s">
        <v>19</v>
      </c>
      <c r="C27" s="487">
        <v>2652.25</v>
      </c>
      <c r="D27" s="487">
        <v>2652.25</v>
      </c>
      <c r="E27" s="505"/>
    </row>
    <row r="28" spans="1:6" s="565" customFormat="1" ht="16.5" customHeight="1">
      <c r="A28" s="262" t="s">
        <v>289</v>
      </c>
      <c r="B28" s="262" t="s">
        <v>20</v>
      </c>
      <c r="C28" s="486">
        <v>3339.85</v>
      </c>
      <c r="D28" s="486">
        <v>3339.85</v>
      </c>
      <c r="E28" s="505"/>
    </row>
    <row r="29" spans="1:6" s="565" customFormat="1" ht="16.5" customHeight="1">
      <c r="A29" s="262" t="s">
        <v>290</v>
      </c>
      <c r="B29" s="262" t="s">
        <v>23</v>
      </c>
      <c r="C29" s="486"/>
      <c r="D29" s="488"/>
      <c r="E29" s="505"/>
    </row>
    <row r="30" spans="1:6" s="565" customFormat="1" ht="16.5" customHeight="1">
      <c r="A30" s="102" t="s">
        <v>291</v>
      </c>
      <c r="B30" s="102" t="s">
        <v>21</v>
      </c>
      <c r="C30" s="486">
        <f>9088.65+40</f>
        <v>9128.65</v>
      </c>
      <c r="D30" s="486">
        <v>9088.65</v>
      </c>
      <c r="E30" s="505"/>
    </row>
    <row r="31" spans="1:6" s="563" customFormat="1" ht="16.5" customHeight="1">
      <c r="A31" s="93" t="s">
        <v>34</v>
      </c>
      <c r="B31" s="93" t="s">
        <v>3</v>
      </c>
      <c r="C31" s="493">
        <v>4368.6899999999996</v>
      </c>
      <c r="D31" s="493">
        <v>4368.6899999999996</v>
      </c>
      <c r="E31" s="505"/>
    </row>
    <row r="32" spans="1:6" s="563" customFormat="1" ht="16.5" customHeight="1">
      <c r="A32" s="93" t="s">
        <v>35</v>
      </c>
      <c r="B32" s="93" t="s">
        <v>4</v>
      </c>
      <c r="C32" s="297"/>
      <c r="D32" s="564"/>
      <c r="E32" s="505"/>
    </row>
    <row r="33" spans="1:5" s="563" customFormat="1" ht="16.5" customHeight="1">
      <c r="A33" s="93" t="s">
        <v>36</v>
      </c>
      <c r="B33" s="93" t="s">
        <v>5</v>
      </c>
      <c r="C33" s="297"/>
      <c r="D33" s="564"/>
      <c r="E33" s="505"/>
    </row>
    <row r="34" spans="1:5" s="563" customFormat="1" ht="18">
      <c r="A34" s="93" t="s">
        <v>37</v>
      </c>
      <c r="B34" s="93" t="s">
        <v>63</v>
      </c>
      <c r="C34" s="492">
        <f>SUM(C35:C36)</f>
        <v>45</v>
      </c>
      <c r="D34" s="492">
        <f>SUM(D35:D36)</f>
        <v>0</v>
      </c>
      <c r="E34" s="505"/>
    </row>
    <row r="35" spans="1:5" s="563" customFormat="1" ht="16.5" customHeight="1">
      <c r="A35" s="102" t="s">
        <v>292</v>
      </c>
      <c r="B35" s="102" t="s">
        <v>56</v>
      </c>
      <c r="C35" s="297"/>
      <c r="D35" s="564"/>
      <c r="E35" s="505"/>
    </row>
    <row r="36" spans="1:5" s="563" customFormat="1" ht="16.5" customHeight="1">
      <c r="A36" s="102" t="s">
        <v>293</v>
      </c>
      <c r="B36" s="102" t="s">
        <v>55</v>
      </c>
      <c r="C36" s="493">
        <v>45</v>
      </c>
      <c r="D36" s="564"/>
      <c r="E36" s="505"/>
    </row>
    <row r="37" spans="1:5" s="563" customFormat="1" ht="16.5" customHeight="1">
      <c r="A37" s="93" t="s">
        <v>38</v>
      </c>
      <c r="B37" s="93" t="s">
        <v>49</v>
      </c>
      <c r="C37" s="487">
        <v>2147.41</v>
      </c>
      <c r="D37" s="487">
        <v>2147.41</v>
      </c>
      <c r="E37" s="505"/>
    </row>
    <row r="38" spans="1:5" s="563" customFormat="1" ht="16.5" customHeight="1">
      <c r="A38" s="93" t="s">
        <v>39</v>
      </c>
      <c r="B38" s="93" t="s">
        <v>410</v>
      </c>
      <c r="C38" s="492">
        <f>SUM(C39:C43)</f>
        <v>166079.21000000002</v>
      </c>
      <c r="D38" s="492">
        <f>SUM(D39:D43)</f>
        <v>143973.97</v>
      </c>
      <c r="E38" s="505"/>
    </row>
    <row r="39" spans="1:5" s="563" customFormat="1" ht="16.5" customHeight="1">
      <c r="A39" s="102" t="s">
        <v>357</v>
      </c>
      <c r="B39" s="102" t="s">
        <v>361</v>
      </c>
      <c r="C39" s="493">
        <f>110677+16241.91</f>
        <v>126918.91</v>
      </c>
      <c r="D39" s="493">
        <v>110677</v>
      </c>
      <c r="E39" s="505"/>
    </row>
    <row r="40" spans="1:5" s="563" customFormat="1" ht="16.5" customHeight="1">
      <c r="A40" s="102" t="s">
        <v>358</v>
      </c>
      <c r="B40" s="102" t="s">
        <v>362</v>
      </c>
      <c r="C40" s="493">
        <f>26211.96+5863.33</f>
        <v>32075.29</v>
      </c>
      <c r="D40" s="493">
        <v>26211.96</v>
      </c>
      <c r="E40" s="505"/>
    </row>
    <row r="41" spans="1:5" s="563" customFormat="1" ht="16.5" customHeight="1">
      <c r="A41" s="102" t="s">
        <v>359</v>
      </c>
      <c r="B41" s="102" t="s">
        <v>365</v>
      </c>
      <c r="C41" s="297"/>
      <c r="D41" s="564"/>
      <c r="E41" s="505"/>
    </row>
    <row r="42" spans="1:5" s="563" customFormat="1" ht="16.5" customHeight="1">
      <c r="A42" s="102" t="s">
        <v>364</v>
      </c>
      <c r="B42" s="102" t="s">
        <v>366</v>
      </c>
      <c r="C42" s="297"/>
      <c r="D42" s="564"/>
      <c r="E42" s="505"/>
    </row>
    <row r="43" spans="1:5" s="563" customFormat="1" ht="16.5" customHeight="1">
      <c r="A43" s="102" t="s">
        <v>367</v>
      </c>
      <c r="B43" s="102" t="s">
        <v>363</v>
      </c>
      <c r="C43" s="493">
        <v>7085.01</v>
      </c>
      <c r="D43" s="493">
        <v>7085.01</v>
      </c>
      <c r="E43" s="505"/>
    </row>
    <row r="44" spans="1:5" s="563" customFormat="1" ht="30">
      <c r="A44" s="93" t="s">
        <v>40</v>
      </c>
      <c r="B44" s="93" t="s">
        <v>28</v>
      </c>
      <c r="C44" s="564"/>
      <c r="D44" s="564"/>
      <c r="E44" s="505"/>
    </row>
    <row r="45" spans="1:5" s="563" customFormat="1" ht="16.5" customHeight="1">
      <c r="A45" s="93" t="s">
        <v>41</v>
      </c>
      <c r="B45" s="93" t="s">
        <v>24</v>
      </c>
      <c r="C45" s="487">
        <v>1238.8699999999999</v>
      </c>
      <c r="D45" s="487">
        <v>1238.8699999999999</v>
      </c>
      <c r="E45" s="505"/>
    </row>
    <row r="46" spans="1:5" s="563" customFormat="1" ht="16.5" customHeight="1">
      <c r="A46" s="93" t="s">
        <v>42</v>
      </c>
      <c r="B46" s="93" t="s">
        <v>3056</v>
      </c>
      <c r="C46" s="566">
        <v>1700</v>
      </c>
      <c r="D46" s="566">
        <v>1700</v>
      </c>
      <c r="E46" s="505"/>
    </row>
    <row r="47" spans="1:5" s="563" customFormat="1" ht="16.5" customHeight="1">
      <c r="A47" s="93" t="s">
        <v>43</v>
      </c>
      <c r="B47" s="93" t="s">
        <v>26</v>
      </c>
      <c r="C47" s="297"/>
      <c r="D47" s="564"/>
      <c r="E47" s="505"/>
    </row>
    <row r="48" spans="1:5" s="563" customFormat="1" ht="16.5" customHeight="1">
      <c r="A48" s="93" t="s">
        <v>44</v>
      </c>
      <c r="B48" s="93" t="s">
        <v>411</v>
      </c>
      <c r="C48" s="556">
        <f>SUM(C49:C51)</f>
        <v>642481.49</v>
      </c>
      <c r="D48" s="556">
        <f>SUM(D49:D51)</f>
        <v>418744.84999999992</v>
      </c>
      <c r="E48" s="505"/>
    </row>
    <row r="49" spans="1:7" s="563" customFormat="1" ht="16.5" customHeight="1">
      <c r="A49" s="102" t="s">
        <v>372</v>
      </c>
      <c r="B49" s="102" t="s">
        <v>375</v>
      </c>
      <c r="C49" s="487">
        <f>238698+333.33+25481+166936.56</f>
        <v>431448.88999999996</v>
      </c>
      <c r="D49" s="487">
        <f>238698+333.33+25481</f>
        <v>264512.32999999996</v>
      </c>
      <c r="E49" s="505"/>
      <c r="G49" s="562"/>
    </row>
    <row r="50" spans="1:7" s="563" customFormat="1" ht="16.5" customHeight="1">
      <c r="A50" s="102" t="s">
        <v>373</v>
      </c>
      <c r="B50" s="102" t="s">
        <v>374</v>
      </c>
      <c r="C50" s="487">
        <f>60520.82+4455.91+47091.58</f>
        <v>112068.31</v>
      </c>
      <c r="D50" s="487">
        <f>60520.82+4455.91</f>
        <v>64976.729999999996</v>
      </c>
      <c r="E50" s="505"/>
    </row>
    <row r="51" spans="1:7" s="563" customFormat="1" ht="16.5" customHeight="1">
      <c r="A51" s="102" t="s">
        <v>376</v>
      </c>
      <c r="B51" s="102" t="s">
        <v>495</v>
      </c>
      <c r="C51" s="487">
        <f>89255.79+9708.5</f>
        <v>98964.29</v>
      </c>
      <c r="D51" s="487">
        <v>89255.79</v>
      </c>
      <c r="E51" s="505"/>
    </row>
    <row r="52" spans="1:7" s="563" customFormat="1" ht="18">
      <c r="A52" s="93" t="s">
        <v>45</v>
      </c>
      <c r="B52" s="93" t="s">
        <v>29</v>
      </c>
      <c r="C52" s="297"/>
      <c r="D52" s="564"/>
      <c r="E52" s="505"/>
    </row>
    <row r="53" spans="1:7" s="563" customFormat="1" ht="16.5" customHeight="1">
      <c r="A53" s="93" t="s">
        <v>46</v>
      </c>
      <c r="B53" s="93" t="s">
        <v>6</v>
      </c>
      <c r="C53" s="493">
        <f>123650+30913+121637.5</f>
        <v>276200.5</v>
      </c>
      <c r="D53" s="493">
        <f>123650+30913</f>
        <v>154563</v>
      </c>
      <c r="E53" s="505"/>
      <c r="F53" s="562"/>
    </row>
    <row r="54" spans="1:7" s="563" customFormat="1" ht="30">
      <c r="A54" s="92">
        <v>1.3</v>
      </c>
      <c r="B54" s="92" t="s">
        <v>415</v>
      </c>
      <c r="C54" s="556">
        <f>SUM(C55:C56)</f>
        <v>72012.81</v>
      </c>
      <c r="D54" s="556">
        <f>SUM(D55:D56)</f>
        <v>32183.63</v>
      </c>
      <c r="E54" s="505"/>
      <c r="F54" s="562"/>
    </row>
    <row r="55" spans="1:7" s="563" customFormat="1" ht="30">
      <c r="A55" s="93" t="s">
        <v>50</v>
      </c>
      <c r="B55" s="93" t="s">
        <v>48</v>
      </c>
      <c r="C55" s="493">
        <f>15796.5+16387.13+39829.18</f>
        <v>72012.81</v>
      </c>
      <c r="D55" s="493">
        <f>15796.5+16387.13</f>
        <v>32183.63</v>
      </c>
      <c r="E55" s="505"/>
      <c r="F55" s="562"/>
    </row>
    <row r="56" spans="1:7" s="563" customFormat="1" ht="16.5" customHeight="1">
      <c r="A56" s="93" t="s">
        <v>51</v>
      </c>
      <c r="B56" s="93" t="s">
        <v>47</v>
      </c>
      <c r="C56" s="297"/>
      <c r="D56" s="564"/>
      <c r="E56" s="505"/>
      <c r="F56" s="562"/>
    </row>
    <row r="57" spans="1:7" s="563" customFormat="1" ht="18">
      <c r="A57" s="92">
        <v>1.4</v>
      </c>
      <c r="B57" s="92" t="s">
        <v>416</v>
      </c>
      <c r="C57" s="297"/>
      <c r="D57" s="564"/>
      <c r="E57" s="505"/>
      <c r="F57" s="562"/>
    </row>
    <row r="58" spans="1:7" s="565" customFormat="1" ht="18">
      <c r="A58" s="92">
        <v>1.5</v>
      </c>
      <c r="B58" s="92" t="s">
        <v>7</v>
      </c>
      <c r="C58" s="486"/>
      <c r="D58" s="487"/>
      <c r="E58" s="505"/>
    </row>
    <row r="59" spans="1:7" s="565" customFormat="1" ht="18">
      <c r="A59" s="92">
        <v>1.6</v>
      </c>
      <c r="B59" s="489" t="s">
        <v>8</v>
      </c>
      <c r="C59" s="567">
        <f>SUM(C60:C65)</f>
        <v>16904.18</v>
      </c>
      <c r="D59" s="568">
        <f>SUM(D60:D65)</f>
        <v>26904.18</v>
      </c>
      <c r="E59" s="505"/>
    </row>
    <row r="60" spans="1:7" s="565" customFormat="1" ht="18">
      <c r="A60" s="93" t="s">
        <v>299</v>
      </c>
      <c r="B60" s="490" t="s">
        <v>52</v>
      </c>
      <c r="C60" s="487">
        <v>6333.09</v>
      </c>
      <c r="D60" s="487">
        <v>6333.09</v>
      </c>
      <c r="E60" s="505"/>
    </row>
    <row r="61" spans="1:7" s="565" customFormat="1" ht="30">
      <c r="A61" s="93" t="s">
        <v>300</v>
      </c>
      <c r="B61" s="490" t="s">
        <v>54</v>
      </c>
      <c r="C61" s="486">
        <v>0</v>
      </c>
      <c r="D61" s="486">
        <v>0</v>
      </c>
      <c r="E61" s="505"/>
    </row>
    <row r="62" spans="1:7" s="565" customFormat="1" ht="18">
      <c r="A62" s="93" t="s">
        <v>301</v>
      </c>
      <c r="B62" s="490" t="s">
        <v>53</v>
      </c>
      <c r="C62" s="487"/>
      <c r="D62" s="487"/>
      <c r="E62" s="505"/>
    </row>
    <row r="63" spans="1:7" s="565" customFormat="1" ht="18">
      <c r="A63" s="93" t="s">
        <v>302</v>
      </c>
      <c r="B63" s="490" t="s">
        <v>27</v>
      </c>
      <c r="C63" s="487">
        <v>0</v>
      </c>
      <c r="D63" s="487">
        <v>10000</v>
      </c>
      <c r="E63" s="505"/>
    </row>
    <row r="64" spans="1:7" s="565" customFormat="1" ht="18">
      <c r="A64" s="93" t="s">
        <v>339</v>
      </c>
      <c r="B64" s="490" t="s">
        <v>340</v>
      </c>
      <c r="C64" s="486"/>
      <c r="D64" s="487"/>
      <c r="E64" s="505"/>
    </row>
    <row r="65" spans="1:5" s="565" customFormat="1" ht="18">
      <c r="A65" s="93" t="s">
        <v>3097</v>
      </c>
      <c r="B65" s="490" t="s">
        <v>3098</v>
      </c>
      <c r="C65" s="486">
        <f>9399.09+1172</f>
        <v>10571.09</v>
      </c>
      <c r="D65" s="486">
        <f>9399.09+1172</f>
        <v>10571.09</v>
      </c>
      <c r="E65" s="505"/>
    </row>
    <row r="66" spans="1:5" ht="18">
      <c r="A66" s="261">
        <v>2</v>
      </c>
      <c r="B66" s="261" t="s">
        <v>412</v>
      </c>
      <c r="C66" s="496">
        <v>0</v>
      </c>
      <c r="D66" s="497">
        <f>SUM(D67:D73)</f>
        <v>0</v>
      </c>
      <c r="E66" s="505"/>
    </row>
    <row r="67" spans="1:5" ht="18">
      <c r="A67" s="103">
        <v>2.1</v>
      </c>
      <c r="B67" s="495" t="s">
        <v>100</v>
      </c>
      <c r="C67" s="496"/>
      <c r="D67" s="569"/>
      <c r="E67" s="505"/>
    </row>
    <row r="68" spans="1:5" ht="18">
      <c r="A68" s="103">
        <v>2.2000000000000002</v>
      </c>
      <c r="B68" s="495" t="s">
        <v>413</v>
      </c>
      <c r="C68" s="496"/>
      <c r="D68" s="569"/>
      <c r="E68" s="505"/>
    </row>
    <row r="69" spans="1:5" ht="18">
      <c r="A69" s="103">
        <v>2.2999999999999998</v>
      </c>
      <c r="B69" s="495" t="s">
        <v>104</v>
      </c>
      <c r="C69" s="496"/>
      <c r="D69" s="569"/>
      <c r="E69" s="505"/>
    </row>
    <row r="70" spans="1:5" ht="18">
      <c r="A70" s="103">
        <v>2.4</v>
      </c>
      <c r="B70" s="495" t="s">
        <v>103</v>
      </c>
      <c r="C70" s="496"/>
      <c r="D70" s="569"/>
      <c r="E70" s="505"/>
    </row>
    <row r="71" spans="1:5" ht="18">
      <c r="A71" s="103">
        <v>2.5</v>
      </c>
      <c r="B71" s="495" t="s">
        <v>414</v>
      </c>
      <c r="C71" s="496"/>
      <c r="D71" s="569"/>
      <c r="E71" s="505"/>
    </row>
    <row r="72" spans="1:5" ht="18">
      <c r="A72" s="103">
        <v>2.6</v>
      </c>
      <c r="B72" s="495" t="s">
        <v>101</v>
      </c>
      <c r="C72" s="496"/>
      <c r="D72" s="569"/>
      <c r="E72" s="505"/>
    </row>
    <row r="73" spans="1:5" ht="18">
      <c r="A73" s="103">
        <v>2.7</v>
      </c>
      <c r="B73" s="495" t="s">
        <v>102</v>
      </c>
      <c r="C73" s="496"/>
      <c r="D73" s="569"/>
      <c r="E73" s="505"/>
    </row>
    <row r="74" spans="1:5" ht="18">
      <c r="A74" s="261">
        <v>3</v>
      </c>
      <c r="B74" s="261" t="s">
        <v>447</v>
      </c>
      <c r="C74" s="497"/>
      <c r="D74" s="569"/>
      <c r="E74" s="505"/>
    </row>
    <row r="75" spans="1:5" ht="18">
      <c r="A75" s="261">
        <v>4</v>
      </c>
      <c r="B75" s="261" t="s">
        <v>253</v>
      </c>
      <c r="C75" s="497"/>
      <c r="D75" s="497">
        <f>SUM(D76:D77)</f>
        <v>0</v>
      </c>
      <c r="E75" s="505"/>
    </row>
    <row r="76" spans="1:5" ht="18">
      <c r="A76" s="103">
        <v>4.0999999999999996</v>
      </c>
      <c r="B76" s="103" t="s">
        <v>254</v>
      </c>
      <c r="C76" s="496"/>
      <c r="D76" s="498"/>
      <c r="E76" s="505"/>
    </row>
    <row r="77" spans="1:5" ht="18">
      <c r="A77" s="103">
        <v>4.2</v>
      </c>
      <c r="B77" s="103" t="s">
        <v>255</v>
      </c>
      <c r="C77" s="496"/>
      <c r="D77" s="498"/>
      <c r="E77" s="505"/>
    </row>
    <row r="78" spans="1:5" ht="18">
      <c r="A78" s="261">
        <v>5</v>
      </c>
      <c r="B78" s="261" t="s">
        <v>281</v>
      </c>
      <c r="C78" s="496"/>
      <c r="D78" s="499"/>
      <c r="E78" s="505"/>
    </row>
    <row r="79" spans="1:5">
      <c r="B79" s="570"/>
    </row>
    <row r="80" spans="1:5">
      <c r="E80" s="491"/>
    </row>
    <row r="81" spans="1:9">
      <c r="B81" s="570"/>
    </row>
    <row r="82" spans="1:9" s="500" customFormat="1" ht="12.75">
      <c r="C82" s="572"/>
      <c r="D82" s="572"/>
    </row>
    <row r="83" spans="1:9">
      <c r="A83" s="573" t="s">
        <v>107</v>
      </c>
      <c r="E83" s="491"/>
    </row>
    <row r="84" spans="1:9">
      <c r="E84" s="501"/>
      <c r="F84" s="501"/>
      <c r="G84" s="501"/>
      <c r="H84" s="501"/>
      <c r="I84" s="501"/>
    </row>
    <row r="85" spans="1:9">
      <c r="D85" s="574"/>
      <c r="E85" s="501"/>
      <c r="F85" s="501"/>
      <c r="G85" s="501"/>
      <c r="H85" s="501"/>
      <c r="I85" s="501"/>
    </row>
    <row r="86" spans="1:9">
      <c r="A86" s="501"/>
      <c r="B86" s="573" t="s">
        <v>444</v>
      </c>
      <c r="D86" s="574"/>
      <c r="E86" s="501"/>
      <c r="F86" s="501"/>
      <c r="G86" s="501"/>
      <c r="H86" s="501"/>
      <c r="I86" s="501"/>
    </row>
    <row r="87" spans="1:9">
      <c r="A87" s="501"/>
      <c r="B87" s="494" t="s">
        <v>445</v>
      </c>
      <c r="D87" s="574"/>
      <c r="E87" s="501"/>
      <c r="F87" s="501"/>
      <c r="G87" s="501"/>
      <c r="H87" s="501"/>
      <c r="I87" s="501"/>
    </row>
    <row r="88" spans="1:9" s="501" customFormat="1" ht="12.75">
      <c r="B88" s="575" t="s">
        <v>139</v>
      </c>
      <c r="C88" s="576"/>
      <c r="D88" s="576"/>
    </row>
    <row r="89" spans="1:9" s="500" customFormat="1" ht="12.75">
      <c r="C89" s="572"/>
      <c r="D89" s="57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zoomScaleSheetLayoutView="70" workbookViewId="0">
      <selection activeCell="D11" sqref="D1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9" t="s">
        <v>329</v>
      </c>
      <c r="B1" s="82"/>
      <c r="C1" s="582" t="s">
        <v>110</v>
      </c>
      <c r="D1" s="582"/>
      <c r="E1" s="96"/>
    </row>
    <row r="2" spans="1:5" s="6" customFormat="1">
      <c r="A2" s="79" t="s">
        <v>330</v>
      </c>
      <c r="B2" s="82"/>
      <c r="C2" s="580" t="s">
        <v>2558</v>
      </c>
      <c r="D2" s="581"/>
      <c r="E2" s="96"/>
    </row>
    <row r="3" spans="1:5" s="6" customFormat="1">
      <c r="A3" s="81" t="s">
        <v>140</v>
      </c>
      <c r="B3" s="79"/>
      <c r="C3" s="187"/>
      <c r="D3" s="187"/>
      <c r="E3" s="96"/>
    </row>
    <row r="4" spans="1:5" s="6" customFormat="1">
      <c r="A4" s="81"/>
      <c r="B4" s="81"/>
      <c r="C4" s="187"/>
      <c r="D4" s="187"/>
      <c r="E4" s="96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1"/>
      <c r="D5" s="81"/>
      <c r="E5" s="97"/>
    </row>
    <row r="6" spans="1:5">
      <c r="A6" s="244" t="s">
        <v>503</v>
      </c>
      <c r="B6" s="244"/>
      <c r="C6" s="244"/>
      <c r="D6" s="86"/>
      <c r="E6" s="97"/>
    </row>
    <row r="7" spans="1:5">
      <c r="A7" s="82"/>
      <c r="B7" s="82"/>
      <c r="C7" s="81"/>
      <c r="D7" s="81"/>
      <c r="E7" s="97"/>
    </row>
    <row r="8" spans="1:5" s="6" customFormat="1">
      <c r="A8" s="186"/>
      <c r="B8" s="186"/>
      <c r="C8" s="83"/>
      <c r="D8" s="83"/>
      <c r="E8" s="96"/>
    </row>
    <row r="9" spans="1:5" s="6" customFormat="1" ht="30">
      <c r="A9" s="94" t="s">
        <v>64</v>
      </c>
      <c r="B9" s="94" t="s">
        <v>335</v>
      </c>
      <c r="C9" s="84" t="s">
        <v>10</v>
      </c>
      <c r="D9" s="84" t="s">
        <v>9</v>
      </c>
      <c r="E9" s="96"/>
    </row>
    <row r="10" spans="1:5" s="9" customFormat="1" ht="38.25">
      <c r="A10" s="103" t="s">
        <v>331</v>
      </c>
      <c r="B10" s="502" t="s">
        <v>3058</v>
      </c>
      <c r="C10" s="343"/>
      <c r="D10" s="4">
        <v>10000</v>
      </c>
      <c r="E10" s="98"/>
    </row>
    <row r="11" spans="1:5" s="10" customFormat="1">
      <c r="A11" s="103" t="s">
        <v>332</v>
      </c>
      <c r="B11" s="93" t="s">
        <v>3057</v>
      </c>
      <c r="C11" s="493">
        <f>123650+30913+121637.5</f>
        <v>276200.5</v>
      </c>
      <c r="D11" s="493">
        <f>123650+30913</f>
        <v>154563</v>
      </c>
      <c r="E11" s="99"/>
    </row>
    <row r="12" spans="1:5" s="10" customFormat="1">
      <c r="A12" s="103" t="s">
        <v>496</v>
      </c>
      <c r="B12" s="331"/>
      <c r="C12" s="343"/>
      <c r="D12" s="4"/>
      <c r="E12" s="99"/>
    </row>
    <row r="13" spans="1:5" s="10" customFormat="1">
      <c r="A13" s="103" t="s">
        <v>497</v>
      </c>
      <c r="B13" s="328"/>
      <c r="C13" s="343"/>
      <c r="D13" s="4"/>
      <c r="E13" s="99"/>
    </row>
    <row r="14" spans="1:5" s="10" customFormat="1">
      <c r="A14" s="103" t="s">
        <v>498</v>
      </c>
      <c r="B14" s="328"/>
      <c r="D14" s="4"/>
      <c r="E14" s="99"/>
    </row>
    <row r="15" spans="1:5" s="10" customFormat="1">
      <c r="A15" s="103" t="s">
        <v>499</v>
      </c>
      <c r="B15" s="40"/>
      <c r="C15" s="4"/>
      <c r="D15" s="4"/>
      <c r="E15" s="99"/>
    </row>
    <row r="16" spans="1:5" s="10" customFormat="1">
      <c r="A16" s="103" t="s">
        <v>500</v>
      </c>
      <c r="B16" s="92"/>
      <c r="C16" s="4"/>
      <c r="D16" s="4"/>
      <c r="E16" s="99"/>
    </row>
    <row r="17" spans="1:9" s="10" customFormat="1" ht="17.25" customHeight="1">
      <c r="A17" s="103" t="s">
        <v>501</v>
      </c>
      <c r="B17" s="92"/>
      <c r="C17" s="4"/>
      <c r="D17" s="4"/>
      <c r="E17" s="99"/>
    </row>
    <row r="18" spans="1:9" s="10" customFormat="1" ht="18" customHeight="1">
      <c r="A18" s="103" t="s">
        <v>502</v>
      </c>
      <c r="B18" s="92"/>
      <c r="C18" s="4"/>
      <c r="D18" s="4"/>
      <c r="E18" s="99"/>
    </row>
    <row r="19" spans="1:9">
      <c r="A19" s="104"/>
      <c r="B19" s="104" t="s">
        <v>338</v>
      </c>
      <c r="C19" s="91">
        <f>SUM(C10:C18)</f>
        <v>276200.5</v>
      </c>
      <c r="D19" s="91">
        <f>SUM(D10:D18)</f>
        <v>164563</v>
      </c>
      <c r="E19" s="101"/>
    </row>
    <row r="20" spans="1:9">
      <c r="A20" s="38"/>
      <c r="B20" s="38"/>
    </row>
    <row r="21" spans="1:9">
      <c r="A21" s="271" t="s">
        <v>436</v>
      </c>
      <c r="E21" s="5"/>
    </row>
    <row r="22" spans="1:9">
      <c r="A22" s="2" t="s">
        <v>437</v>
      </c>
    </row>
    <row r="23" spans="1:9">
      <c r="A23" s="237" t="s">
        <v>438</v>
      </c>
    </row>
    <row r="24" spans="1:9">
      <c r="A24" s="237"/>
    </row>
    <row r="25" spans="1:9">
      <c r="A25" s="237" t="s">
        <v>353</v>
      </c>
    </row>
    <row r="26" spans="1:9" s="22" customFormat="1" ht="12.75"/>
    <row r="27" spans="1:9">
      <c r="A27" s="71" t="s">
        <v>107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71"/>
      <c r="B30" s="71" t="s">
        <v>270</v>
      </c>
      <c r="D30" s="12"/>
      <c r="E30"/>
      <c r="F30"/>
      <c r="G30"/>
      <c r="H30"/>
      <c r="I30"/>
    </row>
    <row r="31" spans="1:9">
      <c r="B31" s="2" t="s">
        <v>269</v>
      </c>
      <c r="D31" s="12"/>
      <c r="E31"/>
      <c r="F31"/>
      <c r="G31"/>
      <c r="H31"/>
      <c r="I31"/>
    </row>
    <row r="32" spans="1:9" customFormat="1" ht="12.75">
      <c r="A32" s="66"/>
      <c r="B32" s="66" t="s">
        <v>139</v>
      </c>
    </row>
    <row r="33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40" zoomScaleNormal="100" zoomScaleSheetLayoutView="70" workbookViewId="0">
      <selection activeCell="E13" sqref="E13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79" t="s">
        <v>304</v>
      </c>
      <c r="B1" s="136"/>
      <c r="C1" s="582" t="s">
        <v>110</v>
      </c>
      <c r="D1" s="582"/>
      <c r="E1" s="166"/>
    </row>
    <row r="2" spans="1:12">
      <c r="A2" s="81" t="s">
        <v>140</v>
      </c>
      <c r="B2" s="136"/>
      <c r="C2" s="580" t="s">
        <v>2558</v>
      </c>
      <c r="D2" s="581"/>
      <c r="E2" s="166"/>
    </row>
    <row r="3" spans="1:12">
      <c r="A3" s="81"/>
      <c r="B3" s="136"/>
      <c r="C3" s="80"/>
      <c r="D3" s="80"/>
      <c r="E3" s="166"/>
    </row>
    <row r="4" spans="1:12" s="2" customFormat="1">
      <c r="A4" s="82" t="str">
        <f>'ფორმა N2'!A4</f>
        <v>ანგარიშვალდებული პირის დასახელება:</v>
      </c>
      <c r="B4" s="82"/>
      <c r="C4" s="81"/>
      <c r="D4" s="81"/>
      <c r="E4" s="130"/>
      <c r="L4" s="21"/>
    </row>
    <row r="5" spans="1:12" s="2" customFormat="1">
      <c r="A5" s="244" t="s">
        <v>503</v>
      </c>
      <c r="B5" s="244"/>
      <c r="C5" s="244"/>
      <c r="D5" s="45"/>
      <c r="E5" s="130"/>
    </row>
    <row r="6" spans="1:12" s="2" customFormat="1">
      <c r="A6" s="82"/>
      <c r="B6" s="82"/>
      <c r="C6" s="81"/>
      <c r="D6" s="81"/>
      <c r="E6" s="130"/>
    </row>
    <row r="7" spans="1:12" s="6" customFormat="1">
      <c r="A7" s="105"/>
      <c r="B7" s="105"/>
      <c r="C7" s="83"/>
      <c r="D7" s="83"/>
      <c r="E7" s="167"/>
    </row>
    <row r="8" spans="1:12" s="6" customFormat="1" ht="30">
      <c r="A8" s="126" t="s">
        <v>64</v>
      </c>
      <c r="B8" s="84" t="s">
        <v>11</v>
      </c>
      <c r="C8" s="84" t="s">
        <v>10</v>
      </c>
      <c r="D8" s="84" t="s">
        <v>9</v>
      </c>
      <c r="E8" s="167"/>
    </row>
    <row r="9" spans="1:12" s="9" customFormat="1" ht="18">
      <c r="A9" s="13">
        <v>1</v>
      </c>
      <c r="B9" s="13" t="s">
        <v>57</v>
      </c>
      <c r="C9" s="87">
        <f>SUM(C10,C13,C52,C55,C56,C57,C74,C75)</f>
        <v>611402.82000000007</v>
      </c>
      <c r="D9" s="87">
        <f>SUM(D10,D13,D52,D55,D56,D57,D63,D70,D71,D75)</f>
        <v>0</v>
      </c>
      <c r="E9" s="168"/>
    </row>
    <row r="10" spans="1:12" s="9" customFormat="1" ht="18">
      <c r="A10" s="14">
        <v>1.1000000000000001</v>
      </c>
      <c r="B10" s="14" t="s">
        <v>58</v>
      </c>
      <c r="C10" s="482">
        <f>SUM(C11:C12)</f>
        <v>1250</v>
      </c>
      <c r="D10" s="482">
        <f>SUM(D11:D12)</f>
        <v>0</v>
      </c>
      <c r="E10" s="168"/>
    </row>
    <row r="11" spans="1:12" s="9" customFormat="1" ht="16.5" customHeight="1">
      <c r="A11" s="16" t="s">
        <v>30</v>
      </c>
      <c r="B11" s="16" t="s">
        <v>59</v>
      </c>
      <c r="C11" s="29">
        <v>1250</v>
      </c>
      <c r="D11" s="28"/>
      <c r="E11" s="168"/>
    </row>
    <row r="12" spans="1:12" ht="16.5" customHeight="1">
      <c r="A12" s="16" t="s">
        <v>31</v>
      </c>
      <c r="B12" s="16" t="s">
        <v>0</v>
      </c>
      <c r="C12" s="27"/>
      <c r="D12" s="28"/>
      <c r="E12" s="166"/>
    </row>
    <row r="13" spans="1:12">
      <c r="A13" s="14">
        <v>1.2</v>
      </c>
      <c r="B13" s="14" t="s">
        <v>60</v>
      </c>
      <c r="C13" s="89">
        <f>SUM(C14,C17,C29:C32,C35,C36,C42,C43,C44,C45,C46,C50,C51)</f>
        <v>562279.32000000007</v>
      </c>
      <c r="D13" s="89">
        <f>SUM(D14,D17,D29:D32,D35,D36,D42,D43,D44,D45,D46,D50,D51)</f>
        <v>0</v>
      </c>
      <c r="E13" s="166"/>
    </row>
    <row r="14" spans="1:12">
      <c r="A14" s="16" t="s">
        <v>32</v>
      </c>
      <c r="B14" s="16" t="s">
        <v>1</v>
      </c>
      <c r="C14" s="480">
        <f>SUM(C15:C16)</f>
        <v>0</v>
      </c>
      <c r="D14" s="480">
        <f>SUM(D15:D16)</f>
        <v>0</v>
      </c>
      <c r="E14" s="166"/>
    </row>
    <row r="15" spans="1:12" ht="17.25" customHeight="1">
      <c r="A15" s="17" t="s">
        <v>98</v>
      </c>
      <c r="B15" s="17" t="s">
        <v>61</v>
      </c>
      <c r="C15" s="460"/>
      <c r="D15" s="460"/>
      <c r="E15" s="166"/>
    </row>
    <row r="16" spans="1:12" ht="17.25" customHeight="1">
      <c r="A16" s="17" t="s">
        <v>99</v>
      </c>
      <c r="B16" s="17" t="s">
        <v>62</v>
      </c>
      <c r="D16" s="30"/>
      <c r="E16" s="166"/>
    </row>
    <row r="17" spans="1:5">
      <c r="A17" s="16" t="s">
        <v>33</v>
      </c>
      <c r="B17" s="16" t="s">
        <v>2</v>
      </c>
      <c r="C17" s="89">
        <f>SUM(C18:C23,C28)</f>
        <v>50803.86</v>
      </c>
      <c r="D17" s="88">
        <f>SUM(D18:D23,D28)</f>
        <v>0</v>
      </c>
      <c r="E17" s="166"/>
    </row>
    <row r="18" spans="1:5" ht="30">
      <c r="A18" s="17" t="s">
        <v>12</v>
      </c>
      <c r="B18" s="17" t="s">
        <v>251</v>
      </c>
      <c r="C18" s="31">
        <v>2187</v>
      </c>
      <c r="D18" s="32"/>
      <c r="E18" s="166"/>
    </row>
    <row r="19" spans="1:5">
      <c r="A19" s="17" t="s">
        <v>13</v>
      </c>
      <c r="B19" s="17" t="s">
        <v>14</v>
      </c>
      <c r="C19" s="31">
        <v>6136.7</v>
      </c>
      <c r="D19" s="33"/>
      <c r="E19" s="166"/>
    </row>
    <row r="20" spans="1:5" ht="30">
      <c r="A20" s="17" t="s">
        <v>283</v>
      </c>
      <c r="B20" s="17" t="s">
        <v>22</v>
      </c>
      <c r="C20" s="31"/>
      <c r="D20" s="34"/>
      <c r="E20" s="166"/>
    </row>
    <row r="21" spans="1:5">
      <c r="A21" s="17" t="s">
        <v>284</v>
      </c>
      <c r="B21" s="17" t="s">
        <v>15</v>
      </c>
      <c r="C21" s="31">
        <v>15250.62</v>
      </c>
      <c r="D21" s="34"/>
      <c r="E21" s="166"/>
    </row>
    <row r="22" spans="1:5">
      <c r="A22" s="17" t="s">
        <v>285</v>
      </c>
      <c r="B22" s="17" t="s">
        <v>16</v>
      </c>
      <c r="C22" s="31"/>
      <c r="D22" s="34"/>
      <c r="E22" s="166"/>
    </row>
    <row r="23" spans="1:5">
      <c r="A23" s="17" t="s">
        <v>286</v>
      </c>
      <c r="B23" s="17" t="s">
        <v>17</v>
      </c>
      <c r="C23" s="477">
        <f>SUM(C24:C27)</f>
        <v>26737.739999999998</v>
      </c>
      <c r="D23" s="137">
        <f>SUM(D24:D27)</f>
        <v>0</v>
      </c>
      <c r="E23" s="166"/>
    </row>
    <row r="24" spans="1:5" ht="16.5" customHeight="1">
      <c r="A24" s="18" t="s">
        <v>287</v>
      </c>
      <c r="B24" s="18" t="s">
        <v>18</v>
      </c>
      <c r="C24" s="31">
        <v>26593.78</v>
      </c>
      <c r="D24" s="34"/>
      <c r="E24" s="166"/>
    </row>
    <row r="25" spans="1:5" ht="16.5" customHeight="1">
      <c r="A25" s="18" t="s">
        <v>288</v>
      </c>
      <c r="B25" s="18" t="s">
        <v>19</v>
      </c>
      <c r="C25" s="31"/>
      <c r="D25" s="34"/>
      <c r="E25" s="166"/>
    </row>
    <row r="26" spans="1:5" ht="16.5" customHeight="1">
      <c r="A26" s="18" t="s">
        <v>289</v>
      </c>
      <c r="B26" s="18" t="s">
        <v>20</v>
      </c>
      <c r="C26" s="31"/>
      <c r="D26" s="34"/>
      <c r="E26" s="166"/>
    </row>
    <row r="27" spans="1:5" ht="16.5" customHeight="1">
      <c r="A27" s="18" t="s">
        <v>290</v>
      </c>
      <c r="B27" s="18" t="s">
        <v>23</v>
      </c>
      <c r="C27" s="31">
        <v>143.96</v>
      </c>
      <c r="D27" s="35"/>
      <c r="E27" s="166"/>
    </row>
    <row r="28" spans="1:5">
      <c r="A28" s="17" t="s">
        <v>291</v>
      </c>
      <c r="B28" s="17" t="s">
        <v>21</v>
      </c>
      <c r="C28" s="31">
        <v>491.8</v>
      </c>
      <c r="D28" s="35"/>
      <c r="E28" s="166"/>
    </row>
    <row r="29" spans="1:5" ht="15.75">
      <c r="A29" s="16" t="s">
        <v>34</v>
      </c>
      <c r="B29" s="16" t="s">
        <v>3</v>
      </c>
      <c r="C29" s="460">
        <v>50</v>
      </c>
      <c r="D29" s="460"/>
      <c r="E29" s="166"/>
    </row>
    <row r="30" spans="1:5">
      <c r="A30" s="16" t="s">
        <v>35</v>
      </c>
      <c r="B30" s="16" t="s">
        <v>4</v>
      </c>
      <c r="C30" s="27"/>
      <c r="D30" s="28"/>
      <c r="E30" s="166"/>
    </row>
    <row r="31" spans="1:5">
      <c r="A31" s="16" t="s">
        <v>36</v>
      </c>
      <c r="B31" s="16" t="s">
        <v>5</v>
      </c>
      <c r="C31" s="27"/>
      <c r="D31" s="28"/>
      <c r="E31" s="166"/>
    </row>
    <row r="32" spans="1:5" ht="30">
      <c r="A32" s="16" t="s">
        <v>37</v>
      </c>
      <c r="B32" s="16" t="s">
        <v>63</v>
      </c>
      <c r="C32" s="88">
        <f>SUM(C33:C34)</f>
        <v>0</v>
      </c>
      <c r="D32" s="88">
        <f>SUM(D33:D34)</f>
        <v>0</v>
      </c>
      <c r="E32" s="166"/>
    </row>
    <row r="33" spans="1:5">
      <c r="A33" s="17" t="s">
        <v>292</v>
      </c>
      <c r="B33" s="17" t="s">
        <v>56</v>
      </c>
      <c r="C33" s="27"/>
      <c r="D33" s="28"/>
      <c r="E33" s="166"/>
    </row>
    <row r="34" spans="1:5">
      <c r="A34" s="17" t="s">
        <v>293</v>
      </c>
      <c r="B34" s="17" t="s">
        <v>55</v>
      </c>
      <c r="C34" s="27"/>
      <c r="D34" s="28"/>
      <c r="E34" s="166"/>
    </row>
    <row r="35" spans="1:5">
      <c r="A35" s="16" t="s">
        <v>38</v>
      </c>
      <c r="B35" s="16" t="s">
        <v>49</v>
      </c>
      <c r="C35" s="27">
        <v>214.37</v>
      </c>
      <c r="D35" s="28"/>
      <c r="E35" s="166"/>
    </row>
    <row r="36" spans="1:5">
      <c r="A36" s="16" t="s">
        <v>39</v>
      </c>
      <c r="B36" s="16" t="s">
        <v>360</v>
      </c>
      <c r="C36" s="89">
        <f>SUM(C37:C41)</f>
        <v>86801.26</v>
      </c>
      <c r="D36" s="88">
        <f>SUM(D37:D41)</f>
        <v>0</v>
      </c>
      <c r="E36" s="166"/>
    </row>
    <row r="37" spans="1:5">
      <c r="A37" s="17" t="s">
        <v>357</v>
      </c>
      <c r="B37" s="17" t="s">
        <v>361</v>
      </c>
      <c r="C37" s="29">
        <v>71864.86</v>
      </c>
      <c r="D37" s="27"/>
      <c r="E37" s="166"/>
    </row>
    <row r="38" spans="1:5">
      <c r="A38" s="17" t="s">
        <v>358</v>
      </c>
      <c r="B38" s="17" t="s">
        <v>362</v>
      </c>
      <c r="C38" s="29">
        <v>14936.4</v>
      </c>
      <c r="D38" s="27"/>
      <c r="E38" s="166"/>
    </row>
    <row r="39" spans="1:5">
      <c r="A39" s="17" t="s">
        <v>359</v>
      </c>
      <c r="B39" s="17" t="s">
        <v>365</v>
      </c>
      <c r="C39" s="27"/>
      <c r="D39" s="28"/>
      <c r="E39" s="166"/>
    </row>
    <row r="40" spans="1:5">
      <c r="A40" s="17" t="s">
        <v>364</v>
      </c>
      <c r="B40" s="17" t="s">
        <v>366</v>
      </c>
      <c r="C40" s="27"/>
      <c r="D40" s="28"/>
      <c r="E40" s="166"/>
    </row>
    <row r="41" spans="1:5">
      <c r="A41" s="17" t="s">
        <v>367</v>
      </c>
      <c r="B41" s="17" t="s">
        <v>363</v>
      </c>
      <c r="C41" s="27"/>
      <c r="D41" s="28"/>
      <c r="E41" s="166"/>
    </row>
    <row r="42" spans="1:5" ht="30">
      <c r="A42" s="16" t="s">
        <v>40</v>
      </c>
      <c r="B42" s="16" t="s">
        <v>28</v>
      </c>
      <c r="C42" s="27"/>
      <c r="D42" s="28"/>
      <c r="E42" s="166"/>
    </row>
    <row r="43" spans="1:5">
      <c r="A43" s="16" t="s">
        <v>41</v>
      </c>
      <c r="B43" s="16" t="s">
        <v>24</v>
      </c>
      <c r="C43" s="29">
        <v>500</v>
      </c>
      <c r="D43" s="28"/>
      <c r="E43" s="166"/>
    </row>
    <row r="44" spans="1:5">
      <c r="A44" s="16" t="s">
        <v>42</v>
      </c>
      <c r="B44" s="16" t="s">
        <v>25</v>
      </c>
      <c r="C44" s="27"/>
      <c r="D44" s="28"/>
      <c r="E44" s="166"/>
    </row>
    <row r="45" spans="1:5">
      <c r="A45" s="16" t="s">
        <v>43</v>
      </c>
      <c r="B45" s="16" t="s">
        <v>26</v>
      </c>
      <c r="C45" s="27"/>
      <c r="D45" s="28"/>
      <c r="E45" s="166"/>
    </row>
    <row r="46" spans="1:5">
      <c r="A46" s="16" t="s">
        <v>44</v>
      </c>
      <c r="B46" s="16" t="s">
        <v>298</v>
      </c>
      <c r="C46" s="89">
        <f>SUM(C47:C49)</f>
        <v>98942.83</v>
      </c>
      <c r="D46" s="88">
        <f>SUM(D47:D49)</f>
        <v>0</v>
      </c>
      <c r="E46" s="166"/>
    </row>
    <row r="47" spans="1:5">
      <c r="A47" s="102" t="s">
        <v>372</v>
      </c>
      <c r="B47" s="102" t="s">
        <v>375</v>
      </c>
      <c r="C47" s="27">
        <v>94942.83</v>
      </c>
      <c r="D47" s="28"/>
      <c r="E47" s="166"/>
    </row>
    <row r="48" spans="1:5">
      <c r="A48" s="102" t="s">
        <v>373</v>
      </c>
      <c r="B48" s="102" t="s">
        <v>374</v>
      </c>
      <c r="C48" s="27"/>
      <c r="D48" s="28"/>
      <c r="E48" s="166"/>
    </row>
    <row r="49" spans="1:5">
      <c r="A49" s="102" t="s">
        <v>376</v>
      </c>
      <c r="B49" s="102" t="s">
        <v>377</v>
      </c>
      <c r="C49" s="29">
        <v>4000</v>
      </c>
      <c r="D49" s="28"/>
      <c r="E49" s="166"/>
    </row>
    <row r="50" spans="1:5" ht="26.25" customHeight="1">
      <c r="A50" s="16" t="s">
        <v>45</v>
      </c>
      <c r="B50" s="16" t="s">
        <v>29</v>
      </c>
      <c r="C50" s="27"/>
      <c r="D50" s="28"/>
      <c r="E50" s="166"/>
    </row>
    <row r="51" spans="1:5">
      <c r="A51" s="16" t="s">
        <v>46</v>
      </c>
      <c r="B51" s="16" t="s">
        <v>6</v>
      </c>
      <c r="C51" s="27">
        <v>324967</v>
      </c>
      <c r="D51" s="28"/>
      <c r="E51" s="166"/>
    </row>
    <row r="52" spans="1:5" ht="30">
      <c r="A52" s="14">
        <v>1.3</v>
      </c>
      <c r="B52" s="92" t="s">
        <v>415</v>
      </c>
      <c r="C52" s="89">
        <f>SUM(C53:C54)</f>
        <v>47873.5</v>
      </c>
      <c r="D52" s="89">
        <f>SUM(D53:D54)</f>
        <v>0</v>
      </c>
      <c r="E52" s="166"/>
    </row>
    <row r="53" spans="1:5" ht="30">
      <c r="A53" s="16" t="s">
        <v>50</v>
      </c>
      <c r="B53" s="16" t="s">
        <v>48</v>
      </c>
      <c r="C53" s="29">
        <v>47873.5</v>
      </c>
      <c r="D53" s="28"/>
      <c r="E53" s="166"/>
    </row>
    <row r="54" spans="1:5">
      <c r="A54" s="16" t="s">
        <v>51</v>
      </c>
      <c r="B54" s="16" t="s">
        <v>47</v>
      </c>
      <c r="C54" s="27"/>
      <c r="D54" s="28"/>
      <c r="E54" s="166"/>
    </row>
    <row r="55" spans="1:5">
      <c r="A55" s="14">
        <v>1.4</v>
      </c>
      <c r="B55" s="14" t="s">
        <v>416</v>
      </c>
      <c r="C55" s="27"/>
      <c r="D55" s="28"/>
      <c r="E55" s="166"/>
    </row>
    <row r="56" spans="1:5">
      <c r="A56" s="14">
        <v>1.5</v>
      </c>
      <c r="B56" s="14" t="s">
        <v>7</v>
      </c>
      <c r="C56" s="31"/>
      <c r="D56" s="34"/>
      <c r="E56" s="166"/>
    </row>
    <row r="57" spans="1:5">
      <c r="A57" s="14">
        <v>1.6</v>
      </c>
      <c r="B57" s="39" t="s">
        <v>8</v>
      </c>
      <c r="C57" s="89">
        <f>SUM(C58:C62)</f>
        <v>0</v>
      </c>
      <c r="D57" s="89">
        <f>SUM(D58:D62)</f>
        <v>0</v>
      </c>
      <c r="E57" s="166"/>
    </row>
    <row r="58" spans="1:5">
      <c r="A58" s="16" t="s">
        <v>299</v>
      </c>
      <c r="B58" s="40" t="s">
        <v>52</v>
      </c>
      <c r="C58" s="31"/>
      <c r="D58" s="34"/>
      <c r="E58" s="166"/>
    </row>
    <row r="59" spans="1:5" ht="30">
      <c r="A59" s="16" t="s">
        <v>300</v>
      </c>
      <c r="B59" s="40" t="s">
        <v>54</v>
      </c>
      <c r="C59" s="31"/>
      <c r="D59" s="34"/>
      <c r="E59" s="166"/>
    </row>
    <row r="60" spans="1:5">
      <c r="A60" s="16" t="s">
        <v>301</v>
      </c>
      <c r="B60" s="40" t="s">
        <v>53</v>
      </c>
      <c r="C60" s="34"/>
      <c r="D60" s="34"/>
      <c r="E60" s="166"/>
    </row>
    <row r="61" spans="1:5">
      <c r="A61" s="16" t="s">
        <v>302</v>
      </c>
      <c r="B61" s="40" t="s">
        <v>27</v>
      </c>
      <c r="C61" s="31"/>
      <c r="D61" s="34"/>
      <c r="E61" s="166"/>
    </row>
    <row r="62" spans="1:5">
      <c r="A62" s="16" t="s">
        <v>339</v>
      </c>
      <c r="B62" s="238" t="s">
        <v>340</v>
      </c>
      <c r="C62" s="31"/>
      <c r="D62" s="239"/>
      <c r="E62" s="166"/>
    </row>
    <row r="63" spans="1:5">
      <c r="A63" s="13">
        <v>2</v>
      </c>
      <c r="B63" s="41" t="s">
        <v>106</v>
      </c>
      <c r="C63" s="290"/>
      <c r="D63" s="138">
        <f>SUM(D64:D69)</f>
        <v>0</v>
      </c>
      <c r="E63" s="166"/>
    </row>
    <row r="64" spans="1:5">
      <c r="A64" s="15">
        <v>2.1</v>
      </c>
      <c r="B64" s="42" t="s">
        <v>100</v>
      </c>
      <c r="C64" s="480"/>
      <c r="D64" s="36"/>
      <c r="E64" s="166"/>
    </row>
    <row r="65" spans="1:5">
      <c r="A65" s="15">
        <v>2.2000000000000002</v>
      </c>
      <c r="B65" s="42" t="s">
        <v>104</v>
      </c>
      <c r="C65" s="480"/>
      <c r="D65" s="37"/>
      <c r="E65" s="166"/>
    </row>
    <row r="66" spans="1:5">
      <c r="A66" s="15">
        <v>2.2999999999999998</v>
      </c>
      <c r="B66" s="42" t="s">
        <v>103</v>
      </c>
      <c r="C66" s="480"/>
      <c r="D66" s="37"/>
      <c r="E66" s="166"/>
    </row>
    <row r="67" spans="1:5">
      <c r="A67" s="15">
        <v>2.4</v>
      </c>
      <c r="B67" s="42" t="s">
        <v>105</v>
      </c>
      <c r="C67" s="480"/>
      <c r="D67" s="37"/>
      <c r="E67" s="166"/>
    </row>
    <row r="68" spans="1:5">
      <c r="A68" s="15">
        <v>2.5</v>
      </c>
      <c r="B68" s="42" t="s">
        <v>101</v>
      </c>
      <c r="C68" s="480"/>
      <c r="D68" s="37"/>
      <c r="E68" s="166"/>
    </row>
    <row r="69" spans="1:5">
      <c r="A69" s="15">
        <v>2.6</v>
      </c>
      <c r="B69" s="42" t="s">
        <v>102</v>
      </c>
      <c r="C69" s="480"/>
      <c r="D69" s="37"/>
      <c r="E69" s="166"/>
    </row>
    <row r="70" spans="1:5" s="2" customFormat="1">
      <c r="A70" s="13">
        <v>3</v>
      </c>
      <c r="B70" s="288" t="s">
        <v>447</v>
      </c>
      <c r="C70" s="481"/>
      <c r="D70" s="289"/>
      <c r="E70" s="125"/>
    </row>
    <row r="71" spans="1:5" s="2" customFormat="1">
      <c r="A71" s="13">
        <v>4</v>
      </c>
      <c r="B71" s="13" t="s">
        <v>253</v>
      </c>
      <c r="C71" s="291">
        <f>SUM(C72:C73)</f>
        <v>0</v>
      </c>
      <c r="D71" s="90">
        <f>SUM(D72:D73)</f>
        <v>0</v>
      </c>
      <c r="E71" s="125"/>
    </row>
    <row r="72" spans="1:5" s="2" customFormat="1">
      <c r="A72" s="15">
        <v>4.0999999999999996</v>
      </c>
      <c r="B72" s="15" t="s">
        <v>254</v>
      </c>
      <c r="C72" s="8"/>
      <c r="D72" s="8"/>
      <c r="E72" s="125"/>
    </row>
    <row r="73" spans="1:5" s="2" customFormat="1">
      <c r="A73" s="15">
        <v>4.2</v>
      </c>
      <c r="B73" s="15" t="s">
        <v>255</v>
      </c>
      <c r="C73" s="8"/>
      <c r="D73" s="8"/>
      <c r="E73" s="125"/>
    </row>
    <row r="74" spans="1:5" s="2" customFormat="1">
      <c r="A74" s="13">
        <v>5</v>
      </c>
      <c r="B74" s="287" t="s">
        <v>281</v>
      </c>
      <c r="C74" s="8"/>
      <c r="D74" s="481"/>
      <c r="E74" s="125"/>
    </row>
    <row r="75" spans="1:5" s="2" customFormat="1" ht="30">
      <c r="A75" s="13">
        <v>6</v>
      </c>
      <c r="B75" s="287" t="s">
        <v>458</v>
      </c>
      <c r="C75" s="89">
        <f>SUM(C76:C81)</f>
        <v>0</v>
      </c>
      <c r="D75" s="89">
        <f>SUM(D76:D81)</f>
        <v>0</v>
      </c>
      <c r="E75" s="125"/>
    </row>
    <row r="76" spans="1:5" s="2" customFormat="1">
      <c r="A76" s="15">
        <v>6.1</v>
      </c>
      <c r="B76" s="15" t="s">
        <v>68</v>
      </c>
      <c r="C76" s="8"/>
      <c r="D76" s="8"/>
      <c r="E76" s="125"/>
    </row>
    <row r="77" spans="1:5" s="2" customFormat="1">
      <c r="A77" s="15">
        <v>6.2</v>
      </c>
      <c r="B77" s="15" t="s">
        <v>74</v>
      </c>
      <c r="C77" s="8"/>
      <c r="D77" s="8"/>
      <c r="E77" s="125"/>
    </row>
    <row r="78" spans="1:5" s="2" customFormat="1">
      <c r="A78" s="15">
        <v>6.3</v>
      </c>
      <c r="B78" s="15" t="s">
        <v>69</v>
      </c>
      <c r="C78" s="8"/>
      <c r="D78" s="8"/>
      <c r="E78" s="125"/>
    </row>
    <row r="79" spans="1:5" s="2" customFormat="1">
      <c r="A79" s="15">
        <v>6.4</v>
      </c>
      <c r="B79" s="15" t="s">
        <v>459</v>
      </c>
      <c r="C79" s="8"/>
      <c r="D79" s="8"/>
      <c r="E79" s="125"/>
    </row>
    <row r="80" spans="1:5" s="2" customFormat="1">
      <c r="A80" s="15">
        <v>6.5</v>
      </c>
      <c r="B80" s="15" t="s">
        <v>460</v>
      </c>
      <c r="C80" s="8"/>
      <c r="D80" s="8"/>
      <c r="E80" s="125"/>
    </row>
    <row r="81" spans="1:9" s="2" customFormat="1">
      <c r="A81" s="15">
        <v>6.6</v>
      </c>
      <c r="B81" s="15" t="s">
        <v>8</v>
      </c>
      <c r="C81" s="8"/>
      <c r="D81" s="8"/>
      <c r="E81" s="125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71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1" t="s">
        <v>270</v>
      </c>
      <c r="D88" s="12"/>
      <c r="E88"/>
      <c r="F88"/>
      <c r="G88"/>
      <c r="H88"/>
      <c r="I88"/>
    </row>
    <row r="89" spans="1:9" s="2" customFormat="1">
      <c r="A89"/>
      <c r="B89" s="2" t="s">
        <v>269</v>
      </c>
      <c r="D89" s="12"/>
      <c r="E89"/>
      <c r="F89"/>
      <c r="G89"/>
      <c r="H89"/>
      <c r="I89"/>
    </row>
    <row r="90" spans="1:9" customFormat="1" ht="12.75">
      <c r="B90" s="66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9" t="s">
        <v>336</v>
      </c>
      <c r="B1" s="82"/>
      <c r="C1" s="582" t="s">
        <v>110</v>
      </c>
      <c r="D1" s="582"/>
      <c r="E1" s="96"/>
    </row>
    <row r="2" spans="1:5" s="6" customFormat="1">
      <c r="A2" s="79" t="s">
        <v>330</v>
      </c>
      <c r="B2" s="82"/>
      <c r="C2" s="580" t="s">
        <v>2558</v>
      </c>
      <c r="D2" s="581"/>
      <c r="E2" s="96"/>
    </row>
    <row r="3" spans="1:5" s="6" customFormat="1">
      <c r="A3" s="81" t="s">
        <v>140</v>
      </c>
      <c r="B3" s="79"/>
      <c r="C3" s="187"/>
      <c r="D3" s="187"/>
      <c r="E3" s="96"/>
    </row>
    <row r="4" spans="1:5" s="6" customFormat="1">
      <c r="A4" s="81"/>
      <c r="B4" s="81"/>
      <c r="C4" s="187"/>
      <c r="D4" s="187"/>
      <c r="E4" s="96"/>
    </row>
    <row r="5" spans="1:5">
      <c r="A5" s="82" t="str">
        <f>'ფორმა N2'!A4</f>
        <v>ანგარიშვალდებული პირის დასახელება:</v>
      </c>
      <c r="B5" s="82"/>
      <c r="C5" s="81"/>
      <c r="D5" s="81"/>
      <c r="E5" s="97"/>
    </row>
    <row r="6" spans="1:5">
      <c r="A6" s="244" t="s">
        <v>503</v>
      </c>
      <c r="B6" s="244"/>
      <c r="C6" s="244"/>
      <c r="D6" s="86"/>
      <c r="E6" s="97"/>
    </row>
    <row r="7" spans="1:5">
      <c r="A7" s="82"/>
      <c r="B7" s="82"/>
      <c r="C7" s="81"/>
      <c r="D7" s="81"/>
      <c r="E7" s="97"/>
    </row>
    <row r="8" spans="1:5" s="6" customFormat="1">
      <c r="A8" s="186"/>
      <c r="B8" s="186"/>
      <c r="C8" s="83"/>
      <c r="D8" s="83"/>
      <c r="E8" s="96"/>
    </row>
    <row r="9" spans="1:5" s="6" customFormat="1" ht="30">
      <c r="A9" s="94" t="s">
        <v>64</v>
      </c>
      <c r="B9" s="94" t="s">
        <v>335</v>
      </c>
      <c r="C9" s="84" t="s">
        <v>10</v>
      </c>
      <c r="D9" s="84" t="s">
        <v>9</v>
      </c>
      <c r="E9" s="96"/>
    </row>
    <row r="10" spans="1:5" s="9" customFormat="1" ht="18">
      <c r="A10" s="103" t="s">
        <v>331</v>
      </c>
      <c r="B10" s="103"/>
      <c r="C10" s="4"/>
      <c r="D10" s="4"/>
      <c r="E10" s="98"/>
    </row>
    <row r="11" spans="1:5" s="10" customFormat="1">
      <c r="A11" s="103" t="s">
        <v>332</v>
      </c>
      <c r="B11" s="103"/>
      <c r="C11" s="4"/>
      <c r="D11" s="4"/>
      <c r="E11" s="99"/>
    </row>
    <row r="12" spans="1:5" s="10" customFormat="1">
      <c r="A12" s="92" t="s">
        <v>280</v>
      </c>
      <c r="B12" s="92"/>
      <c r="C12" s="4"/>
      <c r="D12" s="4"/>
      <c r="E12" s="99"/>
    </row>
    <row r="13" spans="1:5" s="10" customFormat="1">
      <c r="A13" s="92" t="s">
        <v>280</v>
      </c>
      <c r="B13" s="92"/>
      <c r="C13" s="4"/>
      <c r="D13" s="4"/>
      <c r="E13" s="99"/>
    </row>
    <row r="14" spans="1:5" s="10" customFormat="1">
      <c r="A14" s="92" t="s">
        <v>280</v>
      </c>
      <c r="B14" s="92"/>
      <c r="C14" s="4"/>
      <c r="D14" s="4"/>
      <c r="E14" s="99"/>
    </row>
    <row r="15" spans="1:5" s="10" customFormat="1">
      <c r="A15" s="92" t="s">
        <v>280</v>
      </c>
      <c r="B15" s="92"/>
      <c r="C15" s="4"/>
      <c r="D15" s="4"/>
      <c r="E15" s="99"/>
    </row>
    <row r="16" spans="1:5" s="10" customFormat="1">
      <c r="A16" s="92" t="s">
        <v>280</v>
      </c>
      <c r="B16" s="92"/>
      <c r="C16" s="4"/>
      <c r="D16" s="4"/>
      <c r="E16" s="99"/>
    </row>
    <row r="17" spans="1:5" s="10" customFormat="1" ht="17.25" customHeight="1">
      <c r="A17" s="103" t="s">
        <v>333</v>
      </c>
      <c r="B17" s="92"/>
      <c r="C17" s="4"/>
      <c r="D17" s="4"/>
      <c r="E17" s="99"/>
    </row>
    <row r="18" spans="1:5" s="10" customFormat="1" ht="18" customHeight="1">
      <c r="A18" s="103" t="s">
        <v>334</v>
      </c>
      <c r="B18" s="92"/>
      <c r="C18" s="4"/>
      <c r="D18" s="4"/>
      <c r="E18" s="99"/>
    </row>
    <row r="19" spans="1:5" s="10" customFormat="1">
      <c r="A19" s="92" t="s">
        <v>280</v>
      </c>
      <c r="B19" s="92"/>
      <c r="C19" s="4"/>
      <c r="D19" s="4"/>
      <c r="E19" s="99"/>
    </row>
    <row r="20" spans="1:5" s="10" customFormat="1">
      <c r="A20" s="92" t="s">
        <v>280</v>
      </c>
      <c r="B20" s="92"/>
      <c r="C20" s="4"/>
      <c r="D20" s="4"/>
      <c r="E20" s="99"/>
    </row>
    <row r="21" spans="1:5" s="10" customFormat="1">
      <c r="A21" s="92" t="s">
        <v>280</v>
      </c>
      <c r="B21" s="92"/>
      <c r="C21" s="4"/>
      <c r="D21" s="4"/>
      <c r="E21" s="99"/>
    </row>
    <row r="22" spans="1:5" s="10" customFormat="1">
      <c r="A22" s="92" t="s">
        <v>280</v>
      </c>
      <c r="B22" s="92"/>
      <c r="C22" s="4"/>
      <c r="D22" s="4"/>
      <c r="E22" s="99"/>
    </row>
    <row r="23" spans="1:5" s="10" customFormat="1">
      <c r="A23" s="92" t="s">
        <v>280</v>
      </c>
      <c r="B23" s="92"/>
      <c r="C23" s="4"/>
      <c r="D23" s="4"/>
      <c r="E23" s="99"/>
    </row>
    <row r="24" spans="1:5" s="3" customFormat="1">
      <c r="A24" s="93"/>
      <c r="B24" s="93"/>
      <c r="C24" s="4"/>
      <c r="D24" s="4"/>
      <c r="E24" s="100"/>
    </row>
    <row r="25" spans="1:5">
      <c r="A25" s="104"/>
      <c r="B25" s="104" t="s">
        <v>337</v>
      </c>
      <c r="C25" s="91">
        <f>SUM(C10:C24)</f>
        <v>0</v>
      </c>
      <c r="D25" s="91">
        <f>SUM(D10:D24)</f>
        <v>0</v>
      </c>
      <c r="E25" s="101"/>
    </row>
    <row r="26" spans="1:5">
      <c r="A26" s="38"/>
      <c r="B26" s="38"/>
    </row>
    <row r="27" spans="1:5">
      <c r="A27" s="2" t="s">
        <v>433</v>
      </c>
      <c r="E27" s="5"/>
    </row>
    <row r="28" spans="1:5">
      <c r="A28" s="2" t="s">
        <v>418</v>
      </c>
    </row>
    <row r="29" spans="1:5">
      <c r="A29" s="237" t="s">
        <v>419</v>
      </c>
    </row>
    <row r="30" spans="1:5">
      <c r="A30" s="237"/>
    </row>
    <row r="31" spans="1:5">
      <c r="A31" s="237" t="s">
        <v>354</v>
      </c>
    </row>
    <row r="32" spans="1:5" s="22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9" sqref="I9"/>
    </sheetView>
  </sheetViews>
  <sheetFormatPr defaultRowHeight="12.75"/>
  <cols>
    <col min="1" max="1" width="5.42578125" style="207" customWidth="1"/>
    <col min="2" max="2" width="16.85546875" style="207" customWidth="1"/>
    <col min="3" max="3" width="21.7109375" style="207" customWidth="1"/>
    <col min="4" max="4" width="17" style="207" customWidth="1"/>
    <col min="5" max="5" width="18.140625" style="207" customWidth="1"/>
    <col min="6" max="6" width="14.7109375" style="207" customWidth="1"/>
    <col min="7" max="7" width="15.5703125" style="207" customWidth="1"/>
    <col min="8" max="8" width="14.7109375" style="207" customWidth="1"/>
    <col min="9" max="9" width="29.7109375" style="207" customWidth="1"/>
    <col min="10" max="10" width="0" style="207" hidden="1" customWidth="1"/>
    <col min="11" max="16384" width="9.140625" style="207"/>
  </cols>
  <sheetData>
    <row r="1" spans="1:10" ht="15">
      <c r="A1" s="79" t="s">
        <v>2554</v>
      </c>
      <c r="B1" s="79"/>
      <c r="C1" s="82"/>
      <c r="D1" s="82"/>
      <c r="E1" s="82"/>
      <c r="F1" s="82"/>
      <c r="G1" s="249"/>
      <c r="H1" s="249"/>
      <c r="I1" s="582" t="s">
        <v>110</v>
      </c>
      <c r="J1" s="582"/>
    </row>
    <row r="2" spans="1:10" ht="15">
      <c r="A2" s="81" t="s">
        <v>140</v>
      </c>
      <c r="B2" s="79"/>
      <c r="C2" s="82"/>
      <c r="D2" s="82"/>
      <c r="E2" s="82"/>
      <c r="F2" s="82"/>
      <c r="G2" s="249"/>
      <c r="H2" s="249"/>
      <c r="I2" s="580" t="s">
        <v>2558</v>
      </c>
      <c r="J2" s="581"/>
    </row>
    <row r="3" spans="1:10" ht="15">
      <c r="A3" s="81"/>
      <c r="B3" s="81"/>
      <c r="C3" s="79"/>
      <c r="D3" s="79"/>
      <c r="E3" s="79"/>
      <c r="F3" s="79"/>
      <c r="G3" s="189"/>
      <c r="H3" s="189"/>
      <c r="I3" s="249"/>
    </row>
    <row r="4" spans="1:10" ht="15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1"/>
      <c r="H4" s="81"/>
      <c r="I4" s="81"/>
    </row>
    <row r="5" spans="1:10" ht="15">
      <c r="A5" s="244" t="s">
        <v>503</v>
      </c>
      <c r="B5" s="244"/>
      <c r="C5" s="244"/>
      <c r="D5" s="85"/>
      <c r="E5" s="85"/>
      <c r="F5" s="85"/>
      <c r="G5" s="86"/>
      <c r="H5" s="86"/>
      <c r="I5" s="86"/>
    </row>
    <row r="6" spans="1:10" ht="15">
      <c r="A6" s="82"/>
      <c r="B6" s="82"/>
      <c r="C6" s="82"/>
      <c r="D6" s="82"/>
      <c r="E6" s="82"/>
      <c r="F6" s="82"/>
      <c r="G6" s="81"/>
      <c r="H6" s="81"/>
      <c r="I6" s="81"/>
    </row>
    <row r="7" spans="1:10" ht="15">
      <c r="A7" s="188"/>
      <c r="B7" s="188"/>
      <c r="C7" s="188"/>
      <c r="D7" s="243"/>
      <c r="E7" s="188"/>
      <c r="F7" s="188"/>
      <c r="G7" s="83"/>
      <c r="H7" s="83"/>
      <c r="I7" s="83"/>
    </row>
    <row r="8" spans="1:10" ht="45">
      <c r="A8" s="95" t="s">
        <v>64</v>
      </c>
      <c r="B8" s="95" t="s">
        <v>342</v>
      </c>
      <c r="C8" s="95" t="s">
        <v>343</v>
      </c>
      <c r="D8" s="95" t="s">
        <v>228</v>
      </c>
      <c r="E8" s="95" t="s">
        <v>347</v>
      </c>
      <c r="F8" s="95" t="s">
        <v>351</v>
      </c>
      <c r="G8" s="84" t="s">
        <v>10</v>
      </c>
      <c r="H8" s="84" t="s">
        <v>9</v>
      </c>
      <c r="I8" s="84" t="s">
        <v>397</v>
      </c>
      <c r="J8" s="252" t="s">
        <v>350</v>
      </c>
    </row>
    <row r="9" spans="1:10" ht="15">
      <c r="A9" s="103">
        <v>1</v>
      </c>
      <c r="B9" s="295" t="s">
        <v>2311</v>
      </c>
      <c r="C9" s="295" t="s">
        <v>2479</v>
      </c>
      <c r="D9" s="475" t="s">
        <v>3054</v>
      </c>
      <c r="E9" s="483" t="s">
        <v>3055</v>
      </c>
      <c r="F9" s="476" t="s">
        <v>350</v>
      </c>
      <c r="G9" s="297">
        <v>1250</v>
      </c>
      <c r="H9" s="297">
        <v>1250</v>
      </c>
      <c r="I9" s="297">
        <v>250</v>
      </c>
      <c r="J9" s="252" t="s">
        <v>0</v>
      </c>
    </row>
    <row r="10" spans="1:10" ht="15">
      <c r="A10" s="103">
        <v>2</v>
      </c>
      <c r="B10" s="295"/>
      <c r="C10" s="295"/>
      <c r="D10" s="296"/>
      <c r="E10" s="103"/>
      <c r="F10" s="103"/>
      <c r="G10" s="297"/>
      <c r="H10" s="297"/>
      <c r="I10" s="297"/>
    </row>
    <row r="11" spans="1:10" ht="15">
      <c r="A11" s="103">
        <v>3</v>
      </c>
      <c r="B11" s="92"/>
      <c r="C11" s="92"/>
      <c r="D11" s="92"/>
      <c r="E11" s="92"/>
      <c r="F11" s="103"/>
      <c r="G11" s="4"/>
      <c r="H11" s="4"/>
      <c r="I11" s="4"/>
    </row>
    <row r="12" spans="1:10" ht="15">
      <c r="A12" s="103">
        <v>4</v>
      </c>
      <c r="B12" s="92"/>
      <c r="C12" s="92"/>
      <c r="D12" s="92"/>
      <c r="E12" s="92"/>
      <c r="F12" s="103"/>
      <c r="G12" s="4"/>
      <c r="H12" s="4"/>
      <c r="I12" s="4"/>
    </row>
    <row r="13" spans="1:10" ht="15">
      <c r="A13" s="103">
        <v>5</v>
      </c>
      <c r="B13" s="92"/>
      <c r="C13" s="92"/>
      <c r="D13" s="92"/>
      <c r="E13" s="92"/>
      <c r="F13" s="103"/>
      <c r="G13" s="4"/>
      <c r="H13" s="4"/>
      <c r="I13" s="4"/>
    </row>
    <row r="14" spans="1:10" ht="15">
      <c r="A14" s="103">
        <v>6</v>
      </c>
      <c r="B14" s="92"/>
      <c r="C14" s="92"/>
      <c r="D14" s="92"/>
      <c r="E14" s="92"/>
      <c r="F14" s="103"/>
      <c r="G14" s="4"/>
      <c r="H14" s="4"/>
      <c r="I14" s="4"/>
    </row>
    <row r="15" spans="1:10" ht="15">
      <c r="A15" s="103">
        <v>7</v>
      </c>
      <c r="B15" s="92"/>
      <c r="C15" s="92"/>
      <c r="D15" s="92"/>
      <c r="E15" s="92"/>
      <c r="F15" s="103"/>
      <c r="G15" s="4"/>
      <c r="H15" s="4"/>
      <c r="I15" s="4"/>
    </row>
    <row r="16" spans="1:10" ht="15">
      <c r="A16" s="103">
        <v>8</v>
      </c>
      <c r="B16" s="92"/>
      <c r="C16" s="92"/>
      <c r="D16" s="92"/>
      <c r="E16" s="92"/>
      <c r="F16" s="103"/>
      <c r="G16" s="4"/>
      <c r="H16" s="4"/>
      <c r="I16" s="4"/>
    </row>
    <row r="17" spans="1:9" ht="15">
      <c r="A17" s="103">
        <v>9</v>
      </c>
      <c r="B17" s="92"/>
      <c r="C17" s="92"/>
      <c r="D17" s="92"/>
      <c r="E17" s="92"/>
      <c r="F17" s="103"/>
      <c r="G17" s="4"/>
      <c r="H17" s="4"/>
      <c r="I17" s="4"/>
    </row>
    <row r="18" spans="1:9" ht="15">
      <c r="A18" s="103">
        <v>10</v>
      </c>
      <c r="B18" s="92"/>
      <c r="C18" s="92"/>
      <c r="D18" s="92"/>
      <c r="E18" s="92"/>
      <c r="F18" s="103"/>
      <c r="G18" s="4"/>
      <c r="H18" s="4"/>
      <c r="I18" s="4"/>
    </row>
    <row r="19" spans="1:9" ht="15">
      <c r="A19" s="103">
        <v>11</v>
      </c>
      <c r="B19" s="92"/>
      <c r="C19" s="92"/>
      <c r="D19" s="92"/>
      <c r="E19" s="92"/>
      <c r="F19" s="103"/>
      <c r="G19" s="4"/>
      <c r="H19" s="4"/>
      <c r="I19" s="4"/>
    </row>
    <row r="20" spans="1:9" ht="15">
      <c r="A20" s="103">
        <v>12</v>
      </c>
      <c r="B20" s="92"/>
      <c r="C20" s="92"/>
      <c r="D20" s="92"/>
      <c r="E20" s="92"/>
      <c r="F20" s="103"/>
      <c r="G20" s="4"/>
      <c r="H20" s="4"/>
      <c r="I20" s="4"/>
    </row>
    <row r="21" spans="1:9" ht="15">
      <c r="A21" s="103">
        <v>13</v>
      </c>
      <c r="B21" s="92"/>
      <c r="C21" s="92"/>
      <c r="D21" s="92"/>
      <c r="E21" s="92"/>
      <c r="F21" s="103"/>
      <c r="G21" s="4"/>
      <c r="H21" s="4"/>
      <c r="I21" s="4"/>
    </row>
    <row r="22" spans="1:9" ht="15">
      <c r="A22" s="103">
        <v>14</v>
      </c>
      <c r="B22" s="92"/>
      <c r="C22" s="92"/>
      <c r="D22" s="92"/>
      <c r="E22" s="92"/>
      <c r="F22" s="103"/>
      <c r="G22" s="4"/>
      <c r="H22" s="4"/>
      <c r="I22" s="4"/>
    </row>
    <row r="23" spans="1:9" ht="15">
      <c r="A23" s="103">
        <v>15</v>
      </c>
      <c r="B23" s="92"/>
      <c r="C23" s="92"/>
      <c r="D23" s="92"/>
      <c r="E23" s="92"/>
      <c r="F23" s="103"/>
      <c r="G23" s="4"/>
      <c r="H23" s="4"/>
      <c r="I23" s="4"/>
    </row>
    <row r="24" spans="1:9" ht="15">
      <c r="A24" s="103">
        <v>16</v>
      </c>
      <c r="B24" s="92"/>
      <c r="C24" s="92"/>
      <c r="D24" s="92"/>
      <c r="E24" s="92"/>
      <c r="F24" s="103"/>
      <c r="G24" s="4"/>
      <c r="H24" s="4"/>
      <c r="I24" s="4"/>
    </row>
    <row r="25" spans="1:9" ht="15">
      <c r="A25" s="103">
        <v>17</v>
      </c>
      <c r="B25" s="92"/>
      <c r="C25" s="92"/>
      <c r="D25" s="92"/>
      <c r="E25" s="92"/>
      <c r="F25" s="103"/>
      <c r="G25" s="4"/>
      <c r="H25" s="4"/>
      <c r="I25" s="4"/>
    </row>
    <row r="26" spans="1:9" ht="15">
      <c r="A26" s="103">
        <v>18</v>
      </c>
      <c r="B26" s="92"/>
      <c r="C26" s="92"/>
      <c r="D26" s="92"/>
      <c r="E26" s="92"/>
      <c r="F26" s="103"/>
      <c r="G26" s="4"/>
      <c r="H26" s="4"/>
      <c r="I26" s="4"/>
    </row>
    <row r="27" spans="1:9" ht="15">
      <c r="A27" s="103">
        <v>19</v>
      </c>
      <c r="B27" s="92"/>
      <c r="C27" s="92"/>
      <c r="D27" s="92"/>
      <c r="E27" s="92"/>
      <c r="F27" s="103"/>
      <c r="G27" s="4"/>
      <c r="H27" s="4"/>
      <c r="I27" s="4"/>
    </row>
    <row r="28" spans="1:9" ht="15">
      <c r="A28" s="103">
        <v>20</v>
      </c>
      <c r="B28" s="92"/>
      <c r="C28" s="92"/>
      <c r="D28" s="92"/>
      <c r="E28" s="92"/>
      <c r="F28" s="103"/>
      <c r="G28" s="4"/>
      <c r="H28" s="4"/>
      <c r="I28" s="4"/>
    </row>
    <row r="29" spans="1:9" ht="15">
      <c r="A29" s="103">
        <v>21</v>
      </c>
      <c r="B29" s="92"/>
      <c r="C29" s="92"/>
      <c r="D29" s="92"/>
      <c r="E29" s="92"/>
      <c r="F29" s="103"/>
      <c r="G29" s="4"/>
      <c r="H29" s="4"/>
      <c r="I29" s="4"/>
    </row>
    <row r="30" spans="1:9" ht="15">
      <c r="A30" s="103">
        <v>22</v>
      </c>
      <c r="B30" s="92"/>
      <c r="C30" s="92"/>
      <c r="D30" s="92"/>
      <c r="E30" s="92"/>
      <c r="F30" s="103"/>
      <c r="G30" s="4"/>
      <c r="H30" s="4"/>
      <c r="I30" s="4"/>
    </row>
    <row r="31" spans="1:9" ht="15">
      <c r="A31" s="103">
        <v>23</v>
      </c>
      <c r="B31" s="92"/>
      <c r="C31" s="92"/>
      <c r="D31" s="92"/>
      <c r="E31" s="92"/>
      <c r="F31" s="103"/>
      <c r="G31" s="4"/>
      <c r="H31" s="4"/>
      <c r="I31" s="4"/>
    </row>
    <row r="32" spans="1:9" ht="15">
      <c r="A32" s="103">
        <v>24</v>
      </c>
      <c r="B32" s="92"/>
      <c r="C32" s="92"/>
      <c r="D32" s="92"/>
      <c r="E32" s="92"/>
      <c r="F32" s="103"/>
      <c r="G32" s="4"/>
      <c r="H32" s="4"/>
      <c r="I32" s="4"/>
    </row>
    <row r="33" spans="1:9" ht="15">
      <c r="A33" s="92" t="s">
        <v>277</v>
      </c>
      <c r="B33" s="92"/>
      <c r="C33" s="92"/>
      <c r="D33" s="92"/>
      <c r="E33" s="92"/>
      <c r="F33" s="103"/>
      <c r="G33" s="4"/>
      <c r="H33" s="4"/>
      <c r="I33" s="4"/>
    </row>
    <row r="34" spans="1:9" ht="15">
      <c r="A34" s="92"/>
      <c r="B34" s="104"/>
      <c r="C34" s="104"/>
      <c r="D34" s="104"/>
      <c r="E34" s="104"/>
      <c r="F34" s="92" t="s">
        <v>453</v>
      </c>
      <c r="G34" s="91">
        <f>SUM(G9:G33)</f>
        <v>1250</v>
      </c>
      <c r="H34" s="91">
        <f>SUM(H9:H33)</f>
        <v>1250</v>
      </c>
      <c r="I34" s="91">
        <f>SUM(I9:I33)</f>
        <v>250</v>
      </c>
    </row>
    <row r="35" spans="1:9" ht="15">
      <c r="A35" s="250"/>
      <c r="B35" s="250"/>
      <c r="C35" s="250"/>
      <c r="D35" s="250"/>
      <c r="E35" s="250"/>
      <c r="F35" s="250"/>
      <c r="G35" s="250"/>
      <c r="H35" s="206"/>
      <c r="I35" s="206"/>
    </row>
    <row r="36" spans="1:9" ht="15">
      <c r="A36" s="251" t="s">
        <v>441</v>
      </c>
      <c r="B36" s="251"/>
      <c r="C36" s="250"/>
      <c r="D36" s="250"/>
      <c r="E36" s="250"/>
      <c r="F36" s="250"/>
      <c r="G36" s="250"/>
      <c r="H36" s="206"/>
      <c r="I36" s="206"/>
    </row>
    <row r="37" spans="1:9" ht="15">
      <c r="A37" s="251"/>
      <c r="B37" s="251"/>
      <c r="C37" s="250"/>
      <c r="D37" s="250"/>
      <c r="E37" s="250"/>
      <c r="F37" s="250"/>
      <c r="G37" s="250"/>
      <c r="H37" s="206"/>
      <c r="I37" s="206"/>
    </row>
    <row r="38" spans="1:9" ht="15">
      <c r="A38" s="251"/>
      <c r="B38" s="251"/>
      <c r="C38" s="206"/>
      <c r="D38" s="206"/>
      <c r="E38" s="206"/>
      <c r="F38" s="206"/>
      <c r="G38" s="206"/>
      <c r="H38" s="206"/>
      <c r="I38" s="206"/>
    </row>
    <row r="39" spans="1:9" ht="15">
      <c r="A39" s="251"/>
      <c r="B39" s="251"/>
      <c r="C39" s="206"/>
      <c r="D39" s="206"/>
      <c r="E39" s="206"/>
      <c r="F39" s="206"/>
      <c r="G39" s="206"/>
      <c r="H39" s="206"/>
      <c r="I39" s="206"/>
    </row>
    <row r="40" spans="1:9">
      <c r="A40" s="247"/>
      <c r="B40" s="247"/>
      <c r="C40" s="247"/>
      <c r="D40" s="247"/>
      <c r="E40" s="247"/>
      <c r="F40" s="247"/>
      <c r="G40" s="247"/>
      <c r="H40" s="247"/>
      <c r="I40" s="247"/>
    </row>
    <row r="41" spans="1:9" ht="15">
      <c r="A41" s="212" t="s">
        <v>107</v>
      </c>
      <c r="B41" s="212"/>
      <c r="C41" s="206"/>
      <c r="D41" s="206"/>
      <c r="E41" s="206"/>
      <c r="F41" s="206"/>
      <c r="G41" s="206"/>
      <c r="H41" s="206"/>
      <c r="I41" s="206"/>
    </row>
    <row r="42" spans="1:9" ht="15">
      <c r="A42" s="206"/>
      <c r="B42" s="206"/>
      <c r="C42" s="206"/>
      <c r="D42" s="206"/>
      <c r="E42" s="206"/>
      <c r="F42" s="206"/>
      <c r="G42" s="206"/>
      <c r="H42" s="206"/>
      <c r="I42" s="206"/>
    </row>
    <row r="43" spans="1:9" ht="15">
      <c r="A43" s="206"/>
      <c r="B43" s="206"/>
      <c r="C43" s="206"/>
      <c r="D43" s="206"/>
      <c r="E43" s="210"/>
      <c r="F43" s="210"/>
      <c r="G43" s="210"/>
      <c r="H43" s="206"/>
      <c r="I43" s="206"/>
    </row>
    <row r="44" spans="1:9" ht="15">
      <c r="A44" s="212"/>
      <c r="B44" s="212"/>
      <c r="C44" s="212" t="s">
        <v>396</v>
      </c>
      <c r="D44" s="212"/>
      <c r="E44" s="212"/>
      <c r="F44" s="212"/>
      <c r="G44" s="212"/>
      <c r="H44" s="206"/>
      <c r="I44" s="206"/>
    </row>
    <row r="45" spans="1:9" ht="15">
      <c r="A45" s="206"/>
      <c r="B45" s="206"/>
      <c r="C45" s="206" t="s">
        <v>395</v>
      </c>
      <c r="D45" s="206"/>
      <c r="E45" s="206"/>
      <c r="F45" s="206"/>
      <c r="G45" s="206"/>
      <c r="H45" s="206"/>
      <c r="I45" s="206"/>
    </row>
    <row r="46" spans="1:9">
      <c r="A46" s="214"/>
      <c r="B46" s="214"/>
      <c r="C46" s="214" t="s">
        <v>139</v>
      </c>
      <c r="D46" s="214"/>
      <c r="E46" s="214"/>
      <c r="F46" s="214"/>
      <c r="G46" s="214"/>
    </row>
  </sheetData>
  <mergeCells count="2">
    <mergeCell ref="I1:J1"/>
    <mergeCell ref="I2:J2"/>
  </mergeCells>
  <dataValidations count="1">
    <dataValidation type="list" allowBlank="1" showInputMessage="1" showErrorMessage="1" sqref="F9:F10">
      <formula1>$J$8:$J$9</formula1>
    </dataValidation>
  </dataValidations>
  <printOptions gridLines="1"/>
  <pageMargins left="0.25" right="0.25" top="0.75" bottom="0.75" header="0.3" footer="0.3"/>
  <pageSetup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Normal="100" zoomScaleSheetLayoutView="70" workbookViewId="0">
      <selection activeCell="G2" sqref="G2:H2"/>
    </sheetView>
  </sheetViews>
  <sheetFormatPr defaultRowHeight="12.75"/>
  <cols>
    <col min="1" max="2" width="16.855468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9" t="s">
        <v>2555</v>
      </c>
      <c r="B1" s="82"/>
      <c r="C1" s="82"/>
      <c r="D1" s="82"/>
      <c r="E1" s="82"/>
      <c r="F1" s="82"/>
      <c r="G1" s="582" t="s">
        <v>110</v>
      </c>
      <c r="H1" s="582"/>
    </row>
    <row r="2" spans="1:8" ht="15">
      <c r="A2" s="81" t="s">
        <v>140</v>
      </c>
      <c r="B2" s="82"/>
      <c r="C2" s="82"/>
      <c r="D2" s="82"/>
      <c r="E2" s="82"/>
      <c r="F2" s="82"/>
      <c r="G2" s="580" t="s">
        <v>2558</v>
      </c>
      <c r="H2" s="581"/>
    </row>
    <row r="3" spans="1:8" ht="15">
      <c r="A3" s="81"/>
      <c r="B3" s="81"/>
      <c r="C3" s="81"/>
      <c r="D3" s="81"/>
      <c r="E3" s="81"/>
      <c r="F3" s="81"/>
      <c r="G3" s="189"/>
      <c r="H3" s="189"/>
    </row>
    <row r="4" spans="1:8" ht="15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1"/>
      <c r="H4" s="81"/>
    </row>
    <row r="5" spans="1:8" ht="15">
      <c r="A5" s="244" t="s">
        <v>503</v>
      </c>
      <c r="B5" s="244"/>
      <c r="C5" s="244"/>
      <c r="D5" s="85"/>
      <c r="E5" s="85"/>
      <c r="F5" s="85"/>
      <c r="G5" s="86"/>
      <c r="H5" s="86"/>
    </row>
    <row r="6" spans="1:8" ht="15">
      <c r="A6" s="82"/>
      <c r="B6" s="82"/>
      <c r="C6" s="82"/>
      <c r="D6" s="82"/>
      <c r="E6" s="82"/>
      <c r="F6" s="82"/>
      <c r="G6" s="81"/>
      <c r="H6" s="81"/>
    </row>
    <row r="7" spans="1:8" ht="15">
      <c r="A7" s="188"/>
      <c r="B7" s="188"/>
      <c r="C7" s="284"/>
      <c r="D7" s="188"/>
      <c r="E7" s="188"/>
      <c r="F7" s="188"/>
      <c r="G7" s="83"/>
      <c r="H7" s="83"/>
    </row>
    <row r="8" spans="1:8" ht="45">
      <c r="A8" s="95" t="s">
        <v>342</v>
      </c>
      <c r="B8" s="95" t="s">
        <v>343</v>
      </c>
      <c r="C8" s="95" t="s">
        <v>228</v>
      </c>
      <c r="D8" s="95" t="s">
        <v>346</v>
      </c>
      <c r="E8" s="95" t="s">
        <v>345</v>
      </c>
      <c r="F8" s="95" t="s">
        <v>391</v>
      </c>
      <c r="G8" s="84" t="s">
        <v>10</v>
      </c>
      <c r="H8" s="84" t="s">
        <v>9</v>
      </c>
    </row>
    <row r="9" spans="1:8" ht="15">
      <c r="A9" s="103"/>
      <c r="B9" s="103"/>
      <c r="C9" s="103"/>
      <c r="D9" s="103"/>
      <c r="E9" s="103"/>
      <c r="F9" s="103"/>
      <c r="G9" s="4"/>
      <c r="H9" s="4"/>
    </row>
    <row r="10" spans="1:8" ht="15">
      <c r="A10" s="103"/>
      <c r="B10" s="103"/>
      <c r="C10" s="103"/>
      <c r="D10" s="103"/>
      <c r="E10" s="103"/>
      <c r="F10" s="103"/>
      <c r="G10" s="4"/>
      <c r="H10" s="4"/>
    </row>
    <row r="11" spans="1:8" ht="15">
      <c r="A11" s="92"/>
      <c r="B11" s="92"/>
      <c r="C11" s="92"/>
      <c r="D11" s="92"/>
      <c r="E11" s="92"/>
      <c r="F11" s="92"/>
      <c r="G11" s="4"/>
      <c r="H11" s="4"/>
    </row>
    <row r="12" spans="1:8" ht="15">
      <c r="A12" s="92"/>
      <c r="B12" s="92"/>
      <c r="C12" s="92"/>
      <c r="D12" s="92"/>
      <c r="E12" s="92"/>
      <c r="F12" s="92"/>
      <c r="G12" s="4"/>
      <c r="H12" s="4"/>
    </row>
    <row r="13" spans="1:8" ht="15">
      <c r="A13" s="92"/>
      <c r="B13" s="92"/>
      <c r="C13" s="92"/>
      <c r="D13" s="92"/>
      <c r="E13" s="92"/>
      <c r="F13" s="92"/>
      <c r="G13" s="4"/>
      <c r="H13" s="4"/>
    </row>
    <row r="14" spans="1:8" ht="15">
      <c r="A14" s="92"/>
      <c r="B14" s="92"/>
      <c r="C14" s="92"/>
      <c r="D14" s="92"/>
      <c r="E14" s="92"/>
      <c r="F14" s="92"/>
      <c r="G14" s="4"/>
      <c r="H14" s="4"/>
    </row>
    <row r="15" spans="1:8" ht="15">
      <c r="A15" s="92"/>
      <c r="B15" s="92"/>
      <c r="C15" s="92"/>
      <c r="D15" s="92"/>
      <c r="E15" s="92"/>
      <c r="F15" s="92"/>
      <c r="G15" s="4"/>
      <c r="H15" s="4"/>
    </row>
    <row r="16" spans="1:8" ht="15">
      <c r="A16" s="92"/>
      <c r="B16" s="92"/>
      <c r="C16" s="92"/>
      <c r="D16" s="92"/>
      <c r="E16" s="92"/>
      <c r="F16" s="92"/>
      <c r="G16" s="4"/>
      <c r="H16" s="4"/>
    </row>
    <row r="17" spans="1:8" ht="15">
      <c r="A17" s="92"/>
      <c r="B17" s="92"/>
      <c r="C17" s="92"/>
      <c r="D17" s="92"/>
      <c r="E17" s="92"/>
      <c r="F17" s="92"/>
      <c r="G17" s="4"/>
      <c r="H17" s="4"/>
    </row>
    <row r="18" spans="1:8" ht="15">
      <c r="A18" s="92"/>
      <c r="B18" s="92"/>
      <c r="C18" s="92"/>
      <c r="D18" s="92"/>
      <c r="E18" s="92"/>
      <c r="F18" s="92"/>
      <c r="G18" s="4"/>
      <c r="H18" s="4"/>
    </row>
    <row r="19" spans="1:8" ht="15">
      <c r="A19" s="92"/>
      <c r="B19" s="92"/>
      <c r="C19" s="92"/>
      <c r="D19" s="92"/>
      <c r="E19" s="92"/>
      <c r="F19" s="92"/>
      <c r="G19" s="4"/>
      <c r="H19" s="4"/>
    </row>
    <row r="20" spans="1:8" ht="15">
      <c r="A20" s="92"/>
      <c r="B20" s="92"/>
      <c r="C20" s="92"/>
      <c r="D20" s="92"/>
      <c r="E20" s="92"/>
      <c r="F20" s="92"/>
      <c r="G20" s="4"/>
      <c r="H20" s="4"/>
    </row>
    <row r="21" spans="1:8" ht="15">
      <c r="A21" s="92"/>
      <c r="B21" s="92"/>
      <c r="C21" s="92"/>
      <c r="D21" s="92"/>
      <c r="E21" s="92"/>
      <c r="F21" s="92"/>
      <c r="G21" s="4"/>
      <c r="H21" s="4"/>
    </row>
    <row r="22" spans="1:8" ht="15">
      <c r="A22" s="92"/>
      <c r="B22" s="92"/>
      <c r="C22" s="92"/>
      <c r="D22" s="92"/>
      <c r="E22" s="92"/>
      <c r="F22" s="92"/>
      <c r="G22" s="4"/>
      <c r="H22" s="4"/>
    </row>
    <row r="23" spans="1:8" ht="15">
      <c r="A23" s="92"/>
      <c r="B23" s="92"/>
      <c r="C23" s="92"/>
      <c r="D23" s="92"/>
      <c r="E23" s="92"/>
      <c r="F23" s="92"/>
      <c r="G23" s="4"/>
      <c r="H23" s="4"/>
    </row>
    <row r="24" spans="1:8" ht="15">
      <c r="A24" s="92"/>
      <c r="B24" s="92"/>
      <c r="C24" s="92"/>
      <c r="D24" s="92"/>
      <c r="E24" s="92"/>
      <c r="F24" s="92"/>
      <c r="G24" s="4"/>
      <c r="H24" s="4"/>
    </row>
    <row r="25" spans="1:8" ht="15">
      <c r="A25" s="92"/>
      <c r="B25" s="92"/>
      <c r="C25" s="92"/>
      <c r="D25" s="92"/>
      <c r="E25" s="92"/>
      <c r="F25" s="92"/>
      <c r="G25" s="4"/>
      <c r="H25" s="4"/>
    </row>
    <row r="26" spans="1:8" ht="15">
      <c r="A26" s="92"/>
      <c r="B26" s="92"/>
      <c r="C26" s="92"/>
      <c r="D26" s="92"/>
      <c r="E26" s="92"/>
      <c r="F26" s="92"/>
      <c r="G26" s="4"/>
      <c r="H26" s="4"/>
    </row>
    <row r="27" spans="1:8" ht="15">
      <c r="A27" s="92"/>
      <c r="B27" s="92"/>
      <c r="C27" s="92"/>
      <c r="D27" s="92"/>
      <c r="E27" s="92"/>
      <c r="F27" s="92"/>
      <c r="G27" s="4"/>
      <c r="H27" s="4"/>
    </row>
    <row r="28" spans="1:8" ht="15">
      <c r="A28" s="92"/>
      <c r="B28" s="92"/>
      <c r="C28" s="92"/>
      <c r="D28" s="92"/>
      <c r="E28" s="92"/>
      <c r="F28" s="92"/>
      <c r="G28" s="4"/>
      <c r="H28" s="4"/>
    </row>
    <row r="29" spans="1:8" ht="15">
      <c r="A29" s="92"/>
      <c r="B29" s="92"/>
      <c r="C29" s="92"/>
      <c r="D29" s="92"/>
      <c r="E29" s="92"/>
      <c r="F29" s="92"/>
      <c r="G29" s="4"/>
      <c r="H29" s="4"/>
    </row>
    <row r="30" spans="1:8" ht="15">
      <c r="A30" s="92"/>
      <c r="B30" s="92"/>
      <c r="C30" s="92"/>
      <c r="D30" s="92"/>
      <c r="E30" s="92"/>
      <c r="F30" s="92"/>
      <c r="G30" s="4"/>
      <c r="H30" s="4"/>
    </row>
    <row r="31" spans="1:8" ht="15">
      <c r="A31" s="92"/>
      <c r="B31" s="92"/>
      <c r="C31" s="92"/>
      <c r="D31" s="92"/>
      <c r="E31" s="92"/>
      <c r="F31" s="92"/>
      <c r="G31" s="4"/>
      <c r="H31" s="4"/>
    </row>
    <row r="32" spans="1:8" ht="15">
      <c r="A32" s="92"/>
      <c r="B32" s="92"/>
      <c r="C32" s="92"/>
      <c r="D32" s="92"/>
      <c r="E32" s="92"/>
      <c r="F32" s="92"/>
      <c r="G32" s="4"/>
      <c r="H32" s="4"/>
    </row>
    <row r="33" spans="1:8" ht="15">
      <c r="A33" s="92"/>
      <c r="B33" s="92"/>
      <c r="C33" s="92"/>
      <c r="D33" s="92"/>
      <c r="E33" s="92"/>
      <c r="F33" s="92"/>
      <c r="G33" s="4"/>
      <c r="H33" s="4"/>
    </row>
    <row r="34" spans="1:8" ht="15">
      <c r="A34" s="104"/>
      <c r="B34" s="104"/>
      <c r="C34" s="104"/>
      <c r="D34" s="104"/>
      <c r="E34" s="104"/>
      <c r="F34" s="104" t="s">
        <v>341</v>
      </c>
      <c r="G34" s="91">
        <f>SUM(G9:G33)</f>
        <v>0</v>
      </c>
      <c r="H34" s="91">
        <f>SUM(H9:H33)</f>
        <v>0</v>
      </c>
    </row>
    <row r="35" spans="1:8" ht="15">
      <c r="A35" s="250"/>
      <c r="B35" s="250"/>
      <c r="C35" s="250"/>
      <c r="D35" s="250"/>
      <c r="E35" s="250"/>
      <c r="F35" s="250"/>
      <c r="G35" s="206"/>
      <c r="H35" s="206"/>
    </row>
    <row r="36" spans="1:8" ht="15">
      <c r="A36" s="251" t="s">
        <v>352</v>
      </c>
      <c r="B36" s="250"/>
      <c r="C36" s="250"/>
      <c r="D36" s="250"/>
      <c r="E36" s="250"/>
      <c r="F36" s="250"/>
      <c r="G36" s="206"/>
      <c r="H36" s="206"/>
    </row>
    <row r="37" spans="1:8" ht="15">
      <c r="A37" s="251" t="s">
        <v>355</v>
      </c>
      <c r="B37" s="250"/>
      <c r="C37" s="250"/>
      <c r="D37" s="250"/>
      <c r="E37" s="250"/>
      <c r="F37" s="250"/>
      <c r="G37" s="206"/>
      <c r="H37" s="206"/>
    </row>
    <row r="38" spans="1:8" ht="15">
      <c r="A38" s="251"/>
      <c r="B38" s="206"/>
      <c r="C38" s="206"/>
      <c r="D38" s="206"/>
      <c r="E38" s="206"/>
      <c r="F38" s="206"/>
      <c r="G38" s="206"/>
      <c r="H38" s="206"/>
    </row>
    <row r="39" spans="1:8" ht="15">
      <c r="A39" s="251"/>
      <c r="B39" s="206"/>
      <c r="C39" s="206"/>
      <c r="D39" s="206"/>
      <c r="E39" s="206"/>
      <c r="F39" s="206"/>
      <c r="G39" s="206"/>
      <c r="H39" s="206"/>
    </row>
    <row r="40" spans="1:8">
      <c r="A40" s="247"/>
      <c r="B40" s="247"/>
      <c r="C40" s="247"/>
      <c r="D40" s="247"/>
      <c r="E40" s="247"/>
      <c r="F40" s="247"/>
      <c r="G40" s="247"/>
      <c r="H40" s="247"/>
    </row>
    <row r="41" spans="1:8" ht="15">
      <c r="A41" s="212" t="s">
        <v>107</v>
      </c>
      <c r="B41" s="206"/>
      <c r="C41" s="206"/>
      <c r="D41" s="206"/>
      <c r="E41" s="206"/>
      <c r="F41" s="206"/>
      <c r="G41" s="206"/>
      <c r="H41" s="206"/>
    </row>
    <row r="42" spans="1:8" ht="15">
      <c r="A42" s="206"/>
      <c r="B42" s="206"/>
      <c r="C42" s="206"/>
      <c r="D42" s="206"/>
      <c r="E42" s="206"/>
      <c r="F42" s="206"/>
      <c r="G42" s="206"/>
      <c r="H42" s="206"/>
    </row>
    <row r="43" spans="1:8" ht="15">
      <c r="A43" s="206"/>
      <c r="B43" s="206"/>
      <c r="C43" s="206"/>
      <c r="D43" s="206"/>
      <c r="E43" s="206"/>
      <c r="F43" s="206"/>
      <c r="G43" s="206"/>
      <c r="H43" s="213"/>
    </row>
    <row r="44" spans="1:8" ht="15">
      <c r="A44" s="212"/>
      <c r="B44" s="212" t="s">
        <v>270</v>
      </c>
      <c r="C44" s="212"/>
      <c r="D44" s="212"/>
      <c r="E44" s="212"/>
      <c r="F44" s="212"/>
      <c r="G44" s="206"/>
      <c r="H44" s="213"/>
    </row>
    <row r="45" spans="1:8" ht="15">
      <c r="A45" s="206"/>
      <c r="B45" s="206" t="s">
        <v>269</v>
      </c>
      <c r="C45" s="206"/>
      <c r="D45" s="206"/>
      <c r="E45" s="206"/>
      <c r="F45" s="206"/>
      <c r="G45" s="206"/>
      <c r="H45" s="213"/>
    </row>
    <row r="46" spans="1:8">
      <c r="A46" s="214"/>
      <c r="B46" s="214" t="s">
        <v>139</v>
      </c>
      <c r="C46" s="214"/>
      <c r="D46" s="214"/>
      <c r="E46" s="214"/>
      <c r="F46" s="214"/>
      <c r="G46" s="207"/>
      <c r="H46" s="207"/>
    </row>
  </sheetData>
  <mergeCells count="2">
    <mergeCell ref="G1:H1"/>
    <mergeCell ref="G2:H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  <vt:lpstr>Sheet1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2012-08-24T13:54:16Z</cp:lastPrinted>
  <dcterms:created xsi:type="dcterms:W3CDTF">2011-12-27T13:20:18Z</dcterms:created>
  <dcterms:modified xsi:type="dcterms:W3CDTF">2016-07-25T06:14:35Z</dcterms:modified>
</cp:coreProperties>
</file>