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120" yWindow="390" windowWidth="14940" windowHeight="7275" tabRatio="954" firstSheet="16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N2'!$A$8:$J$8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N5.1'!$B$9:$D$30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5.5'!$A$1:$L$35</definedName>
    <definedName name="_xlnm.Print_Area" localSheetId="24">'ფორმა 9.5'!$A$1:$L$39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9.7'!$A$1:$I$106</definedName>
    <definedName name="_xlnm.Print_Area" localSheetId="0">'ფორმა N1'!$A$1:$L$84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5725"/>
</workbook>
</file>

<file path=xl/calcChain.xml><?xml version="1.0" encoding="utf-8"?>
<calcChain xmlns="http://schemas.openxmlformats.org/spreadsheetml/2006/main">
  <c r="G15" i="12"/>
  <c r="G14"/>
  <c r="I96" i="35"/>
  <c r="J31" i="10" l="1"/>
  <c r="I31"/>
  <c r="J21"/>
  <c r="I21"/>
  <c r="J16"/>
  <c r="I16"/>
  <c r="J15"/>
  <c r="I15"/>
  <c r="E16"/>
  <c r="D16"/>
  <c r="I10" i="9"/>
  <c r="P17"/>
  <c r="O17"/>
  <c r="Q16"/>
  <c r="Q15"/>
  <c r="Q14"/>
  <c r="P13"/>
  <c r="O13"/>
  <c r="Q13" s="1"/>
  <c r="Q12"/>
  <c r="Q11"/>
  <c r="Q10"/>
  <c r="H10" i="12"/>
  <c r="G10"/>
  <c r="G47"/>
  <c r="J64"/>
  <c r="J47"/>
  <c r="J45" s="1"/>
  <c r="J44" s="1"/>
  <c r="J34"/>
  <c r="J32"/>
  <c r="J27"/>
  <c r="J11" s="1"/>
  <c r="J10" s="1"/>
  <c r="I64"/>
  <c r="I45"/>
  <c r="I44"/>
  <c r="I34"/>
  <c r="I11"/>
  <c r="I10" s="1"/>
  <c r="J15" i="46"/>
  <c r="J14"/>
  <c r="J12"/>
  <c r="J11"/>
  <c r="J10"/>
  <c r="C28" i="27"/>
  <c r="G52" i="47"/>
  <c r="T72"/>
  <c r="S72"/>
  <c r="T64"/>
  <c r="T58"/>
  <c r="S58"/>
  <c r="T53"/>
  <c r="S53"/>
  <c r="S52"/>
  <c r="T47"/>
  <c r="S47"/>
  <c r="T36"/>
  <c r="S36"/>
  <c r="T32"/>
  <c r="S32"/>
  <c r="T23"/>
  <c r="T17" s="1"/>
  <c r="S23"/>
  <c r="S17" s="1"/>
  <c r="T14"/>
  <c r="S14"/>
  <c r="S13" s="1"/>
  <c r="T10"/>
  <c r="S10"/>
  <c r="S9" l="1"/>
  <c r="T13"/>
  <c r="T9" s="1"/>
  <c r="C25" i="27" l="1"/>
  <c r="C24"/>
  <c r="D23"/>
  <c r="D21"/>
  <c r="C21"/>
  <c r="D20"/>
  <c r="C20"/>
  <c r="D19"/>
  <c r="C19"/>
  <c r="H9" i="47"/>
  <c r="G9"/>
  <c r="H54"/>
  <c r="G54"/>
  <c r="H52"/>
  <c r="H49"/>
  <c r="G49"/>
  <c r="H48"/>
  <c r="G48"/>
  <c r="H45"/>
  <c r="G45"/>
  <c r="H44"/>
  <c r="G44"/>
  <c r="H41"/>
  <c r="G41"/>
  <c r="H38"/>
  <c r="G38"/>
  <c r="H25"/>
  <c r="G25"/>
  <c r="H24"/>
  <c r="G24"/>
  <c r="H21"/>
  <c r="G21"/>
  <c r="H18"/>
  <c r="G18"/>
  <c r="Q72"/>
  <c r="P72"/>
  <c r="Q64"/>
  <c r="Q58"/>
  <c r="P58"/>
  <c r="Q53"/>
  <c r="P53"/>
  <c r="Q47"/>
  <c r="P47"/>
  <c r="Q36"/>
  <c r="P36"/>
  <c r="Q32"/>
  <c r="P32"/>
  <c r="Q23"/>
  <c r="Q17" s="1"/>
  <c r="P23"/>
  <c r="P17" s="1"/>
  <c r="Q14"/>
  <c r="Q13" s="1"/>
  <c r="P14"/>
  <c r="P13" s="1"/>
  <c r="Q10"/>
  <c r="P10"/>
  <c r="K72"/>
  <c r="J72"/>
  <c r="K64"/>
  <c r="K58"/>
  <c r="J58"/>
  <c r="K53"/>
  <c r="J53"/>
  <c r="K47"/>
  <c r="J47"/>
  <c r="K36"/>
  <c r="J36"/>
  <c r="K32"/>
  <c r="J32"/>
  <c r="K23"/>
  <c r="J23"/>
  <c r="J17" s="1"/>
  <c r="K17"/>
  <c r="K14"/>
  <c r="J14"/>
  <c r="J13" s="1"/>
  <c r="K13"/>
  <c r="K9" s="1"/>
  <c r="K10"/>
  <c r="J10"/>
  <c r="H11" i="30"/>
  <c r="G11"/>
  <c r="H10"/>
  <c r="G10"/>
  <c r="H9"/>
  <c r="G9"/>
  <c r="H64" i="40"/>
  <c r="G64"/>
  <c r="G77"/>
  <c r="H70"/>
  <c r="H62"/>
  <c r="G62"/>
  <c r="H55"/>
  <c r="G55"/>
  <c r="H53"/>
  <c r="G53"/>
  <c r="H49"/>
  <c r="G49"/>
  <c r="H47"/>
  <c r="G47"/>
  <c r="H46"/>
  <c r="G46"/>
  <c r="H45"/>
  <c r="G45"/>
  <c r="H44"/>
  <c r="G44"/>
  <c r="H37"/>
  <c r="G37"/>
  <c r="H36"/>
  <c r="G36"/>
  <c r="H31"/>
  <c r="G31"/>
  <c r="H30"/>
  <c r="G30"/>
  <c r="H29"/>
  <c r="G29"/>
  <c r="H28"/>
  <c r="G28"/>
  <c r="H27"/>
  <c r="G27"/>
  <c r="H26"/>
  <c r="G26"/>
  <c r="H24"/>
  <c r="G24"/>
  <c r="H23"/>
  <c r="G23"/>
  <c r="H20"/>
  <c r="G20"/>
  <c r="H18"/>
  <c r="G18"/>
  <c r="H17"/>
  <c r="G17"/>
  <c r="H13"/>
  <c r="G13"/>
  <c r="AC74"/>
  <c r="AC65"/>
  <c r="AC59"/>
  <c r="AB59"/>
  <c r="AC54"/>
  <c r="AB54"/>
  <c r="AC48"/>
  <c r="AB48"/>
  <c r="AC38"/>
  <c r="AB38"/>
  <c r="AC34"/>
  <c r="AB34"/>
  <c r="AC25"/>
  <c r="AC19" s="1"/>
  <c r="AB25"/>
  <c r="AB19" s="1"/>
  <c r="AC16"/>
  <c r="AB16"/>
  <c r="AB15" s="1"/>
  <c r="AC12"/>
  <c r="AB12"/>
  <c r="Z74"/>
  <c r="Z70"/>
  <c r="Z65" s="1"/>
  <c r="Z59"/>
  <c r="Y59"/>
  <c r="Z55"/>
  <c r="Z54" s="1"/>
  <c r="Y55"/>
  <c r="Y54"/>
  <c r="Z48"/>
  <c r="Y48"/>
  <c r="Z38"/>
  <c r="Y38"/>
  <c r="Z34"/>
  <c r="Y34"/>
  <c r="Z25"/>
  <c r="Y25"/>
  <c r="Y19" s="1"/>
  <c r="Y15" s="1"/>
  <c r="Y11" s="1"/>
  <c r="Y23"/>
  <c r="Z20"/>
  <c r="Y20"/>
  <c r="Z19"/>
  <c r="Z15" s="1"/>
  <c r="Z16"/>
  <c r="Y16"/>
  <c r="Z12"/>
  <c r="Y12"/>
  <c r="W74"/>
  <c r="W65"/>
  <c r="W59"/>
  <c r="V59"/>
  <c r="W54"/>
  <c r="V54"/>
  <c r="W49"/>
  <c r="W48"/>
  <c r="V48"/>
  <c r="W44"/>
  <c r="W38"/>
  <c r="V38"/>
  <c r="W37"/>
  <c r="W34"/>
  <c r="V34"/>
  <c r="W27"/>
  <c r="W26"/>
  <c r="W25" s="1"/>
  <c r="V25"/>
  <c r="W23"/>
  <c r="W20"/>
  <c r="V19"/>
  <c r="W16"/>
  <c r="V16"/>
  <c r="V15" s="1"/>
  <c r="W12"/>
  <c r="V12"/>
  <c r="T74"/>
  <c r="T65"/>
  <c r="T59"/>
  <c r="S59"/>
  <c r="T54"/>
  <c r="S54"/>
  <c r="T49"/>
  <c r="T48"/>
  <c r="S48"/>
  <c r="T38"/>
  <c r="S38"/>
  <c r="T34"/>
  <c r="S34"/>
  <c r="T25"/>
  <c r="T19" s="1"/>
  <c r="S25"/>
  <c r="S19" s="1"/>
  <c r="T16"/>
  <c r="S16"/>
  <c r="T12"/>
  <c r="S12"/>
  <c r="Q74"/>
  <c r="Q65"/>
  <c r="Q59"/>
  <c r="P59"/>
  <c r="Q54"/>
  <c r="P54"/>
  <c r="Q49"/>
  <c r="Q48" s="1"/>
  <c r="P48"/>
  <c r="Q38"/>
  <c r="P38"/>
  <c r="Q34"/>
  <c r="P34"/>
  <c r="Q25"/>
  <c r="Q19" s="1"/>
  <c r="P25"/>
  <c r="P23"/>
  <c r="P19"/>
  <c r="Q18"/>
  <c r="Q16" s="1"/>
  <c r="P18"/>
  <c r="P16"/>
  <c r="P15" s="1"/>
  <c r="Q12"/>
  <c r="P12"/>
  <c r="N74"/>
  <c r="N65"/>
  <c r="N11" s="1"/>
  <c r="N59"/>
  <c r="M59"/>
  <c r="N54"/>
  <c r="M54"/>
  <c r="N48"/>
  <c r="M48"/>
  <c r="N38"/>
  <c r="M38"/>
  <c r="N34"/>
  <c r="M34"/>
  <c r="N25"/>
  <c r="M25"/>
  <c r="M19" s="1"/>
  <c r="N19"/>
  <c r="N16"/>
  <c r="M16"/>
  <c r="M15" s="1"/>
  <c r="N15"/>
  <c r="N12"/>
  <c r="M12"/>
  <c r="M11" s="1"/>
  <c r="K74"/>
  <c r="K65"/>
  <c r="K59"/>
  <c r="J59"/>
  <c r="K54"/>
  <c r="J54"/>
  <c r="K48"/>
  <c r="J48"/>
  <c r="K38"/>
  <c r="J38"/>
  <c r="K34"/>
  <c r="J34"/>
  <c r="K31"/>
  <c r="K28"/>
  <c r="K26"/>
  <c r="K25" s="1"/>
  <c r="J25"/>
  <c r="K20"/>
  <c r="J19"/>
  <c r="K16"/>
  <c r="J16"/>
  <c r="J15" s="1"/>
  <c r="K12"/>
  <c r="J12"/>
  <c r="J11" s="1"/>
  <c r="G16" i="7"/>
  <c r="G11"/>
  <c r="G30"/>
  <c r="H27"/>
  <c r="G27"/>
  <c r="H17"/>
  <c r="G17"/>
  <c r="H16"/>
  <c r="H14"/>
  <c r="G14"/>
  <c r="H13"/>
  <c r="G13"/>
  <c r="H11"/>
  <c r="AC26"/>
  <c r="AB26"/>
  <c r="AB25" s="1"/>
  <c r="AC25"/>
  <c r="AC18"/>
  <c r="AB18"/>
  <c r="AC15"/>
  <c r="AB15"/>
  <c r="AC12"/>
  <c r="AB12"/>
  <c r="AB10" s="1"/>
  <c r="AC10"/>
  <c r="AC9" s="1"/>
  <c r="Z26"/>
  <c r="Z25" s="1"/>
  <c r="Y26"/>
  <c r="Y25" s="1"/>
  <c r="Z18"/>
  <c r="Y18"/>
  <c r="Z15"/>
  <c r="Y15"/>
  <c r="Z12"/>
  <c r="Y12"/>
  <c r="Y10" s="1"/>
  <c r="Y9" s="1"/>
  <c r="Z10"/>
  <c r="Z9" s="1"/>
  <c r="W26"/>
  <c r="V26"/>
  <c r="V25" s="1"/>
  <c r="W25"/>
  <c r="W18"/>
  <c r="V18"/>
  <c r="W15"/>
  <c r="V15"/>
  <c r="W12"/>
  <c r="V12"/>
  <c r="V10" s="1"/>
  <c r="W10"/>
  <c r="W9" s="1"/>
  <c r="T26"/>
  <c r="S26"/>
  <c r="S25" s="1"/>
  <c r="T25"/>
  <c r="T18"/>
  <c r="S18"/>
  <c r="T15"/>
  <c r="S15"/>
  <c r="T12"/>
  <c r="S12"/>
  <c r="S10" s="1"/>
  <c r="S9" s="1"/>
  <c r="T10"/>
  <c r="T9" s="1"/>
  <c r="Q26"/>
  <c r="P26"/>
  <c r="Q25"/>
  <c r="P25"/>
  <c r="Q18"/>
  <c r="P18"/>
  <c r="Q15"/>
  <c r="P15"/>
  <c r="Q12"/>
  <c r="P12"/>
  <c r="Q10"/>
  <c r="Q9" s="1"/>
  <c r="P10"/>
  <c r="P9" s="1"/>
  <c r="N26"/>
  <c r="N25" s="1"/>
  <c r="M26"/>
  <c r="M25"/>
  <c r="N18"/>
  <c r="M18"/>
  <c r="N15"/>
  <c r="M15"/>
  <c r="N12"/>
  <c r="N10" s="1"/>
  <c r="N9" s="1"/>
  <c r="M12"/>
  <c r="M10"/>
  <c r="M9" s="1"/>
  <c r="K26"/>
  <c r="J26"/>
  <c r="K25"/>
  <c r="J25"/>
  <c r="K18"/>
  <c r="J18"/>
  <c r="K15"/>
  <c r="J15"/>
  <c r="K12"/>
  <c r="J12"/>
  <c r="K10"/>
  <c r="K9" s="1"/>
  <c r="J10"/>
  <c r="J9" s="1"/>
  <c r="G30" i="3"/>
  <c r="G27"/>
  <c r="H17"/>
  <c r="G17"/>
  <c r="H16"/>
  <c r="G16"/>
  <c r="H13"/>
  <c r="H11"/>
  <c r="G13"/>
  <c r="G11"/>
  <c r="AC26"/>
  <c r="AB26"/>
  <c r="AB25" s="1"/>
  <c r="AC25"/>
  <c r="AC18"/>
  <c r="AB18"/>
  <c r="AC15"/>
  <c r="AB15"/>
  <c r="AC12"/>
  <c r="AB12"/>
  <c r="AB10" s="1"/>
  <c r="AC10"/>
  <c r="AC9" s="1"/>
  <c r="Z26"/>
  <c r="Y26"/>
  <c r="Y25" s="1"/>
  <c r="Z25"/>
  <c r="Z18"/>
  <c r="Y18"/>
  <c r="Z15"/>
  <c r="Y15"/>
  <c r="Z12"/>
  <c r="Y12"/>
  <c r="Y10" s="1"/>
  <c r="Z10"/>
  <c r="Z9" s="1"/>
  <c r="W26"/>
  <c r="V26"/>
  <c r="V25" s="1"/>
  <c r="W25"/>
  <c r="W18"/>
  <c r="V18"/>
  <c r="W15"/>
  <c r="V15"/>
  <c r="W12"/>
  <c r="V12"/>
  <c r="V10" s="1"/>
  <c r="W10"/>
  <c r="W9" s="1"/>
  <c r="T26"/>
  <c r="S26"/>
  <c r="S25" s="1"/>
  <c r="T25"/>
  <c r="T18"/>
  <c r="S18"/>
  <c r="T15"/>
  <c r="S15"/>
  <c r="T12"/>
  <c r="S12"/>
  <c r="S10" s="1"/>
  <c r="T10"/>
  <c r="T9" s="1"/>
  <c r="Q26"/>
  <c r="P26"/>
  <c r="P25" s="1"/>
  <c r="Q25"/>
  <c r="Q24"/>
  <c r="Q18"/>
  <c r="P18"/>
  <c r="Q15"/>
  <c r="P15"/>
  <c r="Q12"/>
  <c r="Q10" s="1"/>
  <c r="Q9" s="1"/>
  <c r="P12"/>
  <c r="P10" s="1"/>
  <c r="P9" s="1"/>
  <c r="N26"/>
  <c r="M26"/>
  <c r="M25" s="1"/>
  <c r="N25"/>
  <c r="N18"/>
  <c r="M18"/>
  <c r="N15"/>
  <c r="M15"/>
  <c r="N12"/>
  <c r="M12"/>
  <c r="M10" s="1"/>
  <c r="N10"/>
  <c r="N9" s="1"/>
  <c r="K26"/>
  <c r="K25" s="1"/>
  <c r="J26"/>
  <c r="J25"/>
  <c r="K24"/>
  <c r="K18"/>
  <c r="J18"/>
  <c r="K15"/>
  <c r="J15"/>
  <c r="K12"/>
  <c r="J12"/>
  <c r="J10" s="1"/>
  <c r="J9" s="1"/>
  <c r="K10"/>
  <c r="Q9" i="47" l="1"/>
  <c r="P9"/>
  <c r="J9"/>
  <c r="V11" i="40"/>
  <c r="AB11"/>
  <c r="AC15"/>
  <c r="AC11" s="1"/>
  <c r="Z11"/>
  <c r="W19"/>
  <c r="W15" s="1"/>
  <c r="W11" s="1"/>
  <c r="T11"/>
  <c r="T15"/>
  <c r="S15"/>
  <c r="S11" s="1"/>
  <c r="P11"/>
  <c r="Q15"/>
  <c r="Q11" s="1"/>
  <c r="K19"/>
  <c r="K15" s="1"/>
  <c r="K11" s="1"/>
  <c r="AB9" i="7"/>
  <c r="V9"/>
  <c r="AB9" i="3"/>
  <c r="Y9"/>
  <c r="V9"/>
  <c r="S9"/>
  <c r="M9"/>
  <c r="K9"/>
  <c r="A5" i="9" l="1"/>
  <c r="D72" i="47" l="1"/>
  <c r="C72"/>
  <c r="D64"/>
  <c r="D58"/>
  <c r="C58"/>
  <c r="D53"/>
  <c r="C53"/>
  <c r="D47"/>
  <c r="C47"/>
  <c r="D36"/>
  <c r="C36"/>
  <c r="D32"/>
  <c r="C32"/>
  <c r="D23"/>
  <c r="D17" s="1"/>
  <c r="C23"/>
  <c r="C17"/>
  <c r="C13" s="1"/>
  <c r="C9" s="1"/>
  <c r="D14"/>
  <c r="C14"/>
  <c r="D10"/>
  <c r="C10"/>
  <c r="A4"/>
  <c r="D13" l="1"/>
  <c r="D9" s="1"/>
  <c r="K21" i="46"/>
  <c r="H34" i="45"/>
  <c r="G34"/>
  <c r="H34" i="44"/>
  <c r="G34"/>
  <c r="I34" i="43"/>
  <c r="H34"/>
  <c r="G34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l="1"/>
  <c r="C9" s="1"/>
  <c r="D10"/>
  <c r="D9" s="1"/>
  <c r="D74" i="40"/>
  <c r="D65"/>
  <c r="D59"/>
  <c r="C59"/>
  <c r="D54"/>
  <c r="C54"/>
  <c r="D48"/>
  <c r="C48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H34" i="30" l="1"/>
  <c r="G34"/>
  <c r="A4"/>
  <c r="H34" i="29"/>
  <c r="G34"/>
  <c r="A4"/>
  <c r="A5" i="28" l="1"/>
  <c r="D31" i="27"/>
  <c r="C31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0"/>
  <c r="G11" s="1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10" i="12"/>
  <c r="D44"/>
  <c r="J9" i="10"/>
  <c r="D25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<sst xmlns="http://schemas.openxmlformats.org/spreadsheetml/2006/main" count="2475" uniqueCount="1318">
  <si>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</si>
  <si>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</si>
  <si>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</si>
  <si>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</si>
  <si>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</si>
  <si>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</si>
  <si>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</si>
  <si>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</si>
  <si>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</si>
  <si>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</si>
  <si>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</si>
  <si>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</si>
  <si>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</si>
  <si>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</si>
  <si>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</si>
  <si>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</si>
  <si>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</si>
  <si>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</si>
  <si>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</si>
  <si>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</si>
  <si>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</si>
  <si>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</si>
  <si>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</si>
  <si>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</si>
  <si>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</si>
  <si>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</si>
  <si>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</si>
  <si>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</si>
  <si>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</si>
  <si>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</si>
  <si>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</si>
  <si>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</si>
  <si>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</si>
  <si>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</si>
  <si>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</si>
  <si>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</si>
  <si>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</si>
  <si>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</si>
  <si>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</si>
  <si>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</si>
  <si>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</si>
  <si>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</si>
  <si>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</si>
  <si>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</si>
  <si>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</si>
  <si>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</si>
  <si>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</si>
  <si>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</si>
  <si>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</si>
  <si>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</si>
  <si>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</si>
  <si>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</si>
  <si>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</si>
  <si>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</si>
  <si>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</si>
  <si>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</si>
  <si>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</si>
  <si>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</si>
  <si>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</si>
  <si>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</si>
  <si>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</si>
  <si>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</si>
  <si>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</si>
  <si>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</si>
  <si>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</si>
  <si>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</si>
  <si>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</si>
  <si>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</si>
  <si>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</si>
  <si>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</si>
  <si>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</si>
  <si>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</si>
  <si>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</si>
  <si>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</si>
  <si>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</si>
  <si>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</si>
  <si>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</si>
  <si>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</si>
  <si>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</si>
  <si>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</si>
  <si>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</si>
  <si>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</si>
  <si>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</si>
  <si>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</si>
  <si>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</si>
  <si>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</si>
  <si>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</si>
  <si>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</si>
  <si>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</si>
  <si>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</si>
  <si>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</si>
  <si>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</si>
  <si>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</si>
  <si>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</si>
  <si>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</si>
  <si>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</si>
  <si>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</si>
  <si>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</si>
  <si>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</si>
  <si>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</si>
  <si>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</si>
  <si>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</si>
  <si>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</si>
  <si>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</si>
  <si>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</si>
  <si>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</si>
  <si>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</si>
  <si>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</si>
  <si>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</si>
  <si>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</si>
  <si>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</si>
  <si>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</si>
  <si>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</si>
  <si>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</si>
  <si>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</si>
  <si>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</si>
  <si>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</si>
  <si>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</si>
  <si>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</si>
  <si>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</si>
  <si>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</si>
  <si>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</si>
  <si>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</si>
  <si>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</si>
  <si>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</si>
  <si>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</si>
  <si>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</si>
  <si>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</si>
  <si>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</si>
  <si>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</si>
  <si>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</si>
  <si>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</si>
  <si>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</si>
  <si>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</si>
  <si>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</si>
  <si>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</si>
  <si>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</si>
  <si>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</si>
  <si>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</si>
  <si>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</si>
  <si>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</si>
  <si>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</si>
  <si>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</si>
  <si>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</si>
  <si>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</si>
  <si>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</si>
  <si>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</si>
  <si>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</si>
  <si>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</si>
  <si>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</si>
  <si>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</si>
  <si>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</si>
  <si>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</si>
  <si>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</si>
  <si>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</si>
  <si>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</si>
  <si>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</si>
  <si>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</si>
  <si>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</si>
  <si>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</si>
  <si>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</si>
  <si>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</si>
  <si>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</si>
  <si>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</si>
  <si>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</si>
  <si>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</si>
  <si>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</si>
  <si>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</si>
  <si>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</si>
  <si>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</si>
  <si>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</si>
  <si>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</si>
  <si>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</si>
  <si>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</si>
  <si>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</si>
  <si>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</si>
  <si>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</si>
  <si>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</si>
  <si>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</si>
  <si>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</si>
  <si>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</si>
  <si>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</si>
  <si>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</si>
  <si>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</si>
  <si>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</si>
  <si>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</si>
  <si>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</si>
  <si>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</si>
  <si>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</si>
  <si>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</si>
  <si>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</si>
  <si>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</si>
  <si>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</si>
  <si>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</si>
  <si>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</si>
  <si>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</si>
  <si>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</si>
  <si>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</si>
  <si>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</si>
  <si>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</si>
  <si>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</si>
  <si>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</si>
  <si>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</si>
  <si>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</si>
  <si>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</si>
  <si>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</si>
  <si>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</si>
  <si>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</si>
  <si>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</si>
  <si>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</si>
  <si>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</si>
  <si>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</si>
  <si>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</si>
  <si>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</si>
  <si>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</si>
  <si>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</si>
  <si>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</si>
  <si>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</si>
  <si>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</si>
  <si>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</si>
  <si>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</si>
  <si>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</si>
  <si>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</si>
  <si>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</si>
  <si>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</si>
  <si>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</si>
  <si>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</si>
  <si>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</si>
  <si>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</si>
  <si>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</si>
  <si>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</si>
  <si>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</si>
  <si>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</si>
  <si>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</si>
  <si>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</si>
  <si>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</si>
  <si>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</si>
  <si>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</si>
  <si>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</si>
  <si>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</si>
  <si>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</si>
  <si>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</si>
  <si>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</si>
  <si>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</si>
  <si>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</si>
  <si>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</si>
  <si>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</si>
  <si>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</si>
  <si>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</si>
  <si>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</si>
  <si>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</si>
  <si>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</si>
  <si>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</si>
  <si>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</si>
  <si>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</si>
  <si>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</si>
  <si>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</si>
  <si>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</si>
  <si>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</si>
  <si>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</si>
  <si>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</si>
  <si>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</si>
  <si>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</si>
  <si>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</si>
  <si>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</si>
  <si>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</si>
  <si>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</si>
  <si>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</si>
  <si>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</si>
  <si>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</si>
  <si>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</si>
  <si>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</si>
  <si>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</si>
  <si>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</si>
  <si>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</si>
  <si>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</si>
  <si>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</si>
  <si>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</si>
  <si>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</si>
  <si>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</si>
  <si>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</si>
  <si>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</si>
  <si>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</si>
  <si>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</si>
  <si>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</si>
  <si>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</si>
  <si>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</si>
  <si>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</si>
  <si>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</si>
  <si>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</si>
  <si>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</si>
  <si>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</si>
  <si>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</si>
  <si>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</si>
  <si>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</si>
  <si>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</si>
  <si>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</si>
  <si>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</si>
  <si>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</si>
  <si>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</si>
  <si>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</si>
  <si>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</si>
  <si>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</si>
  <si>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</si>
  <si>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</si>
  <si>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</si>
  <si>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</si>
  <si>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</si>
  <si>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</si>
  <si>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</si>
  <si>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</si>
  <si>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</si>
  <si>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</si>
  <si>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</si>
  <si>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</si>
  <si>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</si>
  <si>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</si>
  <si>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</si>
  <si>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</si>
  <si>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</si>
  <si>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</si>
  <si>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</si>
  <si>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</si>
  <si>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</si>
  <si>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</si>
  <si>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</si>
  <si>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</si>
  <si>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</si>
  <si>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</si>
  <si>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</si>
  <si>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</si>
  <si>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</si>
  <si>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</si>
  <si>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</si>
  <si>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</si>
  <si>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</si>
  <si>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</si>
  <si>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</si>
  <si>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</si>
  <si>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</si>
  <si>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</si>
  <si>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</si>
  <si>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</si>
  <si>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</si>
  <si>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</si>
  <si>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</si>
  <si>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</si>
  <si>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</si>
  <si>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</si>
  <si>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</si>
  <si>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</si>
  <si>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</si>
  <si>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</si>
  <si>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</si>
  <si>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</si>
  <si>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</si>
  <si>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</si>
  <si>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</si>
  <si>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</si>
  <si>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</si>
  <si>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</si>
  <si>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</si>
  <si>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</si>
  <si>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</si>
  <si>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</si>
  <si>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</si>
  <si>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</si>
  <si>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</si>
  <si>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</si>
  <si>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</si>
  <si>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</si>
  <si>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</si>
  <si>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</si>
  <si>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</si>
  <si>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</si>
  <si>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</si>
  <si>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</si>
  <si>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</si>
  <si>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</si>
  <si>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</si>
  <si>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</si>
  <si>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</si>
  <si>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</si>
  <si>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</si>
  <si>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</si>
  <si>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</si>
  <si>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</si>
  <si>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</si>
  <si>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</si>
  <si>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</si>
  <si>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</si>
  <si>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</si>
  <si>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</si>
  <si>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</si>
  <si>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</si>
  <si>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</si>
  <si>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</si>
  <si>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</si>
  <si>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</si>
  <si>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</si>
  <si>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</si>
  <si>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</si>
  <si>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</si>
  <si>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</si>
  <si>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</si>
  <si>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</si>
  <si>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</si>
  <si>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</si>
  <si>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</si>
  <si>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</si>
  <si>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</si>
  <si>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</si>
  <si>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</si>
  <si>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</si>
  <si>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</si>
  <si>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</si>
  <si>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</si>
  <si>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</si>
  <si>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</si>
  <si>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</si>
  <si>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</si>
  <si>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</si>
  <si>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</si>
  <si>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</si>
  <si>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</si>
  <si>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</si>
  <si>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</si>
  <si>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</si>
  <si>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</si>
  <si>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</si>
  <si>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</si>
  <si>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</si>
  <si>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</si>
  <si>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</si>
  <si>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</si>
  <si>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</si>
  <si>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</si>
  <si>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</si>
  <si>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</si>
  <si>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</si>
  <si>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</si>
  <si>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</si>
  <si>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</si>
  <si>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</si>
  <si>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</si>
  <si>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</si>
  <si>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</si>
  <si>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</si>
  <si>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</si>
  <si>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</si>
  <si>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</si>
  <si>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</si>
  <si>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</si>
  <si>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</si>
  <si>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</si>
  <si>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</si>
  <si>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</si>
  <si>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</si>
  <si>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</si>
  <si>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</si>
  <si>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</si>
  <si>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</si>
  <si>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</si>
  <si>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</si>
  <si>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</si>
  <si>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</si>
  <si>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</si>
  <si>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</si>
  <si>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</si>
  <si>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</si>
  <si>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</si>
  <si>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</si>
  <si>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</si>
  <si>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</si>
  <si>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</si>
  <si>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</si>
  <si>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</si>
  <si>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</si>
  <si>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</si>
  <si>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</si>
  <si>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</si>
  <si>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</si>
  <si>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</si>
  <si>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</si>
  <si>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</si>
  <si>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</si>
  <si>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</si>
  <si>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</si>
  <si>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</si>
  <si>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</si>
  <si>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</si>
  <si>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</si>
  <si>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</si>
  <si>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</si>
  <si>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</si>
  <si>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</si>
  <si>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</si>
  <si>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</si>
  <si>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</si>
  <si>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</si>
  <si>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</si>
  <si>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</si>
  <si>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</si>
  <si>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</si>
  <si>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</si>
  <si>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</si>
  <si>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</si>
  <si>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</si>
  <si>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</si>
  <si>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</si>
  <si>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</si>
  <si>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საარჩევნო ბლოკი ,,ქართული ოცნება"</t>
  </si>
  <si>
    <t>მ.პ.გ. ქართული ოცნება - დემოკრატიული საქართველო</t>
  </si>
  <si>
    <t>01/15/2015</t>
  </si>
  <si>
    <t xml:space="preserve">დიმიტრი ჩქარეული </t>
  </si>
  <si>
    <t>62004015293</t>
  </si>
  <si>
    <t>GE62BG0000000854055400</t>
  </si>
  <si>
    <t>საქართველოს ბანკი</t>
  </si>
  <si>
    <t>02/16/2015</t>
  </si>
  <si>
    <t>03/16/2015</t>
  </si>
  <si>
    <t>02/17/2015</t>
  </si>
  <si>
    <t>არაფულადი შემოწირულობა</t>
  </si>
  <si>
    <t>თამაზ თამაზაშვილი</t>
  </si>
  <si>
    <t>14001001035</t>
  </si>
  <si>
    <t>ქ.დედოფლისწყარო ჰერეთის ქ. #74 მე-2 სართ. 123,24 კვ.მ. საოფისე ფართით (ს.კ. 52,08,33,010) უსასყიდლოდ სარგებლობა 196 დღით</t>
  </si>
  <si>
    <t>04/15/2015</t>
  </si>
  <si>
    <t>დიმიტრი ჩქარეული</t>
  </si>
  <si>
    <t>05/15/2015</t>
  </si>
  <si>
    <t>თოდუა ეთერი</t>
  </si>
  <si>
    <t>19001084319</t>
  </si>
  <si>
    <t>ზუგდიდის რ-ნი ს. ერგეტა 60 კვ.მ საოფისე ფართი. ს.კ. 43.27.41.130</t>
  </si>
  <si>
    <t>შამათავა რამაზი</t>
  </si>
  <si>
    <t>39001034404</t>
  </si>
  <si>
    <t>ს. ფოცხო 70.1 კვ.მ საოფისე ფართი ს.კ.44.08.04.173</t>
  </si>
  <si>
    <t>06/17/2015</t>
  </si>
  <si>
    <t>07/15/2015</t>
  </si>
  <si>
    <t>08/17/2015</t>
  </si>
  <si>
    <t>მიხეილი ბერეზინი</t>
  </si>
  <si>
    <t>35001039578</t>
  </si>
  <si>
    <t>GE19CR0030086131723601</t>
  </si>
  <si>
    <t>ბანკი ქართუ</t>
  </si>
  <si>
    <t>თათია ბარაქაძე</t>
  </si>
  <si>
    <t>17001032973</t>
  </si>
  <si>
    <t>GE15CR0030000001623601</t>
  </si>
  <si>
    <t>ქ. დედოფლისწყარო ჰერეთის ქ. #74 მე-2 სართული - 123,24 კვ.მ. ფართი ს.კ. 52,08,33,010 უსასყიდლოდ სარგებლობა 122 დღით</t>
  </si>
  <si>
    <t>09/15/2015</t>
  </si>
  <si>
    <t>ხათუნა საძაგლიშვილი</t>
  </si>
  <si>
    <t>01015007240</t>
  </si>
  <si>
    <t>საგარეჯოს რაიონი, სოფ. ნინოწმინდა - 159კვ.მ. ფართი ს.კ. 55,13,70,005 უსასყიდლოდ სარგებლობა 57 დღით</t>
  </si>
  <si>
    <t>10/01/2015</t>
  </si>
  <si>
    <t>ფულადი შემოწირულობა</t>
  </si>
  <si>
    <t>ბექა მიქაუტაძე</t>
  </si>
  <si>
    <t>01024000884</t>
  </si>
  <si>
    <t>GE91CR0000000437623601</t>
  </si>
  <si>
    <t>10/02/2015</t>
  </si>
  <si>
    <t>გიგლა აგულაშვილი</t>
  </si>
  <si>
    <t>01005001954</t>
  </si>
  <si>
    <t>GE33CR0000000435873601</t>
  </si>
  <si>
    <t>ირაკლი ხორბალაძე</t>
  </si>
  <si>
    <t>28001021728</t>
  </si>
  <si>
    <t>GE42CR0000000437633601</t>
  </si>
  <si>
    <t>თამარ რომელაშვილი</t>
  </si>
  <si>
    <t>01025005794</t>
  </si>
  <si>
    <t>GE90CR0000000437643601</t>
  </si>
  <si>
    <t>ტრისტან ჯინჭარაძე</t>
  </si>
  <si>
    <t>12002000790</t>
  </si>
  <si>
    <t>GE41CR0000000437653601</t>
  </si>
  <si>
    <t>ხათუნა სამნიძე</t>
  </si>
  <si>
    <t>61001001701</t>
  </si>
  <si>
    <t>GE40CR0000000437673601</t>
  </si>
  <si>
    <t>10/05/2015</t>
  </si>
  <si>
    <t>ნინო ლომიძე</t>
  </si>
  <si>
    <t>62001003351</t>
  </si>
  <si>
    <t>GE88CR0000000437683601</t>
  </si>
  <si>
    <t>10/06/2015</t>
  </si>
  <si>
    <t>დავით ბერძენიშვილი</t>
  </si>
  <si>
    <t>61001015363</t>
  </si>
  <si>
    <t>GE37CR0000000437733601</t>
  </si>
  <si>
    <t>ფრიდონ საყვარელიძე</t>
  </si>
  <si>
    <t>01026001314</t>
  </si>
  <si>
    <t>GE85CR0000000437743601</t>
  </si>
  <si>
    <t>ზვიადი ყვირალაშვილი</t>
  </si>
  <si>
    <t>13001011560</t>
  </si>
  <si>
    <t>GE36CR0000000437753601</t>
  </si>
  <si>
    <t>ვახტანგ ხმალაძე</t>
  </si>
  <si>
    <t>01017006819</t>
  </si>
  <si>
    <t>GE84CR0000000437763601</t>
  </si>
  <si>
    <t>თეიმურაზ ნერგაძე</t>
  </si>
  <si>
    <t>01018001968</t>
  </si>
  <si>
    <t>GE34CR0000000437793601</t>
  </si>
  <si>
    <t>დავით გულორდავა</t>
  </si>
  <si>
    <t>29001013777</t>
  </si>
  <si>
    <t>მარტვილი ს. დიდი ჭყონი სართ.2.  100კვმ საოფისე ფართი ს.კ. 41.15.39.022.01.501. უსასყიდლოდ სარგებლობა 26 დღით.</t>
  </si>
  <si>
    <t>10/12/2015</t>
  </si>
  <si>
    <t>ქობალია ნათია</t>
  </si>
  <si>
    <t>01007010878</t>
  </si>
  <si>
    <t>GE47CR0000000924473601</t>
  </si>
  <si>
    <t>ლეთოდიანი ნათია</t>
  </si>
  <si>
    <t>62001025434</t>
  </si>
  <si>
    <t>GE81CR0000000437823601</t>
  </si>
  <si>
    <t>10/15/2015</t>
  </si>
  <si>
    <t>ჩქარეული დიმიტრი</t>
  </si>
  <si>
    <t>10/20/2015</t>
  </si>
  <si>
    <t>ხიდაშელი თინათინ</t>
  </si>
  <si>
    <t>01014000670</t>
  </si>
  <si>
    <t>GE76CR0000000882183601</t>
  </si>
  <si>
    <t>ბერძენიშვილი ლევან</t>
  </si>
  <si>
    <t>01030007471</t>
  </si>
  <si>
    <t>GE80CR0000000437843601</t>
  </si>
  <si>
    <t>10/26/2015</t>
  </si>
  <si>
    <t>ებანოიძე ნოდარ</t>
  </si>
  <si>
    <t>56001002576</t>
  </si>
  <si>
    <t>GE32CR0000000437833601</t>
  </si>
  <si>
    <t>მუჩიაშვილი ვაჟა</t>
  </si>
  <si>
    <t>36001031692</t>
  </si>
  <si>
    <t>საგარეჯოს რაიონი, სოფ. პატარძეული, 40კვ. მ. ს.კ. 55.14.72.023 საოფისე ფართი უსასყიდლოდ 6 დღე</t>
  </si>
  <si>
    <t>გივიშვილი დავითი</t>
  </si>
  <si>
    <t>36001024267</t>
  </si>
  <si>
    <t>საგარეჯოს რაიონი, სოფ. ნინოწმინდა, 30კვ.მ. ს.კ. 55.13.70.037 საოფისე ფართი უსასყიდლოდ 6 დღით</t>
  </si>
  <si>
    <t>11/16/2015</t>
  </si>
  <si>
    <t>11/24/2015</t>
  </si>
  <si>
    <t>ილია კეჭაყმაძე</t>
  </si>
  <si>
    <t>33001003424</t>
  </si>
  <si>
    <t>GE98CR0000000906963601</t>
  </si>
  <si>
    <t>აკაკი კორძაძე</t>
  </si>
  <si>
    <t>17001002591</t>
  </si>
  <si>
    <t>GE88PG0000001022253335</t>
  </si>
  <si>
    <t>პროგრეს ბანკი</t>
  </si>
  <si>
    <t>ეკატერინე მაჭავარიანი</t>
  </si>
  <si>
    <t>01008014968</t>
  </si>
  <si>
    <t>GE94PG0000001000177773</t>
  </si>
  <si>
    <t>ბესიკი შუბითიძე</t>
  </si>
  <si>
    <t>01010012782</t>
  </si>
  <si>
    <t>GE40PG0000001078905788</t>
  </si>
  <si>
    <t>გიორგი ჯუღელი</t>
  </si>
  <si>
    <t>33001009786</t>
  </si>
  <si>
    <t>GE55CR0120007001163601</t>
  </si>
  <si>
    <t>მარინა დოლიძე - კეჭაყმაძე</t>
  </si>
  <si>
    <t>33001003419</t>
  </si>
  <si>
    <t>GE87CR0000000440613601</t>
  </si>
  <si>
    <t>11/27/2015</t>
  </si>
  <si>
    <t>ბადრი არეშიძე</t>
  </si>
  <si>
    <t>01006007706</t>
  </si>
  <si>
    <t>GE06PG0000001074141954</t>
  </si>
  <si>
    <t>ზვიადი იმედიძე</t>
  </si>
  <si>
    <t>01017001146</t>
  </si>
  <si>
    <t>GE93PG0000001005005190</t>
  </si>
  <si>
    <t>ნუგზარი დვალი</t>
  </si>
  <si>
    <t>35001019986</t>
  </si>
  <si>
    <t>GE15PG0000001023234349</t>
  </si>
  <si>
    <t>12/15/2015</t>
  </si>
  <si>
    <t>12/24/2015</t>
  </si>
  <si>
    <t>ჯაფარიძე რამაზ</t>
  </si>
  <si>
    <t>01008038941</t>
  </si>
  <si>
    <t>GE26CR0120007019203601</t>
  </si>
  <si>
    <t>ჭელიძე ზურაბ</t>
  </si>
  <si>
    <t>01005008948</t>
  </si>
  <si>
    <t>GE67CR0000002002713601</t>
  </si>
  <si>
    <t>ჯაჯანიძე დავით</t>
  </si>
  <si>
    <t>65002003996</t>
  </si>
  <si>
    <t>GE18CR0000002002723601</t>
  </si>
  <si>
    <t>01.01.-31.03.2015</t>
  </si>
  <si>
    <t>01.04.-08.06.2015</t>
  </si>
  <si>
    <t>09.06.-30.08.2015</t>
  </si>
  <si>
    <t>31.08.-19.11.2015</t>
  </si>
  <si>
    <t>20.11.-08.12.2015</t>
  </si>
  <si>
    <t>09.12.-29.12.2015</t>
  </si>
  <si>
    <t>30.12.-31.12.2015</t>
  </si>
  <si>
    <t>20.11-08.12.2015</t>
  </si>
  <si>
    <t>09.12-29.12.2015</t>
  </si>
  <si>
    <t>30.12-31.12.2015</t>
  </si>
  <si>
    <t>იურიდიული მომსახურეობა</t>
  </si>
  <si>
    <t>ბიუჯეტში თანხის დაბრუნება (კომიისიის წარმომადგენლები)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</si>
  <si>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</si>
  <si>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</si>
  <si>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</si>
  <si>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</si>
  <si>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</si>
  <si>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</si>
  <si>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</si>
  <si>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</si>
  <si>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 xml:space="preserve">ირაკლი </t>
  </si>
  <si>
    <t>კობახიძე</t>
  </si>
  <si>
    <t>01009010293</t>
  </si>
  <si>
    <t>სამუშაო ვიზიტი</t>
  </si>
  <si>
    <t>უნგრეთი ბუდაპეშტი</t>
  </si>
  <si>
    <t xml:space="preserve">დიმიტრი </t>
  </si>
  <si>
    <t>ცქიტიშვილი</t>
  </si>
  <si>
    <t>01005004300</t>
  </si>
  <si>
    <t>მანანა</t>
  </si>
  <si>
    <t>ჩინეთი პეკინი</t>
  </si>
  <si>
    <t>კახა</t>
  </si>
  <si>
    <t>კალაძე</t>
  </si>
  <si>
    <t xml:space="preserve">თეიმურაზ </t>
  </si>
  <si>
    <t>ჭკუასელი</t>
  </si>
  <si>
    <t>არჩილ</t>
  </si>
  <si>
    <t>ხაბაძე</t>
  </si>
  <si>
    <t>6100300785</t>
  </si>
  <si>
    <t>დავით</t>
  </si>
  <si>
    <t>საგანელიძე</t>
  </si>
  <si>
    <t>01008006729</t>
  </si>
  <si>
    <t>ლიტვა ვილნიუსი</t>
  </si>
  <si>
    <t>ბათუმი</t>
  </si>
  <si>
    <t xml:space="preserve">თევდორე </t>
  </si>
  <si>
    <t>ისაკაძე</t>
  </si>
  <si>
    <t>სამსახურეობრივი</t>
  </si>
  <si>
    <t>01006005087</t>
  </si>
  <si>
    <t>საარჩევნო კომისიაში წარმომადგენლები</t>
  </si>
  <si>
    <t>კოორდინატორები</t>
  </si>
  <si>
    <t>ბანერის დამზადება</t>
  </si>
  <si>
    <t>ბეჭდვითი მომსახურეობა</t>
  </si>
  <si>
    <t>სასცენო აპარატურით მომსახურეობა</t>
  </si>
  <si>
    <t>კვლევა</t>
  </si>
  <si>
    <t>აგიტატორები</t>
  </si>
  <si>
    <t>საბეჭდი მასალის მომზადება ( კონტენტი; დაკაბადონება, დიზაინი, ფოტო სესია)</t>
  </si>
  <si>
    <t>წარმომადგენლები კომისიებში</t>
  </si>
  <si>
    <t>საშემოსავლო</t>
  </si>
  <si>
    <t>ბანერის ბეჭდვითი ხარჯი (საკონფერენციო დარბაზისთვის)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</si>
  <si>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</si>
  <si>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</si>
  <si>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</si>
  <si>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</si>
  <si>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</si>
  <si>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</si>
  <si>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</si>
  <si>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</si>
  <si>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</si>
  <si>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</si>
  <si>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ბილბორდი</t>
  </si>
  <si>
    <t>შ.პ.ს. ალმა</t>
  </si>
  <si>
    <t>25.09.2015-31.10.2015</t>
  </si>
  <si>
    <t>სოსო დანელი</t>
  </si>
  <si>
    <t>კვ.მ</t>
  </si>
  <si>
    <t>ბეჭდვა და გაკვრა</t>
  </si>
  <si>
    <t xml:space="preserve">შ.პ.ს. ოდისია პრომოუშენ </t>
  </si>
  <si>
    <t>01.10.2015-31.10.2015</t>
  </si>
  <si>
    <t>თამარი ხიდაშელი</t>
  </si>
  <si>
    <t>შ.პ.ს. სოკარ ჯორჯია გაზი</t>
  </si>
  <si>
    <t>06.10.2015-31.10.2015</t>
  </si>
  <si>
    <t>ფართის იჯარა</t>
  </si>
  <si>
    <t>შ.პ.ს. პრინტი</t>
  </si>
  <si>
    <t>ბეჭდვა, მონტაჟი - დემონტაჟი</t>
  </si>
  <si>
    <t>ბეჭდური რეკლამი ხარჯი</t>
  </si>
  <si>
    <t>შ.პ.ს. საგარეჯოს მუნიციპალიტეტის საინფორმაციო გაზეთი გარეჯის მაცნე</t>
  </si>
  <si>
    <t>22.10.2015-28.10.2015</t>
  </si>
  <si>
    <t>კვ.სმ</t>
  </si>
  <si>
    <t xml:space="preserve">#20  </t>
  </si>
  <si>
    <t>25.10.2015-31.10.2015</t>
  </si>
  <si>
    <t>ტრეინინგის ხარჯი</t>
  </si>
  <si>
    <t>GE51CR0000000004933608</t>
  </si>
  <si>
    <t>GEL</t>
  </si>
  <si>
    <t>5/16/2012</t>
  </si>
  <si>
    <t>GE51CR0000000004933618</t>
  </si>
  <si>
    <t>USD</t>
  </si>
  <si>
    <t>EURO</t>
  </si>
  <si>
    <t>მიღებულია ბანკიდან</t>
  </si>
  <si>
    <t>საარჩ. კომის.წარმომადგენელთა ანაზღაურება</t>
  </si>
  <si>
    <t>11/25/2015</t>
  </si>
  <si>
    <t>შეტანილია ბანკში</t>
  </si>
  <si>
    <t>მსუბუქი მაღალი გამავლობის</t>
  </si>
  <si>
    <t>ტოიოტა</t>
  </si>
  <si>
    <t>PRADO</t>
  </si>
  <si>
    <t>FFT-388</t>
  </si>
  <si>
    <t>05/14/2013</t>
  </si>
  <si>
    <t>ვენი</t>
  </si>
  <si>
    <t xml:space="preserve">ფორდ </t>
  </si>
  <si>
    <t xml:space="preserve">ტრანზიტ </t>
  </si>
  <si>
    <t>2000</t>
  </si>
  <si>
    <t>VA535XO</t>
  </si>
  <si>
    <t>შ.პ.ს. გოგი</t>
  </si>
  <si>
    <t>1995</t>
  </si>
  <si>
    <t>VEV868</t>
  </si>
  <si>
    <t xml:space="preserve">ფორდ   </t>
  </si>
  <si>
    <t>1998</t>
  </si>
  <si>
    <t>CHC722</t>
  </si>
  <si>
    <t>RGR680</t>
  </si>
  <si>
    <t>RAJ923</t>
  </si>
  <si>
    <t>1994</t>
  </si>
  <si>
    <t>AGS222</t>
  </si>
  <si>
    <t>1993</t>
  </si>
  <si>
    <t>FIF856</t>
  </si>
  <si>
    <t>1992</t>
  </si>
  <si>
    <t>ZGZ550</t>
  </si>
  <si>
    <t>EEU964</t>
  </si>
  <si>
    <t>1996</t>
  </si>
  <si>
    <t>SAN871</t>
  </si>
  <si>
    <t>ZAZ453</t>
  </si>
  <si>
    <t>HTH931</t>
  </si>
  <si>
    <t>FBF748</t>
  </si>
  <si>
    <t>მერსედეს</t>
  </si>
  <si>
    <t>სპრინტერ</t>
  </si>
  <si>
    <t>1997</t>
  </si>
  <si>
    <t>SO100SI</t>
  </si>
  <si>
    <t>LIG075</t>
  </si>
  <si>
    <t>2002</t>
  </si>
  <si>
    <t>QO100TA</t>
  </si>
  <si>
    <t>1999</t>
  </si>
  <si>
    <t>QOT100</t>
  </si>
  <si>
    <t>MGO100</t>
  </si>
  <si>
    <t>ავტობუსი</t>
  </si>
  <si>
    <t>რენაულტი</t>
  </si>
  <si>
    <t>SRF 115</t>
  </si>
  <si>
    <t>BFB361</t>
  </si>
  <si>
    <t>01011001183</t>
  </si>
  <si>
    <t>ი/მ გელა თამაზაშვილი</t>
  </si>
  <si>
    <t>სეტრა</t>
  </si>
  <si>
    <t>S315 HD</t>
  </si>
  <si>
    <t>GLG319</t>
  </si>
  <si>
    <t>ი/მ ნუგზარი ქურხული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</si>
  <si>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</si>
  <si>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</si>
  <si>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</si>
  <si>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</si>
  <si>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</si>
  <si>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</si>
  <si>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</si>
  <si>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</si>
  <si>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</si>
  <si>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</si>
  <si>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</si>
  <si>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</si>
  <si>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</si>
  <si>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</si>
  <si>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</si>
  <si>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</si>
  <si>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</si>
  <si>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</si>
  <si>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</si>
  <si>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</si>
  <si>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</si>
  <si>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</si>
  <si>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</si>
  <si>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</si>
  <si>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</si>
  <si>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</si>
  <si>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</si>
  <si>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</si>
  <si>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</si>
  <si>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</si>
  <si>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</si>
  <si>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</si>
  <si>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</si>
  <si>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</si>
  <si>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</si>
  <si>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</si>
  <si>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</si>
  <si>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</si>
  <si>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</si>
  <si>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</si>
  <si>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</si>
  <si>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</si>
  <si>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</si>
  <si>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</si>
  <si>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</si>
  <si>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</si>
  <si>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</si>
  <si>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</si>
  <si>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</si>
  <si>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</si>
  <si>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</si>
  <si>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</si>
  <si>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</si>
  <si>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</si>
  <si>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</si>
  <si>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</si>
  <si>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</si>
  <si>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</si>
  <si>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</si>
  <si>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</si>
  <si>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</si>
  <si>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</si>
  <si>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</si>
  <si>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</si>
  <si>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</si>
  <si>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</si>
  <si>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</si>
  <si>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</si>
  <si>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</si>
  <si>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</si>
  <si>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</si>
  <si>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</si>
  <si>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</si>
  <si>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</si>
  <si>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</si>
  <si>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</si>
  <si>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</si>
  <si>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</si>
  <si>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</si>
  <si>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</si>
  <si>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</si>
  <si>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</si>
  <si>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</si>
  <si>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</si>
  <si>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</si>
  <si>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</si>
  <si>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</si>
  <si>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</si>
  <si>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</si>
  <si>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</si>
  <si>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</si>
  <si>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</si>
  <si>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</si>
  <si>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</si>
  <si>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</si>
  <si>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</si>
  <si>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</si>
  <si>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</si>
  <si>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</si>
  <si>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</si>
  <si>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</si>
  <si>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</si>
  <si>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</si>
  <si>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</si>
  <si>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</si>
  <si>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</si>
  <si>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</si>
  <si>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</si>
  <si>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</si>
  <si>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</si>
  <si>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</si>
  <si>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</si>
  <si>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</si>
  <si>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</si>
  <si>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</si>
  <si>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</si>
  <si>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</si>
  <si>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</si>
  <si>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</si>
  <si>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</si>
  <si>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</si>
  <si>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</si>
  <si>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</si>
  <si>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</si>
  <si>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</si>
  <si>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</si>
  <si>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</si>
  <si>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</si>
  <si>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</si>
  <si>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</si>
  <si>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</si>
  <si>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</si>
  <si>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</si>
  <si>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</si>
  <si>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</si>
  <si>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</si>
  <si>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</si>
  <si>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</si>
  <si>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</si>
  <si>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</si>
  <si>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</si>
  <si>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</si>
  <si>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</si>
  <si>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</si>
  <si>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</si>
  <si>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</si>
  <si>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</si>
  <si>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</si>
  <si>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</si>
  <si>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</si>
  <si>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</si>
  <si>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</si>
  <si>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</si>
  <si>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ეიდიესეს პრინტი</t>
  </si>
  <si>
    <t>ბეჭდვითი მომსახურება</t>
  </si>
  <si>
    <t>შპს რეი ლაითი</t>
  </si>
  <si>
    <t>400006578</t>
  </si>
  <si>
    <t>ბადრი კვარაცხელია</t>
  </si>
  <si>
    <t>571107350622</t>
  </si>
  <si>
    <t>შპს სახლი ძველ ბათუმში</t>
  </si>
  <si>
    <t>445433610</t>
  </si>
  <si>
    <t>ლაშა ესართია ი/მ</t>
  </si>
  <si>
    <t>48001004194</t>
  </si>
  <si>
    <t>ზურაბ ჯანგირაშვილი</t>
  </si>
  <si>
    <t>60001129329</t>
  </si>
  <si>
    <t>რევაზი ქუქჩიშვილი</t>
  </si>
  <si>
    <t>47001003904</t>
  </si>
  <si>
    <t>ლევან ელიაური</t>
  </si>
  <si>
    <t>01013004758</t>
  </si>
  <si>
    <t>ხიდირნაბ დაშდამიროვი</t>
  </si>
  <si>
    <t>15001002982</t>
  </si>
  <si>
    <t>ელინა ჩამურლიევა</t>
  </si>
  <si>
    <t>52001008156</t>
  </si>
  <si>
    <t>01.01.2015-31.12.2015</t>
  </si>
  <si>
    <t>01008000293</t>
  </si>
  <si>
    <t>01007001321</t>
  </si>
  <si>
    <t>01010001112</t>
  </si>
  <si>
    <t>გორი, წერეთლის ქ. #3</t>
  </si>
  <si>
    <t>12 თვე</t>
  </si>
  <si>
    <t>59001013426</t>
  </si>
  <si>
    <t xml:space="preserve">რაზმიაშვილი ანა ი/მ </t>
  </si>
  <si>
    <t>ქ. თბილისი  ვეკუა ქ. #10</t>
  </si>
  <si>
    <t>01001024792</t>
  </si>
  <si>
    <t>კაპანაძე მარსელი ი/მ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</si>
  <si>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</si>
  <si>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</si>
  <si>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</si>
  <si>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</si>
  <si>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</si>
  <si>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</si>
  <si>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</si>
  <si>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</si>
  <si>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</si>
  <si>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</si>
  <si>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</si>
  <si>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</si>
  <si>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</si>
  <si>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</si>
  <si>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</si>
  <si>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</si>
  <si>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</si>
  <si>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</si>
  <si>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</si>
  <si>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</si>
  <si>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</si>
  <si>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</si>
  <si>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</si>
  <si>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</si>
  <si>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</si>
  <si>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</si>
  <si>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</si>
  <si>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</si>
  <si>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</si>
  <si>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</si>
  <si>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ლევან</t>
  </si>
  <si>
    <t>ელიაური</t>
  </si>
  <si>
    <t>დ. ჩხოროწყუ დ. აღმაშენებლის ქ. #13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</si>
  <si>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</si>
  <si>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</si>
  <si>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</si>
  <si>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შუახევი დ. შუახევი რუსთაველის ქ. #27</t>
  </si>
  <si>
    <t>447860020</t>
  </si>
  <si>
    <t>სპს ოთარ სურმანიძე და კომპანია</t>
  </si>
  <si>
    <t>ქედა, აბუსერიძის ქ. #11</t>
  </si>
  <si>
    <t>ამირან დიასამიძე ი/მ</t>
  </si>
  <si>
    <t>ქ. ნინოწმინდა, თავისუფლების ქ. #25</t>
  </si>
  <si>
    <t>32001016304</t>
  </si>
  <si>
    <t>მზიკიან მამბრე ი/მ</t>
  </si>
  <si>
    <t>ქ. თბილისი, გორგასალის ქ. 77</t>
  </si>
  <si>
    <t>01011019836</t>
  </si>
  <si>
    <t>მიხეილ</t>
  </si>
  <si>
    <t>ნამიჭეიშვილი</t>
  </si>
  <si>
    <t>ქ. ყვარელი, შ. რუსთაველის ქ. #4</t>
  </si>
  <si>
    <t>4 თვე</t>
  </si>
  <si>
    <t>241582373</t>
  </si>
  <si>
    <t>შპს კახეთის ღვინის მარანი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</si>
  <si>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</si>
  <si>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</si>
  <si>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</si>
  <si>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</si>
  <si>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</si>
  <si>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</si>
  <si>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</si>
  <si>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</si>
  <si>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</si>
  <si>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</si>
  <si>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</si>
  <si>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</si>
  <si>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</si>
  <si>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</si>
  <si>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</si>
  <si>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საგარეჯო, დ. აღმაშენებლის ქ. #10</t>
  </si>
  <si>
    <t>3 თვე</t>
  </si>
  <si>
    <t>ლეილა</t>
  </si>
  <si>
    <t>ოდიკაძე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</si>
  <si>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</si>
  <si>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</si>
  <si>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</si>
  <si>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</si>
  <si>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</si>
  <si>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</si>
  <si>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</si>
  <si>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</si>
  <si>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</si>
  <si>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</si>
  <si>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</si>
  <si>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</si>
  <si>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ნინო</t>
  </si>
  <si>
    <t>ჩოფიკაშვილი</t>
  </si>
  <si>
    <t>ქ. კასპი მ. კოსტავას ქ. #5</t>
  </si>
  <si>
    <t>ხვთისიაშვილი</t>
  </si>
  <si>
    <t>ქ. ამბროლაური, კოსტავას ქ. #1</t>
  </si>
  <si>
    <t>04001002669</t>
  </si>
  <si>
    <t>ციცინო</t>
  </si>
  <si>
    <t>ნეფარიძე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</si>
  <si>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</si>
  <si>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</si>
  <si>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</si>
  <si>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</si>
  <si>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</si>
  <si>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</si>
  <si>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</si>
  <si>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თბილისი, მოსკოვის გამზ. #35 ბ. 61</t>
  </si>
  <si>
    <t>01029005026</t>
  </si>
  <si>
    <t>შოთა</t>
  </si>
  <si>
    <t>ჩაჩუა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</si>
  <si>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</si>
  <si>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</si>
  <si>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</si>
  <si>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</si>
  <si>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</si>
  <si>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</si>
  <si>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</si>
  <si>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</si>
  <si>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</si>
  <si>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</si>
  <si>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</si>
  <si>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</si>
  <si>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</si>
  <si>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</si>
  <si>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</si>
  <si>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</si>
  <si>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</si>
  <si>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</si>
  <si>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</si>
  <si>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</si>
  <si>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</si>
  <si>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</si>
  <si>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</si>
  <si>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</si>
  <si>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</si>
  <si>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</si>
  <si>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</si>
  <si>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თამარი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</si>
  <si>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</si>
  <si>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</si>
  <si>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</si>
  <si>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</si>
  <si>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</si>
  <si>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</si>
  <si>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</si>
  <si>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</si>
  <si>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</si>
  <si>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</si>
  <si>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</si>
  <si>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</si>
  <si>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</si>
  <si>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</si>
  <si>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</si>
  <si>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</si>
  <si>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</si>
  <si>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</si>
  <si>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</si>
  <si>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</si>
  <si>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</si>
  <si>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</si>
  <si>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</si>
  <si>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</si>
  <si>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</si>
  <si>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</si>
  <si>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</si>
  <si>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</si>
  <si>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</si>
  <si>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</si>
  <si>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</si>
  <si>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</si>
  <si>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</si>
  <si>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</si>
  <si>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</si>
  <si>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</si>
  <si>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</si>
  <si>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ქ. დმანისი, 9 აპრილის ქ. #67</t>
  </si>
  <si>
    <t>ხიდირნაბი</t>
  </si>
  <si>
    <t>დაშდამიროვი</t>
  </si>
  <si>
    <t>ქ. ხონი, მოსე ხონელის ქ. #5</t>
  </si>
  <si>
    <t>11,5 თვე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</si>
  <si>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</si>
  <si>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</si>
  <si>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</si>
  <si>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</si>
  <si>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</si>
  <si>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</si>
  <si>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ქ. დუშეთი, სტალინის ქ. #88</t>
  </si>
  <si>
    <t>01017019404</t>
  </si>
  <si>
    <t>ქ. დედოფლისწყარო, ჰერეთის ქ. #74</t>
  </si>
  <si>
    <t>10.5 თვე</t>
  </si>
  <si>
    <t>123,24</t>
  </si>
  <si>
    <t>730</t>
  </si>
  <si>
    <t>თამაზაშვილი</t>
  </si>
  <si>
    <t>ქ. რუსთავი, კოსტავას ქ. #14 ბ. #48</t>
  </si>
  <si>
    <t>9 თვე</t>
  </si>
  <si>
    <t>1000</t>
  </si>
  <si>
    <t>35001024663</t>
  </si>
  <si>
    <t>თათია</t>
  </si>
  <si>
    <t>კობრეშვილი</t>
  </si>
  <si>
    <t>ქ. თბილისი, ალ. ყაზბეგის გამზირი #29ა ბ. #98</t>
  </si>
  <si>
    <t>8 თვე</t>
  </si>
  <si>
    <t>01024003515</t>
  </si>
  <si>
    <t>ელენე ძოწენიძე ი/მ</t>
  </si>
  <si>
    <t>ქ. თბილისი, მარჯანიშვილის ქ. #37/ ქ. თბილისი, ივ. ჯავახიშვილის ქ. #78</t>
  </si>
  <si>
    <t>7 თვე</t>
  </si>
  <si>
    <t>01019022685</t>
  </si>
  <si>
    <t>მოწონელიძე</t>
  </si>
  <si>
    <t>ქ. თელავი, ჯორჯიაშვილის ქ. #7ა</t>
  </si>
  <si>
    <t>01026004996</t>
  </si>
  <si>
    <t>ალექსანდრე</t>
  </si>
  <si>
    <t>მალუძე</t>
  </si>
  <si>
    <t>ქ. ხობი, 9 აპრილის ქ. #3</t>
  </si>
  <si>
    <t>2,5 თვე</t>
  </si>
  <si>
    <t>244552480</t>
  </si>
  <si>
    <t>შპს ლასარი</t>
  </si>
  <si>
    <t>ქ. თბილისი, მურმან ლებანიძის ქ. #7 ბ. #3</t>
  </si>
  <si>
    <t>მგალობლიშვილი</t>
  </si>
  <si>
    <t>ქ. ბათუმი, მარჯანიშვილის და ასათიანის კვეთა</t>
  </si>
  <si>
    <t>2 თვე</t>
  </si>
  <si>
    <t>ლენტეხი, დაბა ლენტეხი, სტალინის ქ. #8</t>
  </si>
  <si>
    <t>1 თვე</t>
  </si>
  <si>
    <t>ნათელა</t>
  </si>
  <si>
    <t>ქურასბედიანი</t>
  </si>
  <si>
    <t>ქ. თერჯოლა, რუსთაველის ქ. #105</t>
  </si>
  <si>
    <t>6 თვე</t>
  </si>
  <si>
    <t>21001015020</t>
  </si>
  <si>
    <t>ჩუბინიძე დარეჯანი ი/მ</t>
  </si>
  <si>
    <t>ქ. გარდაბანი, დ. აღმაშენებლის ქ. #48</t>
  </si>
  <si>
    <t>ფუატ</t>
  </si>
  <si>
    <t>მამედოვი</t>
  </si>
  <si>
    <t>ქ. თბილისი, გამსახურდიას გამზ. #10 ბ. 2</t>
  </si>
  <si>
    <t>01021005700</t>
  </si>
  <si>
    <t>თინა</t>
  </si>
  <si>
    <t>შარიქაძე</t>
  </si>
  <si>
    <t>ქ.ხობი, ცოტნე დადიანის ქ. N 169</t>
  </si>
  <si>
    <t>9,5 თვე</t>
  </si>
  <si>
    <t>58001030178</t>
  </si>
  <si>
    <t>მედეა</t>
  </si>
  <si>
    <t>თათარიშვილი</t>
  </si>
  <si>
    <t>საქართველო, სოფ. ფოცხო</t>
  </si>
  <si>
    <t>0,5 თვე</t>
  </si>
  <si>
    <t xml:space="preserve"> რამაზი</t>
  </si>
  <si>
    <t>შამათავა</t>
  </si>
  <si>
    <t>ზუგდიდის რაიონი, სოფ. ერგეტა</t>
  </si>
  <si>
    <t>ეთერი</t>
  </si>
  <si>
    <t>თოდუა</t>
  </si>
  <si>
    <t>ქ.მარტვილი, მშვიდობის ქ. N 35</t>
  </si>
  <si>
    <t>203834075</t>
  </si>
  <si>
    <t>შპს ავერსი-გეოფარმი</t>
  </si>
  <si>
    <t>მარტვილი, სოფელი ბანძა, სართული 1, ბინა N 2</t>
  </si>
  <si>
    <t>01017008788</t>
  </si>
  <si>
    <t>გახოკიძე</t>
  </si>
  <si>
    <t>მარტვილი, სოფელი დიდი ჭყონი, სართული 2</t>
  </si>
  <si>
    <t>გულორდავა</t>
  </si>
  <si>
    <t>ქ.თერჯოლა, შ.რუსთაველის ქ. N 107</t>
  </si>
  <si>
    <t>11 თვე</t>
  </si>
  <si>
    <t>21001006430</t>
  </si>
  <si>
    <t>ირმა</t>
  </si>
  <si>
    <t>ლაფაჩი</t>
  </si>
  <si>
    <t>ქ.ქუთაისი, ხახანაშვილის ქ. N 14</t>
  </si>
  <si>
    <t>10,5 თვე</t>
  </si>
  <si>
    <t>60002008198</t>
  </si>
  <si>
    <t>ჭიხორია</t>
  </si>
  <si>
    <t>ლენტეხი, დაბა ლენტეხი, თამარ მეფის ქუჩა (სასტუმრო „სვანეთი“)</t>
  </si>
  <si>
    <t>10 თვე</t>
  </si>
  <si>
    <t>გუგავა</t>
  </si>
  <si>
    <t>ქ.თელავი, გვირაბის ქ. N 12</t>
  </si>
  <si>
    <t>5 თვე</t>
  </si>
  <si>
    <t>20001004347</t>
  </si>
  <si>
    <t>მერაბი</t>
  </si>
  <si>
    <t>პაპუაშვილი</t>
  </si>
  <si>
    <t>საგარეჯო, დ.აღმაშენებლის ქ. N 10</t>
  </si>
  <si>
    <t>36001032311</t>
  </si>
  <si>
    <t>მეზვრიშვილი</t>
  </si>
  <si>
    <t>საგარეჯო, დ.აღმაშენებლის ქ. N 30</t>
  </si>
  <si>
    <t>01026003182</t>
  </si>
  <si>
    <t>ბუზარიაშვილი ანა ი/მ</t>
  </si>
  <si>
    <t>საგარეჯოს რაიონი, სოფ. ნინოწმინდა</t>
  </si>
  <si>
    <t>ხათუნა</t>
  </si>
  <si>
    <t>საძაგლიშვილი</t>
  </si>
  <si>
    <t>საგარეჯო, სოფელი იორმუღანლო</t>
  </si>
  <si>
    <t>1,5 თვე</t>
  </si>
  <si>
    <t>36001034865</t>
  </si>
  <si>
    <t>ალაზოვი ალი ი/მ</t>
  </si>
  <si>
    <t>6 დღე</t>
  </si>
  <si>
    <t>დავითი</t>
  </si>
  <si>
    <t>გივიშვილი</t>
  </si>
  <si>
    <t>საგარეჯოს რაიონი, სოფ. პატარძეული</t>
  </si>
  <si>
    <t>ვაჟა</t>
  </si>
  <si>
    <t>მუჩიაშვილი</t>
  </si>
  <si>
    <t>ქ.ყვარელი, შ.რუსთაველის ქ. N 4</t>
  </si>
  <si>
    <t>შპს ერ სი აი ჯორჯია</t>
  </si>
  <si>
    <t>საქართველო, ქედა, აღმაშენებლის ქ. N 8</t>
  </si>
  <si>
    <t>ფართის დათმობა</t>
  </si>
  <si>
    <t>1 დღე</t>
  </si>
  <si>
    <t>61008001997</t>
  </si>
  <si>
    <t>ა(ა)იპ „ქედის კულტურის ცენტრი“</t>
  </si>
  <si>
    <t>საქართველო, შუახევი, დაბა შუახევი, რუსთაველის ქ. N 15</t>
  </si>
  <si>
    <t>61007001659</t>
  </si>
  <si>
    <t>შპს ბომბორა 2</t>
  </si>
  <si>
    <t>საქართველო, ხელვაჩაურის რაიონი, სოფელი თხილნარი</t>
  </si>
  <si>
    <t>61007006944</t>
  </si>
  <si>
    <t>ა(ა)იპ „ხელვაჩაურის კულტურის ცენტრი“</t>
  </si>
  <si>
    <t>საქართველო, ქ.ლანჩხუთი, ჟორდანიას ქ. N 103</t>
  </si>
  <si>
    <t>26001001196</t>
  </si>
  <si>
    <t>ღლონტი სიმონ ი/მ</t>
  </si>
  <si>
    <t>საქართველო, ქ.ქობულეთი, დავით აღმაშენებლის გამზირი N 114</t>
  </si>
  <si>
    <t>61004008322</t>
  </si>
  <si>
    <t>ა(ა)იპ „ქობულეთის კულტურის ცენტრი“</t>
  </si>
  <si>
    <t>საქართველო, ქ.ჩოხატაური, დუმბაძის ქ. N 5</t>
  </si>
  <si>
    <t>46001000726</t>
  </si>
  <si>
    <t>ლევანი</t>
  </si>
  <si>
    <t>ბაიაჯანი</t>
  </si>
  <si>
    <t>საქართველო, ქ.თერჯოლა, შოთა რუსთაველის ქ. N 103</t>
  </si>
  <si>
    <t>01010004388</t>
  </si>
  <si>
    <t>თვითმმართველი თემი თერჯოლის მუნიციპალიტეტი</t>
  </si>
  <si>
    <t>საქართველო, დაბა ხარაგაული, სოლომონ მეფის ქ. N 12</t>
  </si>
  <si>
    <t>56001005854</t>
  </si>
  <si>
    <t>ა(ა)იპ „ხარაგაულის კულტურის ცენტრი“</t>
  </si>
  <si>
    <t>საქართველო, ქ.ხონი, პოლიკარპე კაკაბაძის ქ. N 15</t>
  </si>
  <si>
    <t>55001003632</t>
  </si>
  <si>
    <t>თვითმმართველი თემი ხონის მუნიციპალიტეტი</t>
  </si>
  <si>
    <t>საქართველო, ქ.სენაკი, ჭავჭავაძის ქ. N 101</t>
  </si>
  <si>
    <t>39001031574</t>
  </si>
  <si>
    <t>სსიპ სენაკის აკაკი ხორავას სახელობის პროფესიული სახელმწიფო დრამატული თეატრი</t>
  </si>
  <si>
    <t>საქართველო, ქ.ფოთი, რუსთაველის რკალი N 28</t>
  </si>
  <si>
    <t>42001002286</t>
  </si>
  <si>
    <t>სსიპ ქ.ფოთის ვალერიან გუნიას სახელობის პროფესიული სახელმწიფო თეატრი</t>
  </si>
  <si>
    <t>საქართველო, ქ.ხობი, სტალინის ქ. N 12</t>
  </si>
  <si>
    <t>244688600</t>
  </si>
  <si>
    <t>თვითმმართველი თემი ხობის მუნიციპალიტეტი</t>
  </si>
  <si>
    <t>საგარეჯო, კოსტავას #3/1</t>
  </si>
  <si>
    <t>შპს ისს 001</t>
  </si>
</sst>
</file>

<file path=xl/styles.xml><?xml version="1.0" encoding="utf-8"?>
<styleSheet xmlns="http://schemas.openxmlformats.org/spreadsheetml/2006/main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,000"/>
    <numFmt numFmtId="170" formatCode="#,##0.0"/>
    <numFmt numFmtId="171" formatCode="0,0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theme="1"/>
      <name val="Arial Unicode MS"/>
      <family val="2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73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20" fillId="0" borderId="0" xfId="0" applyFont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1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0" xfId="2" applyFont="1" applyFill="1" applyBorder="1" applyAlignment="1" applyProtection="1">
      <alignment horizontal="left" vertical="top" wrapText="1"/>
      <protection locked="0"/>
    </xf>
    <xf numFmtId="0" fontId="22" fillId="0" borderId="24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0" xfId="9" applyFont="1" applyFill="1" applyBorder="1" applyAlignment="1" applyProtection="1">
      <alignment horizontal="center" vertical="center" wrapText="1"/>
    </xf>
    <xf numFmtId="0" fontId="27" fillId="4" borderId="15" xfId="9" applyFont="1" applyFill="1" applyBorder="1" applyAlignment="1" applyProtection="1">
      <alignment horizontal="center" vertical="center" wrapText="1"/>
    </xf>
    <xf numFmtId="0" fontId="27" fillId="4" borderId="13" xfId="9" applyFont="1" applyFill="1" applyBorder="1" applyAlignment="1" applyProtection="1">
      <alignment horizontal="center" vertical="center" wrapText="1"/>
    </xf>
    <xf numFmtId="0" fontId="27" fillId="4" borderId="12" xfId="9" applyFont="1" applyFill="1" applyBorder="1" applyAlignment="1" applyProtection="1">
      <alignment horizontal="center" vertical="center" wrapText="1"/>
    </xf>
    <xf numFmtId="0" fontId="27" fillId="3" borderId="15" xfId="9" applyFont="1" applyFill="1" applyBorder="1" applyAlignment="1" applyProtection="1">
      <alignment horizontal="center" vertical="center" wrapText="1"/>
    </xf>
    <xf numFmtId="0" fontId="27" fillId="3" borderId="16" xfId="9" applyFont="1" applyFill="1" applyBorder="1" applyAlignment="1" applyProtection="1">
      <alignment horizontal="center" vertical="center" wrapText="1"/>
    </xf>
    <xf numFmtId="49" fontId="27" fillId="3" borderId="13" xfId="9" applyNumberFormat="1" applyFont="1" applyFill="1" applyBorder="1" applyAlignment="1" applyProtection="1">
      <alignment horizontal="center" vertical="center" wrapText="1"/>
    </xf>
    <xf numFmtId="0" fontId="27" fillId="3" borderId="9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7" fillId="5" borderId="12" xfId="9" applyFont="1" applyFill="1" applyBorder="1" applyAlignment="1" applyProtection="1">
      <alignment horizontal="center" vertical="center" wrapText="1"/>
    </xf>
    <xf numFmtId="0" fontId="25" fillId="5" borderId="36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37" xfId="9" applyFont="1" applyFill="1" applyBorder="1" applyAlignment="1" applyProtection="1">
      <alignment vertical="center"/>
    </xf>
    <xf numFmtId="0" fontId="17" fillId="5" borderId="36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7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37" xfId="1" applyFont="1" applyFill="1" applyBorder="1" applyAlignment="1" applyProtection="1">
      <alignment horizontal="left" vertical="center"/>
    </xf>
    <xf numFmtId="0" fontId="15" fillId="5" borderId="37" xfId="0" applyFont="1" applyFill="1" applyBorder="1" applyAlignment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7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37" xfId="9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5" fillId="5" borderId="37" xfId="0" applyFont="1" applyFill="1" applyBorder="1" applyAlignment="1" applyProtection="1">
      <alignment vertical="center"/>
    </xf>
    <xf numFmtId="0" fontId="17" fillId="5" borderId="36" xfId="9" applyFont="1" applyFill="1" applyBorder="1" applyAlignment="1" applyProtection="1">
      <alignment horizontal="right" vertical="center"/>
    </xf>
    <xf numFmtId="0" fontId="20" fillId="5" borderId="0" xfId="0" applyFont="1" applyFill="1" applyBorder="1" applyAlignment="1" applyProtection="1">
      <alignment vertical="center"/>
    </xf>
    <xf numFmtId="0" fontId="20" fillId="5" borderId="37" xfId="0" applyFont="1" applyFill="1" applyBorder="1" applyAlignment="1" applyProtection="1">
      <alignment vertical="center"/>
    </xf>
    <xf numFmtId="0" fontId="15" fillId="2" borderId="0" xfId="0" applyFont="1" applyFill="1" applyBorder="1" applyAlignment="1">
      <alignment vertical="center"/>
    </xf>
    <xf numFmtId="0" fontId="25" fillId="2" borderId="0" xfId="9" applyFont="1" applyFill="1" applyBorder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9" fillId="5" borderId="0" xfId="0" applyFont="1" applyFill="1"/>
    <xf numFmtId="0" fontId="20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10" applyNumberFormat="1" applyFont="1" applyFill="1" applyBorder="1" applyAlignment="1" applyProtection="1">
      <alignment vertical="center"/>
    </xf>
    <xf numFmtId="0" fontId="17" fillId="2" borderId="0" xfId="10" applyFont="1" applyFill="1" applyBorder="1" applyAlignment="1" applyProtection="1">
      <alignment vertical="center"/>
      <protection locked="0"/>
    </xf>
    <xf numFmtId="14" fontId="17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vertical="center"/>
    </xf>
    <xf numFmtId="14" fontId="19" fillId="2" borderId="0" xfId="10" applyNumberFormat="1" applyFont="1" applyFill="1" applyBorder="1" applyAlignment="1" applyProtection="1">
      <alignment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7" fillId="5" borderId="38" xfId="9" applyFont="1" applyFill="1" applyBorder="1" applyAlignment="1" applyProtection="1">
      <alignment horizontal="center" vertical="center"/>
    </xf>
    <xf numFmtId="0" fontId="27" fillId="5" borderId="39" xfId="9" applyFont="1" applyFill="1" applyBorder="1" applyAlignment="1" applyProtection="1">
      <alignment horizontal="center" vertical="center"/>
    </xf>
    <xf numFmtId="0" fontId="27" fillId="5" borderId="40" xfId="9" applyFont="1" applyFill="1" applyBorder="1" applyAlignment="1" applyProtection="1">
      <alignment horizontal="center" vertical="center"/>
    </xf>
    <xf numFmtId="0" fontId="27" fillId="5" borderId="41" xfId="9" applyFont="1" applyFill="1" applyBorder="1" applyAlignment="1" applyProtection="1">
      <alignment horizontal="center" vertical="center"/>
    </xf>
    <xf numFmtId="0" fontId="27" fillId="5" borderId="42" xfId="9" applyFont="1" applyFill="1" applyBorder="1" applyAlignment="1" applyProtection="1">
      <alignment horizontal="center" vertical="center"/>
    </xf>
    <xf numFmtId="0" fontId="27" fillId="5" borderId="1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4" borderId="1" xfId="9" applyFont="1" applyFill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/>
      <protection locked="0"/>
    </xf>
    <xf numFmtId="14" fontId="33" fillId="0" borderId="1" xfId="11" applyNumberFormat="1" applyFont="1" applyBorder="1" applyAlignment="1" applyProtection="1">
      <alignment horizontal="center" vertical="center" wrapText="1"/>
      <protection locked="0"/>
    </xf>
    <xf numFmtId="0" fontId="33" fillId="0" borderId="1" xfId="11" applyFont="1" applyBorder="1" applyAlignment="1" applyProtection="1">
      <alignment vertical="center" wrapText="1"/>
      <protection locked="0"/>
    </xf>
    <xf numFmtId="0" fontId="33" fillId="0" borderId="1" xfId="11" applyFont="1" applyBorder="1" applyAlignment="1" applyProtection="1">
      <alignment horizontal="center" vertical="center"/>
      <protection locked="0"/>
    </xf>
    <xf numFmtId="49" fontId="34" fillId="0" borderId="1" xfId="0" applyNumberFormat="1" applyFont="1" applyBorder="1" applyAlignment="1">
      <alignment horizontal="left" wrapText="1"/>
    </xf>
    <xf numFmtId="0" fontId="33" fillId="4" borderId="17" xfId="11" applyFont="1" applyFill="1" applyBorder="1" applyAlignment="1" applyProtection="1">
      <alignment vertical="center" wrapText="1"/>
      <protection locked="0"/>
    </xf>
    <xf numFmtId="0" fontId="33" fillId="4" borderId="19" xfId="11" applyFont="1" applyFill="1" applyBorder="1" applyAlignment="1" applyProtection="1">
      <alignment vertical="center" wrapText="1"/>
      <protection locked="0"/>
    </xf>
    <xf numFmtId="0" fontId="33" fillId="0" borderId="2" xfId="11" applyFont="1" applyBorder="1" applyAlignment="1" applyProtection="1">
      <alignment vertical="center" wrapText="1"/>
      <protection locked="0"/>
    </xf>
    <xf numFmtId="0" fontId="33" fillId="0" borderId="5" xfId="11" applyFont="1" applyBorder="1" applyAlignment="1" applyProtection="1">
      <alignment horizontal="center" vertical="center"/>
      <protection locked="0"/>
    </xf>
    <xf numFmtId="0" fontId="33" fillId="0" borderId="19" xfId="11" applyFont="1" applyBorder="1" applyAlignment="1" applyProtection="1">
      <alignment vertical="center" wrapText="1"/>
      <protection locked="0"/>
    </xf>
    <xf numFmtId="49" fontId="34" fillId="0" borderId="43" xfId="0" applyNumberFormat="1" applyFont="1" applyBorder="1" applyAlignment="1">
      <alignment horizontal="left" wrapText="1"/>
    </xf>
    <xf numFmtId="49" fontId="33" fillId="0" borderId="1" xfId="11" applyNumberFormat="1" applyFont="1" applyBorder="1" applyAlignment="1" applyProtection="1">
      <alignment vertical="center"/>
      <protection locked="0"/>
    </xf>
    <xf numFmtId="0" fontId="33" fillId="0" borderId="17" xfId="11" applyFont="1" applyBorder="1" applyAlignment="1" applyProtection="1">
      <alignment vertical="center" wrapText="1"/>
      <protection locked="0"/>
    </xf>
    <xf numFmtId="0" fontId="33" fillId="0" borderId="19" xfId="11" applyFont="1" applyFill="1" applyBorder="1" applyAlignment="1" applyProtection="1">
      <alignment vertical="center" wrapText="1"/>
      <protection locked="0"/>
    </xf>
    <xf numFmtId="0" fontId="33" fillId="0" borderId="18" xfId="11" applyFont="1" applyBorder="1" applyAlignment="1" applyProtection="1">
      <alignment horizontal="center" vertical="center"/>
      <protection locked="0"/>
    </xf>
    <xf numFmtId="0" fontId="34" fillId="0" borderId="1" xfId="0" applyNumberFormat="1" applyFont="1" applyBorder="1" applyAlignment="1">
      <alignment horizontal="center" wrapText="1"/>
    </xf>
    <xf numFmtId="49" fontId="34" fillId="0" borderId="44" xfId="0" applyNumberFormat="1" applyFont="1" applyBorder="1" applyAlignment="1">
      <alignment horizontal="left" wrapText="1"/>
    </xf>
    <xf numFmtId="14" fontId="33" fillId="0" borderId="2" xfId="11" applyNumberFormat="1" applyFont="1" applyBorder="1" applyAlignment="1" applyProtection="1">
      <alignment horizontal="center" vertical="center" wrapText="1"/>
      <protection locked="0"/>
    </xf>
    <xf numFmtId="0" fontId="34" fillId="0" borderId="43" xfId="0" applyNumberFormat="1" applyFont="1" applyBorder="1" applyAlignment="1">
      <alignment horizontal="center" wrapText="1"/>
    </xf>
    <xf numFmtId="0" fontId="33" fillId="0" borderId="18" xfId="11" applyNumberFormat="1" applyFont="1" applyBorder="1" applyAlignment="1" applyProtection="1">
      <alignment horizontal="center" vertical="center"/>
      <protection locked="0"/>
    </xf>
    <xf numFmtId="0" fontId="33" fillId="0" borderId="5" xfId="11" applyNumberFormat="1" applyFont="1" applyBorder="1" applyAlignment="1" applyProtection="1">
      <alignment horizontal="center" vertical="center"/>
      <protection locked="0"/>
    </xf>
    <xf numFmtId="14" fontId="33" fillId="0" borderId="2" xfId="11" applyNumberFormat="1" applyFont="1" applyBorder="1" applyAlignment="1" applyProtection="1">
      <alignment horizontal="left" vertical="center" wrapText="1"/>
      <protection locked="0"/>
    </xf>
    <xf numFmtId="49" fontId="34" fillId="0" borderId="45" xfId="0" applyNumberFormat="1" applyFont="1" applyBorder="1" applyAlignment="1">
      <alignment horizontal="left" wrapText="1"/>
    </xf>
    <xf numFmtId="0" fontId="34" fillId="0" borderId="45" xfId="0" applyNumberFormat="1" applyFont="1" applyBorder="1" applyAlignment="1">
      <alignment horizontal="center" wrapText="1"/>
    </xf>
    <xf numFmtId="14" fontId="33" fillId="0" borderId="1" xfId="11" applyNumberFormat="1" applyFont="1" applyBorder="1" applyAlignment="1" applyProtection="1">
      <alignment horizontal="left" vertical="center" wrapText="1"/>
      <protection locked="0"/>
    </xf>
    <xf numFmtId="14" fontId="33" fillId="0" borderId="1" xfId="9" applyNumberFormat="1" applyFont="1" applyBorder="1" applyAlignment="1" applyProtection="1">
      <alignment horizontal="left" vertical="center" wrapText="1"/>
      <protection locked="0"/>
    </xf>
    <xf numFmtId="2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Protection="1"/>
    <xf numFmtId="1" fontId="15" fillId="0" borderId="1" xfId="0" applyNumberFormat="1" applyFont="1" applyBorder="1" applyProtection="1">
      <protection locked="0"/>
    </xf>
    <xf numFmtId="1" fontId="15" fillId="0" borderId="0" xfId="0" applyNumberFormat="1" applyFont="1" applyProtection="1"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5" fillId="0" borderId="1" xfId="2" applyFont="1" applyFill="1" applyBorder="1" applyAlignment="1" applyProtection="1">
      <alignment horizontal="center" vertical="top"/>
      <protection locked="0"/>
    </xf>
    <xf numFmtId="169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20" fillId="5" borderId="1" xfId="0" applyNumberFormat="1" applyFont="1" applyFill="1" applyBorder="1" applyAlignment="1" applyProtection="1">
      <alignment horizontal="center"/>
    </xf>
    <xf numFmtId="3" fontId="20" fillId="5" borderId="1" xfId="0" applyNumberFormat="1" applyFont="1" applyFill="1" applyBorder="1" applyAlignment="1" applyProtection="1">
      <alignment horizontal="center"/>
    </xf>
    <xf numFmtId="0" fontId="20" fillId="5" borderId="1" xfId="0" applyFont="1" applyFill="1" applyBorder="1" applyAlignment="1" applyProtection="1">
      <alignment horizontal="center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166" fontId="15" fillId="0" borderId="1" xfId="2" applyNumberFormat="1" applyFont="1" applyFill="1" applyBorder="1" applyAlignment="1" applyProtection="1">
      <alignment horizontal="center" vertical="center"/>
      <protection locked="0"/>
    </xf>
    <xf numFmtId="164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5" borderId="1" xfId="3" applyFont="1" applyFill="1" applyBorder="1" applyAlignment="1" applyProtection="1">
      <alignment horizontal="center"/>
    </xf>
    <xf numFmtId="0" fontId="15" fillId="5" borderId="31" xfId="3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Border="1" applyAlignment="1" applyProtection="1">
      <alignment horizontal="center"/>
      <protection locked="0"/>
    </xf>
    <xf numFmtId="0" fontId="15" fillId="0" borderId="1" xfId="3" applyFont="1" applyFill="1" applyBorder="1" applyAlignment="1" applyProtection="1">
      <alignment horizontal="center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1" fontId="31" fillId="0" borderId="0" xfId="0" applyNumberFormat="1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vertical="center"/>
      <protection locked="0"/>
    </xf>
    <xf numFmtId="4" fontId="31" fillId="0" borderId="0" xfId="0" applyNumberFormat="1" applyFont="1" applyAlignment="1" applyProtection="1">
      <alignment vertical="center"/>
      <protection locked="0"/>
    </xf>
    <xf numFmtId="170" fontId="31" fillId="0" borderId="0" xfId="0" applyNumberFormat="1" applyFont="1" applyAlignment="1" applyProtection="1">
      <alignment vertical="center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1" xfId="1" applyFont="1" applyFill="1" applyBorder="1" applyAlignment="1" applyProtection="1">
      <alignment vertical="center" wrapText="1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1" applyNumberFormat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center" vertical="center" wrapTex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0" xfId="3" applyNumberFormat="1" applyFont="1" applyProtection="1">
      <protection locked="0"/>
    </xf>
    <xf numFmtId="0" fontId="15" fillId="0" borderId="1" xfId="1" applyFont="1" applyBorder="1" applyProtection="1">
      <protection locked="0"/>
    </xf>
    <xf numFmtId="0" fontId="21" fillId="0" borderId="1" xfId="1" applyFont="1" applyBorder="1" applyAlignment="1" applyProtection="1">
      <alignment horizontal="center" vertical="center" wrapText="1"/>
      <protection locked="0"/>
    </xf>
    <xf numFmtId="0" fontId="15" fillId="0" borderId="1" xfId="3" applyFont="1" applyBorder="1" applyProtection="1">
      <protection locked="0"/>
    </xf>
    <xf numFmtId="1" fontId="15" fillId="0" borderId="0" xfId="3" applyNumberFormat="1" applyFont="1" applyProtection="1">
      <protection locked="0"/>
    </xf>
    <xf numFmtId="4" fontId="15" fillId="0" borderId="0" xfId="3" applyNumberFormat="1" applyFont="1" applyProtection="1">
      <protection locked="0"/>
    </xf>
    <xf numFmtId="3" fontId="15" fillId="0" borderId="0" xfId="3" applyNumberFormat="1" applyFont="1" applyProtection="1">
      <protection locked="0"/>
    </xf>
    <xf numFmtId="3" fontId="21" fillId="0" borderId="0" xfId="1" applyNumberFormat="1" applyFont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35" fillId="0" borderId="1" xfId="1" applyFont="1" applyFill="1" applyBorder="1" applyAlignment="1" applyProtection="1">
      <alignment horizontal="left" vertical="center" wrapText="1" indent="2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 wrapText="1"/>
    </xf>
    <xf numFmtId="4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168" fontId="33" fillId="0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0" fontId="15" fillId="0" borderId="33" xfId="1" applyFont="1" applyFill="1" applyBorder="1" applyAlignment="1" applyProtection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33" fillId="0" borderId="33" xfId="10" applyNumberFormat="1" applyFont="1" applyFill="1" applyBorder="1" applyAlignment="1" applyProtection="1">
      <alignment horizontal="center" vertical="center" wrapText="1"/>
      <protection locked="0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0" xfId="0" applyNumberFormat="1" applyFont="1" applyProtection="1">
      <protection locked="0"/>
    </xf>
    <xf numFmtId="0" fontId="22" fillId="0" borderId="1" xfId="2" applyFont="1" applyFill="1" applyBorder="1" applyAlignment="1" applyProtection="1">
      <alignment horizontal="center" vertical="top" wrapText="1"/>
      <protection locked="0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0" fontId="17" fillId="0" borderId="2" xfId="11" applyFont="1" applyBorder="1" applyAlignment="1" applyProtection="1">
      <alignment vertical="center"/>
      <protection locked="0"/>
    </xf>
    <xf numFmtId="1" fontId="11" fillId="0" borderId="2" xfId="2" applyNumberFormat="1" applyFont="1" applyFill="1" applyBorder="1" applyAlignment="1" applyProtection="1">
      <alignment horizontal="left" vertical="center"/>
      <protection locked="0"/>
    </xf>
    <xf numFmtId="1" fontId="11" fillId="0" borderId="26" xfId="2" applyNumberFormat="1" applyFont="1" applyFill="1" applyBorder="1" applyAlignment="1" applyProtection="1">
      <alignment horizontal="left" vertical="center"/>
      <protection locked="0"/>
    </xf>
    <xf numFmtId="14" fontId="11" fillId="0" borderId="2" xfId="11" applyNumberFormat="1" applyFont="1" applyBorder="1" applyAlignment="1" applyProtection="1">
      <alignment vertical="center"/>
      <protection locked="0"/>
    </xf>
    <xf numFmtId="14" fontId="25" fillId="0" borderId="2" xfId="11" applyNumberFormat="1" applyFont="1" applyBorder="1" applyAlignment="1" applyProtection="1">
      <alignment wrapText="1"/>
      <protection locked="0"/>
    </xf>
    <xf numFmtId="14" fontId="25" fillId="0" borderId="2" xfId="11" applyNumberFormat="1" applyFont="1" applyBorder="1" applyAlignment="1" applyProtection="1">
      <alignment horizontal="right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7" fillId="0" borderId="1" xfId="12" applyFont="1" applyFill="1" applyBorder="1" applyAlignment="1" applyProtection="1">
      <alignment vertical="center" wrapText="1"/>
      <protection locked="0"/>
    </xf>
    <xf numFmtId="0" fontId="22" fillId="0" borderId="1" xfId="12" applyFont="1" applyFill="1" applyBorder="1" applyAlignment="1" applyProtection="1">
      <alignment horizontal="center" vertical="center" wrapText="1"/>
      <protection locked="0"/>
    </xf>
    <xf numFmtId="14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2" applyFont="1" applyBorder="1" applyAlignment="1" applyProtection="1">
      <alignment vertical="center" wrapText="1"/>
      <protection locked="0"/>
    </xf>
    <xf numFmtId="0" fontId="37" fillId="2" borderId="1" xfId="12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17" fillId="0" borderId="2" xfId="12" applyFont="1" applyBorder="1" applyAlignment="1" applyProtection="1">
      <alignment vertical="center" wrapText="1"/>
      <protection locked="0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7" fillId="0" borderId="2" xfId="12" applyFont="1" applyBorder="1" applyAlignment="1" applyProtection="1">
      <alignment horizontal="center" vertical="center" wrapText="1"/>
      <protection locked="0"/>
    </xf>
    <xf numFmtId="49" fontId="17" fillId="0" borderId="2" xfId="12" applyNumberFormat="1" applyFont="1" applyBorder="1" applyAlignment="1" applyProtection="1">
      <alignment horizontal="center" vertical="center" wrapText="1"/>
      <protection locked="0"/>
    </xf>
    <xf numFmtId="167" fontId="37" fillId="0" borderId="1" xfId="13" applyNumberFormat="1" applyFont="1" applyFill="1" applyBorder="1" applyAlignment="1" applyProtection="1">
      <alignment horizontal="center" vertical="center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49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4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0" fontId="27" fillId="4" borderId="9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0" fontId="27" fillId="4" borderId="10" xfId="9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10" applyNumberFormat="1" applyFont="1" applyFill="1" applyBorder="1" applyAlignment="1" applyProtection="1">
      <alignment horizontal="left" vertical="center" wrapText="1"/>
    </xf>
    <xf numFmtId="14" fontId="19" fillId="2" borderId="34" xfId="10" applyNumberFormat="1" applyFont="1" applyFill="1" applyBorder="1" applyAlignment="1" applyProtection="1">
      <alignment horizontal="center" vertical="center"/>
    </xf>
    <xf numFmtId="14" fontId="19" fillId="2" borderId="34" xfId="10" applyNumberFormat="1" applyFont="1" applyFill="1" applyBorder="1" applyAlignment="1" applyProtection="1">
      <alignment horizontal="center" vertical="center" wrapText="1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168" fontId="33" fillId="2" borderId="33" xfId="10" applyNumberFormat="1" applyFont="1" applyFill="1" applyBorder="1" applyAlignment="1" applyProtection="1">
      <alignment horizontal="center" vertical="center" wrapText="1"/>
      <protection locked="0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5" fillId="0" borderId="33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 wrapText="1"/>
    </xf>
    <xf numFmtId="3" fontId="15" fillId="2" borderId="33" xfId="1" applyNumberFormat="1" applyFont="1" applyFill="1" applyBorder="1" applyAlignment="1" applyProtection="1">
      <alignment horizontal="center" vertical="center" wrapText="1"/>
      <protection locked="0"/>
    </xf>
    <xf numFmtId="3" fontId="1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9" fillId="5" borderId="33" xfId="4" applyFont="1" applyFill="1" applyBorder="1" applyAlignment="1" applyProtection="1">
      <alignment horizontal="center" vertical="center" wrapText="1"/>
    </xf>
    <xf numFmtId="0" fontId="19" fillId="5" borderId="2" xfId="4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12" applyFont="1" applyBorder="1" applyAlignment="1" applyProtection="1">
      <alignment horizontal="center" vertical="center" wrapText="1"/>
      <protection locked="0"/>
    </xf>
    <xf numFmtId="0" fontId="17" fillId="0" borderId="31" xfId="12" applyFont="1" applyBorder="1" applyAlignment="1" applyProtection="1">
      <alignment horizontal="center" vertical="center" wrapText="1"/>
      <protection locked="0"/>
    </xf>
    <xf numFmtId="0" fontId="17" fillId="0" borderId="2" xfId="12" applyFont="1" applyBorder="1" applyAlignment="1" applyProtection="1">
      <alignment horizontal="center" vertical="center" wrapText="1"/>
      <protection locked="0"/>
    </xf>
    <xf numFmtId="171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35" fillId="0" borderId="1" xfId="1" applyFont="1" applyFill="1" applyBorder="1" applyAlignment="1" applyProtection="1">
      <alignment horizontal="center" vertical="center" wrapText="1"/>
    </xf>
  </cellXfs>
  <cellStyles count="14">
    <cellStyle name="Normal" xfId="0" builtinId="0"/>
    <cellStyle name="Normal 2" xfId="2"/>
    <cellStyle name="Normal 3" xfId="3"/>
    <cellStyle name="Normal 4" xfId="4"/>
    <cellStyle name="Normal 4 2" xfId="12"/>
    <cellStyle name="Normal 5" xfId="5"/>
    <cellStyle name="Normal 5 2" xfId="6"/>
    <cellStyle name="Normal 5 2 2" xfId="7"/>
    <cellStyle name="Normal 5 2 2 2" xfId="13"/>
    <cellStyle name="Normal 5 2 3" xfId="8"/>
    <cellStyle name="Normal 5 3" xfId="9"/>
    <cellStyle name="Normal 5 3 2" xfId="10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A51" zoomScale="70" zoomScaleNormal="100" zoomScaleSheetLayoutView="70" workbookViewId="0">
      <selection activeCell="G65" sqref="G65"/>
    </sheetView>
  </sheetViews>
  <sheetFormatPr defaultRowHeight="15"/>
  <cols>
    <col min="1" max="1" width="6.28515625" style="298" bestFit="1" customWidth="1"/>
    <col min="2" max="2" width="13.140625" style="298" customWidth="1"/>
    <col min="3" max="3" width="12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>
      <c r="A1" s="302"/>
      <c r="B1" s="301"/>
      <c r="C1" s="302"/>
      <c r="D1" s="301"/>
      <c r="E1" s="302"/>
      <c r="F1" s="302"/>
      <c r="G1" s="301"/>
      <c r="H1" s="302"/>
      <c r="I1" s="302"/>
      <c r="J1" s="301"/>
      <c r="K1" s="302"/>
      <c r="L1" s="301"/>
    </row>
    <row r="2" spans="1:12">
      <c r="A2" s="308"/>
      <c r="B2" s="308"/>
      <c r="C2" s="308"/>
      <c r="D2" s="308"/>
      <c r="E2" s="308"/>
      <c r="F2" s="308"/>
      <c r="G2" s="308"/>
      <c r="H2" s="308"/>
      <c r="I2" s="361"/>
      <c r="J2" s="361"/>
      <c r="K2" s="360"/>
      <c r="L2" s="301"/>
    </row>
    <row r="3" spans="1:12" s="309" customFormat="1">
      <c r="A3" s="359" t="s">
        <v>309</v>
      </c>
      <c r="B3" s="342"/>
      <c r="C3" s="342"/>
      <c r="D3" s="342"/>
      <c r="E3" s="343"/>
      <c r="F3" s="337"/>
      <c r="G3" s="343"/>
      <c r="H3" s="358"/>
      <c r="I3" s="342"/>
      <c r="J3" s="343"/>
      <c r="K3" s="343"/>
      <c r="L3" s="357" t="s">
        <v>110</v>
      </c>
    </row>
    <row r="4" spans="1:12" s="309" customFormat="1">
      <c r="A4" s="356" t="s">
        <v>141</v>
      </c>
      <c r="B4" s="342"/>
      <c r="C4" s="342"/>
      <c r="D4" s="342"/>
      <c r="E4" s="343"/>
      <c r="F4" s="337"/>
      <c r="G4" s="343"/>
      <c r="H4" s="355"/>
      <c r="I4" s="342"/>
      <c r="J4" s="343"/>
      <c r="K4" s="529" t="s">
        <v>982</v>
      </c>
      <c r="L4" s="529"/>
    </row>
    <row r="5" spans="1:12" s="309" customFormat="1">
      <c r="A5" s="354"/>
      <c r="B5" s="342"/>
      <c r="C5" s="353"/>
      <c r="D5" s="352"/>
      <c r="E5" s="343"/>
      <c r="F5" s="351"/>
      <c r="G5" s="343"/>
      <c r="H5" s="343"/>
      <c r="I5" s="337"/>
      <c r="J5" s="342"/>
      <c r="K5" s="342"/>
      <c r="L5" s="341"/>
    </row>
    <row r="6" spans="1:12" s="309" customFormat="1">
      <c r="A6" s="348" t="s">
        <v>275</v>
      </c>
      <c r="B6" s="337"/>
      <c r="C6" s="337"/>
      <c r="D6" s="337" t="s">
        <v>277</v>
      </c>
      <c r="E6" s="349"/>
      <c r="F6" s="344"/>
      <c r="G6" s="343"/>
      <c r="H6" s="350"/>
      <c r="I6" s="349"/>
      <c r="J6" s="342"/>
      <c r="K6" s="343"/>
      <c r="L6" s="341"/>
    </row>
    <row r="7" spans="1:12" s="309" customFormat="1">
      <c r="A7" s="348" t="s">
        <v>512</v>
      </c>
      <c r="B7" s="337"/>
      <c r="C7" s="337"/>
      <c r="D7" s="337"/>
      <c r="E7" s="343"/>
      <c r="F7" s="344"/>
      <c r="G7" s="344"/>
      <c r="H7" s="344"/>
      <c r="I7" s="346"/>
      <c r="J7" s="343"/>
      <c r="K7" s="342"/>
      <c r="L7" s="341"/>
    </row>
    <row r="8" spans="1:12" s="309" customFormat="1" ht="15.75" thickBot="1">
      <c r="A8" s="347"/>
      <c r="B8" s="343"/>
      <c r="C8" s="346"/>
      <c r="D8" s="345"/>
      <c r="E8" s="343"/>
      <c r="F8" s="344"/>
      <c r="G8" s="344"/>
      <c r="H8" s="344"/>
      <c r="I8" s="343"/>
      <c r="J8" s="342"/>
      <c r="K8" s="342"/>
      <c r="L8" s="341"/>
    </row>
    <row r="9" spans="1:12" ht="15.75" thickBot="1">
      <c r="A9" s="340"/>
      <c r="B9" s="339"/>
      <c r="C9" s="338"/>
      <c r="D9" s="338"/>
      <c r="E9" s="338"/>
      <c r="F9" s="337"/>
      <c r="G9" s="337"/>
      <c r="H9" s="337"/>
      <c r="I9" s="532" t="s">
        <v>478</v>
      </c>
      <c r="J9" s="533"/>
      <c r="K9" s="534"/>
      <c r="L9" s="336"/>
    </row>
    <row r="10" spans="1:12" s="324" customFormat="1" ht="39" customHeight="1" thickBot="1">
      <c r="A10" s="335" t="s">
        <v>64</v>
      </c>
      <c r="B10" s="334" t="s">
        <v>142</v>
      </c>
      <c r="C10" s="334" t="s">
        <v>477</v>
      </c>
      <c r="D10" s="333" t="s">
        <v>282</v>
      </c>
      <c r="E10" s="332" t="s">
        <v>476</v>
      </c>
      <c r="F10" s="331" t="s">
        <v>475</v>
      </c>
      <c r="G10" s="330" t="s">
        <v>229</v>
      </c>
      <c r="H10" s="329" t="s">
        <v>226</v>
      </c>
      <c r="I10" s="328" t="s">
        <v>474</v>
      </c>
      <c r="J10" s="327" t="s">
        <v>279</v>
      </c>
      <c r="K10" s="326" t="s">
        <v>230</v>
      </c>
      <c r="L10" s="325" t="s">
        <v>231</v>
      </c>
    </row>
    <row r="11" spans="1:12" s="323" customFormat="1">
      <c r="A11" s="375">
        <v>1</v>
      </c>
      <c r="B11" s="376">
        <v>2</v>
      </c>
      <c r="C11" s="377">
        <v>3</v>
      </c>
      <c r="D11" s="377">
        <v>4</v>
      </c>
      <c r="E11" s="375">
        <v>5</v>
      </c>
      <c r="F11" s="376">
        <v>6</v>
      </c>
      <c r="G11" s="377">
        <v>7</v>
      </c>
      <c r="H11" s="376">
        <v>8</v>
      </c>
      <c r="I11" s="375">
        <v>9</v>
      </c>
      <c r="J11" s="376">
        <v>10</v>
      </c>
      <c r="K11" s="378">
        <v>11</v>
      </c>
      <c r="L11" s="379">
        <v>12</v>
      </c>
    </row>
    <row r="12" spans="1:12" s="323" customFormat="1" ht="27">
      <c r="A12" s="380">
        <v>1</v>
      </c>
      <c r="B12" s="407" t="s">
        <v>513</v>
      </c>
      <c r="C12" s="385" t="s">
        <v>232</v>
      </c>
      <c r="D12" s="386">
        <v>20</v>
      </c>
      <c r="E12" s="385" t="s">
        <v>514</v>
      </c>
      <c r="F12" s="387" t="s">
        <v>515</v>
      </c>
      <c r="G12" s="387" t="s">
        <v>516</v>
      </c>
      <c r="H12" s="387" t="s">
        <v>517</v>
      </c>
      <c r="I12" s="388"/>
      <c r="J12" s="380"/>
      <c r="K12" s="380"/>
      <c r="L12" s="380"/>
    </row>
    <row r="13" spans="1:12" s="323" customFormat="1" ht="27">
      <c r="A13" s="380">
        <v>2</v>
      </c>
      <c r="B13" s="407" t="s">
        <v>518</v>
      </c>
      <c r="C13" s="385" t="s">
        <v>232</v>
      </c>
      <c r="D13" s="386">
        <v>20</v>
      </c>
      <c r="E13" s="385" t="s">
        <v>514</v>
      </c>
      <c r="F13" s="387" t="s">
        <v>515</v>
      </c>
      <c r="G13" s="387" t="s">
        <v>516</v>
      </c>
      <c r="H13" s="387" t="s">
        <v>517</v>
      </c>
      <c r="I13" s="389"/>
      <c r="J13" s="380"/>
      <c r="K13" s="380"/>
      <c r="L13" s="380"/>
    </row>
    <row r="14" spans="1:12" s="323" customFormat="1" ht="27">
      <c r="A14" s="380">
        <v>3</v>
      </c>
      <c r="B14" s="407" t="s">
        <v>519</v>
      </c>
      <c r="C14" s="385" t="s">
        <v>232</v>
      </c>
      <c r="D14" s="386">
        <v>20</v>
      </c>
      <c r="E14" s="385" t="s">
        <v>514</v>
      </c>
      <c r="F14" s="387" t="s">
        <v>515</v>
      </c>
      <c r="G14" s="387" t="s">
        <v>516</v>
      </c>
      <c r="H14" s="387" t="s">
        <v>517</v>
      </c>
      <c r="I14" s="389"/>
      <c r="J14" s="380"/>
      <c r="K14" s="380"/>
      <c r="L14" s="380"/>
    </row>
    <row r="15" spans="1:12" s="323" customFormat="1" ht="121.5">
      <c r="A15" s="380">
        <v>4</v>
      </c>
      <c r="B15" s="404" t="s">
        <v>520</v>
      </c>
      <c r="C15" s="390" t="s">
        <v>521</v>
      </c>
      <c r="D15" s="391">
        <v>4600</v>
      </c>
      <c r="E15" s="392" t="s">
        <v>522</v>
      </c>
      <c r="F15" s="393" t="s">
        <v>523</v>
      </c>
      <c r="G15" s="394"/>
      <c r="H15" s="394"/>
      <c r="I15" s="393" t="s">
        <v>524</v>
      </c>
      <c r="J15" s="380"/>
      <c r="K15" s="380"/>
      <c r="L15" s="380"/>
    </row>
    <row r="16" spans="1:12" s="323" customFormat="1" ht="27">
      <c r="A16" s="380">
        <v>5</v>
      </c>
      <c r="B16" s="404" t="s">
        <v>525</v>
      </c>
      <c r="C16" s="390" t="s">
        <v>232</v>
      </c>
      <c r="D16" s="397">
        <v>20</v>
      </c>
      <c r="E16" s="395" t="s">
        <v>526</v>
      </c>
      <c r="F16" s="393" t="s">
        <v>515</v>
      </c>
      <c r="G16" s="393" t="s">
        <v>516</v>
      </c>
      <c r="H16" s="393" t="s">
        <v>517</v>
      </c>
      <c r="I16" s="388"/>
      <c r="J16" s="380"/>
      <c r="K16" s="380"/>
      <c r="L16" s="380"/>
    </row>
    <row r="17" spans="1:12" s="323" customFormat="1" ht="27">
      <c r="A17" s="380">
        <v>6</v>
      </c>
      <c r="B17" s="404" t="s">
        <v>527</v>
      </c>
      <c r="C17" s="390" t="s">
        <v>232</v>
      </c>
      <c r="D17" s="397">
        <v>20</v>
      </c>
      <c r="E17" s="395" t="s">
        <v>526</v>
      </c>
      <c r="F17" s="393" t="s">
        <v>515</v>
      </c>
      <c r="G17" s="393" t="s">
        <v>516</v>
      </c>
      <c r="H17" s="393" t="s">
        <v>517</v>
      </c>
      <c r="I17" s="388"/>
      <c r="J17" s="380"/>
      <c r="K17" s="380"/>
      <c r="L17" s="380"/>
    </row>
    <row r="18" spans="1:12" s="323" customFormat="1" ht="51">
      <c r="A18" s="380">
        <v>7</v>
      </c>
      <c r="B18" s="404" t="s">
        <v>527</v>
      </c>
      <c r="C18" s="390" t="s">
        <v>521</v>
      </c>
      <c r="D18" s="391">
        <v>200</v>
      </c>
      <c r="E18" s="392" t="s">
        <v>528</v>
      </c>
      <c r="F18" s="394" t="s">
        <v>529</v>
      </c>
      <c r="G18" s="394"/>
      <c r="H18" s="394"/>
      <c r="I18" s="396" t="s">
        <v>530</v>
      </c>
      <c r="J18" s="380"/>
      <c r="K18" s="380"/>
      <c r="L18" s="380"/>
    </row>
    <row r="19" spans="1:12" s="323" customFormat="1" ht="38.25">
      <c r="A19" s="380">
        <v>8</v>
      </c>
      <c r="B19" s="404" t="s">
        <v>527</v>
      </c>
      <c r="C19" s="390" t="s">
        <v>521</v>
      </c>
      <c r="D19" s="391">
        <v>125</v>
      </c>
      <c r="E19" s="392" t="s">
        <v>531</v>
      </c>
      <c r="F19" s="394" t="s">
        <v>532</v>
      </c>
      <c r="G19" s="394"/>
      <c r="H19" s="394"/>
      <c r="I19" s="396" t="s">
        <v>533</v>
      </c>
      <c r="J19" s="380"/>
      <c r="K19" s="380"/>
      <c r="L19" s="380"/>
    </row>
    <row r="20" spans="1:12" s="323" customFormat="1" ht="27">
      <c r="A20" s="380">
        <v>9</v>
      </c>
      <c r="B20" s="407" t="s">
        <v>534</v>
      </c>
      <c r="C20" s="385" t="s">
        <v>232</v>
      </c>
      <c r="D20" s="386">
        <v>20</v>
      </c>
      <c r="E20" s="385" t="s">
        <v>526</v>
      </c>
      <c r="F20" s="393" t="s">
        <v>515</v>
      </c>
      <c r="G20" s="393" t="s">
        <v>516</v>
      </c>
      <c r="H20" s="393" t="s">
        <v>517</v>
      </c>
      <c r="I20" s="380"/>
      <c r="J20" s="380"/>
      <c r="K20" s="380"/>
      <c r="L20" s="380"/>
    </row>
    <row r="21" spans="1:12" s="323" customFormat="1" ht="27">
      <c r="A21" s="380">
        <v>10</v>
      </c>
      <c r="B21" s="407" t="s">
        <v>535</v>
      </c>
      <c r="C21" s="385" t="s">
        <v>232</v>
      </c>
      <c r="D21" s="386">
        <v>20</v>
      </c>
      <c r="E21" s="385" t="s">
        <v>526</v>
      </c>
      <c r="F21" s="393" t="s">
        <v>515</v>
      </c>
      <c r="G21" s="393" t="s">
        <v>516</v>
      </c>
      <c r="H21" s="393" t="s">
        <v>517</v>
      </c>
      <c r="I21" s="380"/>
      <c r="J21" s="380"/>
      <c r="K21" s="380"/>
      <c r="L21" s="380"/>
    </row>
    <row r="22" spans="1:12" s="323" customFormat="1" ht="27">
      <c r="A22" s="380">
        <v>11</v>
      </c>
      <c r="B22" s="407" t="s">
        <v>536</v>
      </c>
      <c r="C22" s="385" t="s">
        <v>232</v>
      </c>
      <c r="D22" s="386">
        <v>20</v>
      </c>
      <c r="E22" s="385" t="s">
        <v>526</v>
      </c>
      <c r="F22" s="393" t="s">
        <v>515</v>
      </c>
      <c r="G22" s="393" t="s">
        <v>516</v>
      </c>
      <c r="H22" s="393" t="s">
        <v>517</v>
      </c>
      <c r="I22" s="380"/>
      <c r="J22" s="380"/>
      <c r="K22" s="380"/>
      <c r="L22" s="380"/>
    </row>
    <row r="23" spans="1:12" s="323" customFormat="1" ht="27">
      <c r="A23" s="380">
        <v>12</v>
      </c>
      <c r="B23" s="407">
        <v>42193</v>
      </c>
      <c r="C23" s="385" t="s">
        <v>232</v>
      </c>
      <c r="D23" s="386">
        <v>20</v>
      </c>
      <c r="E23" s="392" t="s">
        <v>537</v>
      </c>
      <c r="F23" s="393" t="s">
        <v>538</v>
      </c>
      <c r="G23" s="393" t="s">
        <v>539</v>
      </c>
      <c r="H23" s="393" t="s">
        <v>540</v>
      </c>
      <c r="I23" s="380"/>
      <c r="J23" s="380"/>
      <c r="K23" s="380"/>
      <c r="L23" s="380"/>
    </row>
    <row r="24" spans="1:12" s="323" customFormat="1" ht="27">
      <c r="A24" s="380">
        <v>13</v>
      </c>
      <c r="B24" s="407">
        <v>42193</v>
      </c>
      <c r="C24" s="385" t="s">
        <v>232</v>
      </c>
      <c r="D24" s="386">
        <v>20</v>
      </c>
      <c r="E24" s="392" t="s">
        <v>541</v>
      </c>
      <c r="F24" s="393" t="s">
        <v>542</v>
      </c>
      <c r="G24" s="393" t="s">
        <v>543</v>
      </c>
      <c r="H24" s="393" t="s">
        <v>540</v>
      </c>
      <c r="I24" s="380"/>
      <c r="J24" s="380"/>
      <c r="K24" s="380"/>
      <c r="L24" s="380"/>
    </row>
    <row r="25" spans="1:12" s="323" customFormat="1" ht="135">
      <c r="A25" s="380">
        <v>14</v>
      </c>
      <c r="B25" s="407">
        <v>42013</v>
      </c>
      <c r="C25" s="385" t="s">
        <v>521</v>
      </c>
      <c r="D25" s="398">
        <v>2870</v>
      </c>
      <c r="E25" s="385" t="s">
        <v>522</v>
      </c>
      <c r="F25" s="399" t="s">
        <v>523</v>
      </c>
      <c r="G25" s="393"/>
      <c r="H25" s="393"/>
      <c r="I25" s="393" t="s">
        <v>544</v>
      </c>
      <c r="J25" s="380"/>
      <c r="K25" s="380"/>
      <c r="L25" s="380"/>
    </row>
    <row r="26" spans="1:12" s="323" customFormat="1" ht="27">
      <c r="A26" s="380">
        <v>15</v>
      </c>
      <c r="B26" s="404" t="s">
        <v>545</v>
      </c>
      <c r="C26" s="390" t="s">
        <v>232</v>
      </c>
      <c r="D26" s="397">
        <v>20</v>
      </c>
      <c r="E26" s="395" t="s">
        <v>514</v>
      </c>
      <c r="F26" s="393" t="s">
        <v>515</v>
      </c>
      <c r="G26" s="393" t="s">
        <v>516</v>
      </c>
      <c r="H26" s="393" t="s">
        <v>517</v>
      </c>
      <c r="I26" s="388"/>
      <c r="J26" s="380"/>
      <c r="K26" s="380"/>
      <c r="L26" s="380"/>
    </row>
    <row r="27" spans="1:12" s="323" customFormat="1" ht="108">
      <c r="A27" s="380">
        <v>16</v>
      </c>
      <c r="B27" s="404" t="s">
        <v>545</v>
      </c>
      <c r="C27" s="390" t="s">
        <v>521</v>
      </c>
      <c r="D27" s="391">
        <v>1600</v>
      </c>
      <c r="E27" s="392" t="s">
        <v>546</v>
      </c>
      <c r="F27" s="394" t="s">
        <v>547</v>
      </c>
      <c r="G27" s="394"/>
      <c r="H27" s="394"/>
      <c r="I27" s="393" t="s">
        <v>548</v>
      </c>
      <c r="J27" s="380"/>
      <c r="K27" s="380"/>
      <c r="L27" s="380"/>
    </row>
    <row r="28" spans="1:12" s="323" customFormat="1" ht="38.25">
      <c r="A28" s="380">
        <v>17</v>
      </c>
      <c r="B28" s="393" t="s">
        <v>549</v>
      </c>
      <c r="C28" s="390" t="s">
        <v>550</v>
      </c>
      <c r="D28" s="401">
        <v>5000</v>
      </c>
      <c r="E28" s="393" t="s">
        <v>551</v>
      </c>
      <c r="F28" s="393" t="s">
        <v>552</v>
      </c>
      <c r="G28" s="393" t="s">
        <v>553</v>
      </c>
      <c r="H28" s="393" t="s">
        <v>540</v>
      </c>
      <c r="I28" s="389"/>
      <c r="J28" s="380"/>
      <c r="K28" s="380"/>
      <c r="L28" s="380"/>
    </row>
    <row r="29" spans="1:12" s="323" customFormat="1" ht="38.25">
      <c r="A29" s="380">
        <v>18</v>
      </c>
      <c r="B29" s="393" t="s">
        <v>554</v>
      </c>
      <c r="C29" s="390" t="s">
        <v>550</v>
      </c>
      <c r="D29" s="402">
        <v>3000</v>
      </c>
      <c r="E29" s="393" t="s">
        <v>555</v>
      </c>
      <c r="F29" s="393" t="s">
        <v>556</v>
      </c>
      <c r="G29" s="393" t="s">
        <v>557</v>
      </c>
      <c r="H29" s="393" t="s">
        <v>540</v>
      </c>
      <c r="I29" s="388"/>
      <c r="J29" s="380"/>
      <c r="K29" s="380"/>
      <c r="L29" s="380"/>
    </row>
    <row r="30" spans="1:12" s="323" customFormat="1" ht="38.25">
      <c r="A30" s="380">
        <v>19</v>
      </c>
      <c r="B30" s="393" t="s">
        <v>554</v>
      </c>
      <c r="C30" s="390" t="s">
        <v>550</v>
      </c>
      <c r="D30" s="403">
        <v>10000</v>
      </c>
      <c r="E30" s="393" t="s">
        <v>558</v>
      </c>
      <c r="F30" s="393" t="s">
        <v>559</v>
      </c>
      <c r="G30" s="393" t="s">
        <v>560</v>
      </c>
      <c r="H30" s="393" t="s">
        <v>540</v>
      </c>
      <c r="I30" s="389"/>
      <c r="J30" s="380"/>
      <c r="K30" s="380"/>
      <c r="L30" s="380"/>
    </row>
    <row r="31" spans="1:12" s="323" customFormat="1" ht="38.25">
      <c r="A31" s="380">
        <v>20</v>
      </c>
      <c r="B31" s="393" t="s">
        <v>554</v>
      </c>
      <c r="C31" s="390" t="s">
        <v>550</v>
      </c>
      <c r="D31" s="403">
        <v>3000</v>
      </c>
      <c r="E31" s="393" t="s">
        <v>561</v>
      </c>
      <c r="F31" s="393" t="s">
        <v>562</v>
      </c>
      <c r="G31" s="393" t="s">
        <v>563</v>
      </c>
      <c r="H31" s="393" t="s">
        <v>540</v>
      </c>
      <c r="I31" s="389"/>
      <c r="J31" s="380"/>
      <c r="K31" s="380"/>
      <c r="L31" s="380"/>
    </row>
    <row r="32" spans="1:12" s="323" customFormat="1" ht="38.25">
      <c r="A32" s="380">
        <v>21</v>
      </c>
      <c r="B32" s="393" t="s">
        <v>554</v>
      </c>
      <c r="C32" s="390" t="s">
        <v>550</v>
      </c>
      <c r="D32" s="403">
        <v>20000</v>
      </c>
      <c r="E32" s="393" t="s">
        <v>564</v>
      </c>
      <c r="F32" s="393" t="s">
        <v>565</v>
      </c>
      <c r="G32" s="393" t="s">
        <v>566</v>
      </c>
      <c r="H32" s="393" t="s">
        <v>540</v>
      </c>
      <c r="I32" s="389"/>
      <c r="J32" s="380"/>
      <c r="K32" s="380"/>
      <c r="L32" s="380"/>
    </row>
    <row r="33" spans="1:12" s="323" customFormat="1" ht="38.25">
      <c r="A33" s="380">
        <v>22</v>
      </c>
      <c r="B33" s="393" t="s">
        <v>554</v>
      </c>
      <c r="C33" s="390" t="s">
        <v>550</v>
      </c>
      <c r="D33" s="403">
        <v>5000</v>
      </c>
      <c r="E33" s="393" t="s">
        <v>567</v>
      </c>
      <c r="F33" s="393" t="s">
        <v>568</v>
      </c>
      <c r="G33" s="393" t="s">
        <v>569</v>
      </c>
      <c r="H33" s="393" t="s">
        <v>540</v>
      </c>
      <c r="I33" s="389"/>
      <c r="J33" s="380"/>
      <c r="K33" s="380"/>
      <c r="L33" s="380"/>
    </row>
    <row r="34" spans="1:12" s="323" customFormat="1" ht="38.25">
      <c r="A34" s="380">
        <v>23</v>
      </c>
      <c r="B34" s="393" t="s">
        <v>570</v>
      </c>
      <c r="C34" s="390" t="s">
        <v>550</v>
      </c>
      <c r="D34" s="403">
        <v>6000</v>
      </c>
      <c r="E34" s="393" t="s">
        <v>571</v>
      </c>
      <c r="F34" s="393" t="s">
        <v>572</v>
      </c>
      <c r="G34" s="393" t="s">
        <v>573</v>
      </c>
      <c r="H34" s="393" t="s">
        <v>540</v>
      </c>
      <c r="I34" s="389"/>
      <c r="J34" s="380"/>
      <c r="K34" s="380"/>
      <c r="L34" s="380"/>
    </row>
    <row r="35" spans="1:12" s="323" customFormat="1" ht="38.25">
      <c r="A35" s="380">
        <v>24</v>
      </c>
      <c r="B35" s="393" t="s">
        <v>574</v>
      </c>
      <c r="C35" s="390" t="s">
        <v>550</v>
      </c>
      <c r="D35" s="401">
        <v>5000</v>
      </c>
      <c r="E35" s="393" t="s">
        <v>575</v>
      </c>
      <c r="F35" s="393" t="s">
        <v>576</v>
      </c>
      <c r="G35" s="393" t="s">
        <v>577</v>
      </c>
      <c r="H35" s="393" t="s">
        <v>540</v>
      </c>
      <c r="I35" s="389"/>
      <c r="J35" s="380"/>
      <c r="K35" s="380"/>
      <c r="L35" s="380"/>
    </row>
    <row r="36" spans="1:12" s="323" customFormat="1" ht="38.25">
      <c r="A36" s="380">
        <v>25</v>
      </c>
      <c r="B36" s="393" t="s">
        <v>574</v>
      </c>
      <c r="C36" s="390" t="s">
        <v>550</v>
      </c>
      <c r="D36" s="401">
        <v>6000</v>
      </c>
      <c r="E36" s="393" t="s">
        <v>578</v>
      </c>
      <c r="F36" s="393" t="s">
        <v>579</v>
      </c>
      <c r="G36" s="393" t="s">
        <v>580</v>
      </c>
      <c r="H36" s="393" t="s">
        <v>540</v>
      </c>
      <c r="I36" s="389"/>
      <c r="J36" s="380"/>
      <c r="K36" s="380"/>
      <c r="L36" s="380"/>
    </row>
    <row r="37" spans="1:12" s="323" customFormat="1" ht="38.25">
      <c r="A37" s="380">
        <v>26</v>
      </c>
      <c r="B37" s="393" t="s">
        <v>574</v>
      </c>
      <c r="C37" s="390" t="s">
        <v>550</v>
      </c>
      <c r="D37" s="401">
        <v>4000</v>
      </c>
      <c r="E37" s="393" t="s">
        <v>581</v>
      </c>
      <c r="F37" s="393" t="s">
        <v>582</v>
      </c>
      <c r="G37" s="393" t="s">
        <v>583</v>
      </c>
      <c r="H37" s="393" t="s">
        <v>540</v>
      </c>
      <c r="I37" s="389"/>
      <c r="J37" s="380"/>
      <c r="K37" s="380"/>
      <c r="L37" s="380"/>
    </row>
    <row r="38" spans="1:12" s="323" customFormat="1" ht="38.25">
      <c r="A38" s="380">
        <v>27</v>
      </c>
      <c r="B38" s="393" t="s">
        <v>574</v>
      </c>
      <c r="C38" s="390" t="s">
        <v>550</v>
      </c>
      <c r="D38" s="401">
        <v>6000</v>
      </c>
      <c r="E38" s="393" t="s">
        <v>584</v>
      </c>
      <c r="F38" s="393" t="s">
        <v>585</v>
      </c>
      <c r="G38" s="393" t="s">
        <v>586</v>
      </c>
      <c r="H38" s="393" t="s">
        <v>540</v>
      </c>
      <c r="I38" s="389"/>
      <c r="J38" s="380"/>
      <c r="K38" s="380"/>
      <c r="L38" s="380"/>
    </row>
    <row r="39" spans="1:12" s="323" customFormat="1" ht="38.25">
      <c r="A39" s="380">
        <v>28</v>
      </c>
      <c r="B39" s="404">
        <v>42195</v>
      </c>
      <c r="C39" s="390" t="s">
        <v>550</v>
      </c>
      <c r="D39" s="391">
        <v>8000</v>
      </c>
      <c r="E39" s="392" t="s">
        <v>587</v>
      </c>
      <c r="F39" s="394" t="s">
        <v>588</v>
      </c>
      <c r="G39" s="393" t="s">
        <v>589</v>
      </c>
      <c r="H39" s="393" t="s">
        <v>540</v>
      </c>
      <c r="I39" s="389"/>
      <c r="J39" s="380"/>
      <c r="K39" s="380"/>
      <c r="L39" s="380"/>
    </row>
    <row r="40" spans="1:12" s="323" customFormat="1" ht="114.75">
      <c r="A40" s="380">
        <v>29</v>
      </c>
      <c r="B40" s="404">
        <v>42226</v>
      </c>
      <c r="C40" s="390" t="s">
        <v>521</v>
      </c>
      <c r="D40" s="391">
        <v>500</v>
      </c>
      <c r="E40" s="392" t="s">
        <v>590</v>
      </c>
      <c r="F40" s="394" t="s">
        <v>591</v>
      </c>
      <c r="G40" s="394"/>
      <c r="H40" s="394"/>
      <c r="I40" s="396" t="s">
        <v>592</v>
      </c>
      <c r="J40" s="380"/>
      <c r="K40" s="380"/>
      <c r="L40" s="380"/>
    </row>
    <row r="41" spans="1:12" s="323" customFormat="1" ht="38.25">
      <c r="A41" s="380">
        <v>30</v>
      </c>
      <c r="B41" s="405" t="s">
        <v>593</v>
      </c>
      <c r="C41" s="390" t="s">
        <v>550</v>
      </c>
      <c r="D41" s="406">
        <v>5000</v>
      </c>
      <c r="E41" s="405" t="s">
        <v>594</v>
      </c>
      <c r="F41" s="405" t="s">
        <v>595</v>
      </c>
      <c r="G41" s="405" t="s">
        <v>596</v>
      </c>
      <c r="H41" s="405" t="s">
        <v>540</v>
      </c>
      <c r="I41" s="388"/>
      <c r="J41" s="380"/>
      <c r="K41" s="380"/>
      <c r="L41" s="380"/>
    </row>
    <row r="42" spans="1:12" s="323" customFormat="1" ht="38.25">
      <c r="A42" s="380">
        <v>31</v>
      </c>
      <c r="B42" s="393" t="s">
        <v>593</v>
      </c>
      <c r="C42" s="390" t="s">
        <v>550</v>
      </c>
      <c r="D42" s="402">
        <v>5000</v>
      </c>
      <c r="E42" s="393" t="s">
        <v>597</v>
      </c>
      <c r="F42" s="393" t="s">
        <v>598</v>
      </c>
      <c r="G42" s="393" t="s">
        <v>599</v>
      </c>
      <c r="H42" s="393" t="s">
        <v>540</v>
      </c>
      <c r="I42" s="388"/>
      <c r="J42" s="380"/>
      <c r="K42" s="380"/>
      <c r="L42" s="380"/>
    </row>
    <row r="43" spans="1:12" s="323" customFormat="1" ht="27">
      <c r="A43" s="380">
        <v>32</v>
      </c>
      <c r="B43" s="393" t="s">
        <v>600</v>
      </c>
      <c r="C43" s="390" t="s">
        <v>232</v>
      </c>
      <c r="D43" s="403">
        <v>20</v>
      </c>
      <c r="E43" s="393" t="s">
        <v>601</v>
      </c>
      <c r="F43" s="393" t="s">
        <v>515</v>
      </c>
      <c r="G43" s="393" t="s">
        <v>516</v>
      </c>
      <c r="H43" s="393" t="s">
        <v>517</v>
      </c>
      <c r="I43" s="389"/>
      <c r="J43" s="380"/>
      <c r="K43" s="380"/>
      <c r="L43" s="380"/>
    </row>
    <row r="44" spans="1:12" s="323" customFormat="1" ht="38.25">
      <c r="A44" s="380">
        <v>33</v>
      </c>
      <c r="B44" s="393" t="s">
        <v>602</v>
      </c>
      <c r="C44" s="390" t="s">
        <v>550</v>
      </c>
      <c r="D44" s="403">
        <v>10000</v>
      </c>
      <c r="E44" s="393" t="s">
        <v>603</v>
      </c>
      <c r="F44" s="393" t="s">
        <v>604</v>
      </c>
      <c r="G44" s="393" t="s">
        <v>605</v>
      </c>
      <c r="H44" s="393" t="s">
        <v>540</v>
      </c>
      <c r="I44" s="389"/>
      <c r="J44" s="380"/>
      <c r="K44" s="380"/>
      <c r="L44" s="380"/>
    </row>
    <row r="45" spans="1:12" s="323" customFormat="1" ht="38.25">
      <c r="A45" s="380">
        <v>34</v>
      </c>
      <c r="B45" s="393" t="s">
        <v>602</v>
      </c>
      <c r="C45" s="390" t="s">
        <v>550</v>
      </c>
      <c r="D45" s="403">
        <v>5000</v>
      </c>
      <c r="E45" s="393" t="s">
        <v>606</v>
      </c>
      <c r="F45" s="393" t="s">
        <v>607</v>
      </c>
      <c r="G45" s="393" t="s">
        <v>608</v>
      </c>
      <c r="H45" s="393" t="s">
        <v>540</v>
      </c>
      <c r="I45" s="389"/>
      <c r="J45" s="380"/>
      <c r="K45" s="380"/>
      <c r="L45" s="380"/>
    </row>
    <row r="46" spans="1:12" s="323" customFormat="1" ht="38.25">
      <c r="A46" s="380">
        <v>35</v>
      </c>
      <c r="B46" s="393" t="s">
        <v>609</v>
      </c>
      <c r="C46" s="390" t="s">
        <v>550</v>
      </c>
      <c r="D46" s="403">
        <v>10000</v>
      </c>
      <c r="E46" s="393" t="s">
        <v>610</v>
      </c>
      <c r="F46" s="393" t="s">
        <v>611</v>
      </c>
      <c r="G46" s="393" t="s">
        <v>612</v>
      </c>
      <c r="H46" s="393" t="s">
        <v>540</v>
      </c>
      <c r="I46" s="389"/>
      <c r="J46" s="380"/>
      <c r="K46" s="380"/>
      <c r="L46" s="380"/>
    </row>
    <row r="47" spans="1:12" s="323" customFormat="1" ht="108">
      <c r="A47" s="380">
        <v>36</v>
      </c>
      <c r="B47" s="393" t="s">
        <v>609</v>
      </c>
      <c r="C47" s="390" t="s">
        <v>521</v>
      </c>
      <c r="D47" s="403">
        <v>100</v>
      </c>
      <c r="E47" s="393" t="s">
        <v>613</v>
      </c>
      <c r="F47" s="393" t="s">
        <v>614</v>
      </c>
      <c r="G47" s="393"/>
      <c r="H47" s="393"/>
      <c r="I47" s="393" t="s">
        <v>615</v>
      </c>
      <c r="J47" s="380"/>
      <c r="K47" s="380"/>
      <c r="L47" s="380"/>
    </row>
    <row r="48" spans="1:12" s="323" customFormat="1" ht="108">
      <c r="A48" s="380">
        <v>37</v>
      </c>
      <c r="B48" s="393" t="s">
        <v>609</v>
      </c>
      <c r="C48" s="390" t="s">
        <v>521</v>
      </c>
      <c r="D48" s="401">
        <v>100</v>
      </c>
      <c r="E48" s="393" t="s">
        <v>616</v>
      </c>
      <c r="F48" s="393" t="s">
        <v>617</v>
      </c>
      <c r="G48" s="393"/>
      <c r="H48" s="393"/>
      <c r="I48" s="393" t="s">
        <v>618</v>
      </c>
      <c r="J48" s="380"/>
      <c r="K48" s="380"/>
      <c r="L48" s="380"/>
    </row>
    <row r="49" spans="1:12" s="323" customFormat="1" ht="27">
      <c r="A49" s="380">
        <v>38</v>
      </c>
      <c r="B49" s="407" t="s">
        <v>619</v>
      </c>
      <c r="C49" s="385" t="s">
        <v>232</v>
      </c>
      <c r="D49" s="386">
        <v>20</v>
      </c>
      <c r="E49" s="385" t="s">
        <v>514</v>
      </c>
      <c r="F49" s="387" t="s">
        <v>515</v>
      </c>
      <c r="G49" s="387" t="s">
        <v>516</v>
      </c>
      <c r="H49" s="387" t="s">
        <v>517</v>
      </c>
      <c r="I49" s="389"/>
      <c r="J49" s="380"/>
      <c r="K49" s="380"/>
      <c r="L49" s="380"/>
    </row>
    <row r="50" spans="1:12" s="323" customFormat="1" ht="38.25">
      <c r="A50" s="380">
        <v>39</v>
      </c>
      <c r="B50" s="407" t="s">
        <v>620</v>
      </c>
      <c r="C50" s="385" t="s">
        <v>550</v>
      </c>
      <c r="D50" s="398">
        <v>60000</v>
      </c>
      <c r="E50" s="385" t="s">
        <v>621</v>
      </c>
      <c r="F50" s="393" t="s">
        <v>622</v>
      </c>
      <c r="G50" s="393" t="s">
        <v>623</v>
      </c>
      <c r="H50" s="393" t="s">
        <v>540</v>
      </c>
      <c r="I50" s="380"/>
      <c r="J50" s="380"/>
      <c r="K50" s="380"/>
      <c r="L50" s="380"/>
    </row>
    <row r="51" spans="1:12" s="323" customFormat="1" ht="38.25">
      <c r="A51" s="380">
        <v>40</v>
      </c>
      <c r="B51" s="407" t="s">
        <v>620</v>
      </c>
      <c r="C51" s="385" t="s">
        <v>550</v>
      </c>
      <c r="D51" s="402">
        <v>60000</v>
      </c>
      <c r="E51" s="395" t="s">
        <v>624</v>
      </c>
      <c r="F51" s="393" t="s">
        <v>625</v>
      </c>
      <c r="G51" s="393" t="s">
        <v>626</v>
      </c>
      <c r="H51" s="393" t="s">
        <v>627</v>
      </c>
      <c r="I51" s="380"/>
      <c r="J51" s="380"/>
      <c r="K51" s="380"/>
      <c r="L51" s="380"/>
    </row>
    <row r="52" spans="1:12" s="323" customFormat="1" ht="38.25">
      <c r="A52" s="380">
        <v>41</v>
      </c>
      <c r="B52" s="407" t="s">
        <v>620</v>
      </c>
      <c r="C52" s="385" t="s">
        <v>550</v>
      </c>
      <c r="D52" s="403">
        <v>30000</v>
      </c>
      <c r="E52" s="392" t="s">
        <v>628</v>
      </c>
      <c r="F52" s="393" t="s">
        <v>629</v>
      </c>
      <c r="G52" s="393" t="s">
        <v>630</v>
      </c>
      <c r="H52" s="393" t="s">
        <v>627</v>
      </c>
      <c r="I52" s="380"/>
      <c r="J52" s="380"/>
      <c r="K52" s="380"/>
      <c r="L52" s="380"/>
    </row>
    <row r="53" spans="1:12" s="323" customFormat="1" ht="38.25">
      <c r="A53" s="380">
        <v>42</v>
      </c>
      <c r="B53" s="407" t="s">
        <v>620</v>
      </c>
      <c r="C53" s="385" t="s">
        <v>550</v>
      </c>
      <c r="D53" s="401">
        <v>30000</v>
      </c>
      <c r="E53" s="393" t="s">
        <v>631</v>
      </c>
      <c r="F53" s="393" t="s">
        <v>632</v>
      </c>
      <c r="G53" s="393" t="s">
        <v>633</v>
      </c>
      <c r="H53" s="393" t="s">
        <v>627</v>
      </c>
      <c r="I53" s="380"/>
      <c r="J53" s="380"/>
      <c r="K53" s="380"/>
      <c r="L53" s="380"/>
    </row>
    <row r="54" spans="1:12" s="323" customFormat="1" ht="38.25">
      <c r="A54" s="380">
        <v>43</v>
      </c>
      <c r="B54" s="407" t="s">
        <v>620</v>
      </c>
      <c r="C54" s="385" t="s">
        <v>550</v>
      </c>
      <c r="D54" s="402">
        <v>60000</v>
      </c>
      <c r="E54" s="393" t="s">
        <v>634</v>
      </c>
      <c r="F54" s="393" t="s">
        <v>635</v>
      </c>
      <c r="G54" s="393" t="s">
        <v>636</v>
      </c>
      <c r="H54" s="393" t="s">
        <v>540</v>
      </c>
      <c r="I54" s="380"/>
      <c r="J54" s="380"/>
      <c r="K54" s="380"/>
      <c r="L54" s="380"/>
    </row>
    <row r="55" spans="1:12" s="323" customFormat="1" ht="38.25">
      <c r="A55" s="380">
        <v>44</v>
      </c>
      <c r="B55" s="407" t="s">
        <v>620</v>
      </c>
      <c r="C55" s="385" t="s">
        <v>550</v>
      </c>
      <c r="D55" s="403">
        <v>40000</v>
      </c>
      <c r="E55" s="393" t="s">
        <v>637</v>
      </c>
      <c r="F55" s="393" t="s">
        <v>638</v>
      </c>
      <c r="G55" s="393" t="s">
        <v>639</v>
      </c>
      <c r="H55" s="393" t="s">
        <v>540</v>
      </c>
      <c r="I55" s="380"/>
      <c r="J55" s="380"/>
      <c r="K55" s="380"/>
      <c r="L55" s="380"/>
    </row>
    <row r="56" spans="1:12" s="323" customFormat="1" ht="38.25">
      <c r="A56" s="380">
        <v>45</v>
      </c>
      <c r="B56" s="407" t="s">
        <v>640</v>
      </c>
      <c r="C56" s="385" t="s">
        <v>550</v>
      </c>
      <c r="D56" s="401">
        <v>50000</v>
      </c>
      <c r="E56" s="393" t="s">
        <v>641</v>
      </c>
      <c r="F56" s="393" t="s">
        <v>642</v>
      </c>
      <c r="G56" s="393" t="s">
        <v>643</v>
      </c>
      <c r="H56" s="393" t="s">
        <v>627</v>
      </c>
      <c r="I56" s="380"/>
      <c r="J56" s="380"/>
      <c r="K56" s="380"/>
      <c r="L56" s="380"/>
    </row>
    <row r="57" spans="1:12" s="323" customFormat="1" ht="38.25">
      <c r="A57" s="380">
        <v>46</v>
      </c>
      <c r="B57" s="407" t="s">
        <v>640</v>
      </c>
      <c r="C57" s="385" t="s">
        <v>550</v>
      </c>
      <c r="D57" s="401">
        <v>40000</v>
      </c>
      <c r="E57" s="393" t="s">
        <v>644</v>
      </c>
      <c r="F57" s="393" t="s">
        <v>645</v>
      </c>
      <c r="G57" s="393" t="s">
        <v>646</v>
      </c>
      <c r="H57" s="393" t="s">
        <v>627</v>
      </c>
      <c r="I57" s="380"/>
      <c r="J57" s="380"/>
      <c r="K57" s="380"/>
      <c r="L57" s="380"/>
    </row>
    <row r="58" spans="1:12" ht="38.25">
      <c r="A58" s="380">
        <v>47</v>
      </c>
      <c r="B58" s="407" t="s">
        <v>640</v>
      </c>
      <c r="C58" s="385" t="s">
        <v>550</v>
      </c>
      <c r="D58" s="401">
        <v>40000</v>
      </c>
      <c r="E58" s="393" t="s">
        <v>647</v>
      </c>
      <c r="F58" s="393" t="s">
        <v>648</v>
      </c>
      <c r="G58" s="393" t="s">
        <v>649</v>
      </c>
      <c r="H58" s="393" t="s">
        <v>627</v>
      </c>
      <c r="I58" s="321"/>
      <c r="J58" s="321"/>
      <c r="K58" s="382"/>
      <c r="L58" s="381"/>
    </row>
    <row r="59" spans="1:12" ht="27">
      <c r="A59" s="380">
        <v>48</v>
      </c>
      <c r="B59" s="384" t="s">
        <v>650</v>
      </c>
      <c r="C59" s="385" t="s">
        <v>232</v>
      </c>
      <c r="D59" s="398">
        <v>20</v>
      </c>
      <c r="E59" s="385" t="s">
        <v>601</v>
      </c>
      <c r="F59" s="393" t="s">
        <v>515</v>
      </c>
      <c r="G59" s="399" t="s">
        <v>516</v>
      </c>
      <c r="H59" s="393" t="s">
        <v>517</v>
      </c>
      <c r="I59" s="321"/>
      <c r="J59" s="321"/>
      <c r="K59" s="382"/>
      <c r="L59" s="381"/>
    </row>
    <row r="60" spans="1:12" ht="38.25">
      <c r="A60" s="380">
        <v>49</v>
      </c>
      <c r="B60" s="400" t="s">
        <v>651</v>
      </c>
      <c r="C60" s="390" t="s">
        <v>550</v>
      </c>
      <c r="D60" s="397">
        <v>5000</v>
      </c>
      <c r="E60" s="395" t="s">
        <v>652</v>
      </c>
      <c r="F60" s="393" t="s">
        <v>653</v>
      </c>
      <c r="G60" s="393" t="s">
        <v>654</v>
      </c>
      <c r="H60" s="393" t="s">
        <v>540</v>
      </c>
      <c r="I60" s="321"/>
      <c r="J60" s="321"/>
      <c r="K60" s="382"/>
      <c r="L60" s="381"/>
    </row>
    <row r="61" spans="1:12" ht="38.25">
      <c r="A61" s="380">
        <v>50</v>
      </c>
      <c r="B61" s="400" t="s">
        <v>651</v>
      </c>
      <c r="C61" s="390" t="s">
        <v>550</v>
      </c>
      <c r="D61" s="391">
        <v>20000</v>
      </c>
      <c r="E61" s="392" t="s">
        <v>655</v>
      </c>
      <c r="F61" s="393" t="s">
        <v>656</v>
      </c>
      <c r="G61" s="393" t="s">
        <v>657</v>
      </c>
      <c r="H61" s="393" t="s">
        <v>540</v>
      </c>
      <c r="I61" s="321"/>
      <c r="J61" s="321"/>
      <c r="K61" s="382"/>
      <c r="L61" s="381"/>
    </row>
    <row r="62" spans="1:12" ht="38.25">
      <c r="A62" s="380">
        <v>51</v>
      </c>
      <c r="B62" s="400" t="s">
        <v>651</v>
      </c>
      <c r="C62" s="390" t="s">
        <v>550</v>
      </c>
      <c r="D62" s="401">
        <v>5000</v>
      </c>
      <c r="E62" s="393" t="s">
        <v>658</v>
      </c>
      <c r="F62" s="393" t="s">
        <v>659</v>
      </c>
      <c r="G62" s="393" t="s">
        <v>660</v>
      </c>
      <c r="H62" s="393" t="s">
        <v>540</v>
      </c>
      <c r="I62" s="321"/>
      <c r="J62" s="321"/>
      <c r="K62" s="382"/>
      <c r="L62" s="381"/>
    </row>
    <row r="63" spans="1:12">
      <c r="A63" s="380">
        <v>52</v>
      </c>
      <c r="B63" s="408"/>
      <c r="C63" s="381"/>
      <c r="D63" s="383"/>
      <c r="E63" s="381"/>
      <c r="F63" s="322"/>
      <c r="G63" s="322"/>
      <c r="H63" s="322"/>
      <c r="I63" s="321"/>
      <c r="J63" s="321"/>
      <c r="K63" s="382"/>
      <c r="L63" s="381"/>
    </row>
    <row r="64" spans="1:12">
      <c r="A64" s="380">
        <v>53</v>
      </c>
      <c r="B64" s="408"/>
      <c r="C64" s="381"/>
      <c r="D64" s="383"/>
      <c r="E64" s="381"/>
      <c r="F64" s="322"/>
      <c r="G64" s="322"/>
      <c r="H64" s="322"/>
      <c r="I64" s="321"/>
      <c r="J64" s="321"/>
      <c r="K64" s="382"/>
      <c r="L64" s="381"/>
    </row>
    <row r="65" spans="1:12">
      <c r="A65" s="380">
        <v>54</v>
      </c>
      <c r="B65" s="408"/>
      <c r="C65" s="381"/>
      <c r="D65" s="383"/>
      <c r="E65" s="381"/>
      <c r="F65" s="322"/>
      <c r="G65" s="322"/>
      <c r="H65" s="322"/>
      <c r="I65" s="321"/>
      <c r="J65" s="321"/>
      <c r="K65" s="382"/>
      <c r="L65" s="381"/>
    </row>
    <row r="66" spans="1:12">
      <c r="A66" s="380">
        <v>55</v>
      </c>
      <c r="B66" s="408"/>
      <c r="C66" s="381"/>
      <c r="D66" s="383"/>
      <c r="E66" s="381"/>
      <c r="F66" s="322"/>
      <c r="G66" s="322"/>
      <c r="H66" s="322"/>
      <c r="I66" s="321"/>
      <c r="J66" s="321"/>
      <c r="K66" s="382"/>
      <c r="L66" s="381"/>
    </row>
    <row r="67" spans="1:12" ht="15.75" thickBot="1">
      <c r="A67" s="320" t="s">
        <v>278</v>
      </c>
      <c r="B67" s="319"/>
      <c r="C67" s="318"/>
      <c r="D67" s="317"/>
      <c r="E67" s="316"/>
      <c r="F67" s="315"/>
      <c r="G67" s="315"/>
      <c r="H67" s="315"/>
      <c r="I67" s="314"/>
      <c r="J67" s="313"/>
      <c r="K67" s="312"/>
      <c r="L67" s="311"/>
    </row>
    <row r="68" spans="1:12">
      <c r="A68" s="301"/>
      <c r="B68" s="302"/>
      <c r="C68" s="301"/>
      <c r="D68" s="302"/>
      <c r="E68" s="301"/>
      <c r="F68" s="302"/>
      <c r="G68" s="301"/>
      <c r="H68" s="302"/>
      <c r="I68" s="301"/>
      <c r="J68" s="302"/>
      <c r="K68" s="301"/>
      <c r="L68" s="302"/>
    </row>
    <row r="69" spans="1:12">
      <c r="A69" s="301"/>
      <c r="B69" s="308"/>
      <c r="C69" s="301"/>
      <c r="D69" s="308"/>
      <c r="E69" s="301"/>
      <c r="F69" s="308"/>
      <c r="G69" s="301"/>
      <c r="H69" s="308"/>
      <c r="I69" s="301"/>
      <c r="J69" s="308"/>
      <c r="K69" s="301"/>
      <c r="L69" s="308"/>
    </row>
    <row r="70" spans="1:12" s="309" customFormat="1">
      <c r="A70" s="531" t="s">
        <v>435</v>
      </c>
      <c r="B70" s="531"/>
      <c r="C70" s="531"/>
      <c r="D70" s="531"/>
      <c r="E70" s="531"/>
      <c r="F70" s="531"/>
      <c r="G70" s="531"/>
      <c r="H70" s="531"/>
      <c r="I70" s="531"/>
      <c r="J70" s="531"/>
      <c r="K70" s="531"/>
      <c r="L70" s="531"/>
    </row>
    <row r="71" spans="1:12" s="310" customFormat="1" ht="12.75">
      <c r="A71" s="531" t="s">
        <v>473</v>
      </c>
      <c r="B71" s="531"/>
      <c r="C71" s="531"/>
      <c r="D71" s="531"/>
      <c r="E71" s="531"/>
      <c r="F71" s="531"/>
      <c r="G71" s="531"/>
      <c r="H71" s="531"/>
      <c r="I71" s="531"/>
      <c r="J71" s="531"/>
      <c r="K71" s="531"/>
      <c r="L71" s="531"/>
    </row>
    <row r="72" spans="1:12" s="310" customFormat="1" ht="12.75">
      <c r="A72" s="531"/>
      <c r="B72" s="531"/>
      <c r="C72" s="531"/>
      <c r="D72" s="531"/>
      <c r="E72" s="531"/>
      <c r="F72" s="531"/>
      <c r="G72" s="531"/>
      <c r="H72" s="531"/>
      <c r="I72" s="531"/>
      <c r="J72" s="531"/>
      <c r="K72" s="531"/>
      <c r="L72" s="531"/>
    </row>
    <row r="73" spans="1:12" s="309" customFormat="1">
      <c r="A73" s="531" t="s">
        <v>472</v>
      </c>
      <c r="B73" s="531"/>
      <c r="C73" s="531"/>
      <c r="D73" s="531"/>
      <c r="E73" s="531"/>
      <c r="F73" s="531"/>
      <c r="G73" s="531"/>
      <c r="H73" s="531"/>
      <c r="I73" s="531"/>
      <c r="J73" s="531"/>
      <c r="K73" s="531"/>
      <c r="L73" s="531"/>
    </row>
    <row r="74" spans="1:12" s="309" customFormat="1">
      <c r="A74" s="531"/>
      <c r="B74" s="531"/>
      <c r="C74" s="531"/>
      <c r="D74" s="531"/>
      <c r="E74" s="531"/>
      <c r="F74" s="531"/>
      <c r="G74" s="531"/>
      <c r="H74" s="531"/>
      <c r="I74" s="531"/>
      <c r="J74" s="531"/>
      <c r="K74" s="531"/>
      <c r="L74" s="531"/>
    </row>
    <row r="75" spans="1:12" s="309" customFormat="1">
      <c r="A75" s="531" t="s">
        <v>471</v>
      </c>
      <c r="B75" s="531"/>
      <c r="C75" s="531"/>
      <c r="D75" s="531"/>
      <c r="E75" s="531"/>
      <c r="F75" s="531"/>
      <c r="G75" s="531"/>
      <c r="H75" s="531"/>
      <c r="I75" s="531"/>
      <c r="J75" s="531"/>
      <c r="K75" s="531"/>
      <c r="L75" s="531"/>
    </row>
    <row r="76" spans="1:12" s="309" customFormat="1">
      <c r="A76" s="301"/>
      <c r="B76" s="302"/>
      <c r="C76" s="301"/>
      <c r="D76" s="302"/>
      <c r="E76" s="301"/>
      <c r="F76" s="302"/>
      <c r="G76" s="301"/>
      <c r="H76" s="302"/>
      <c r="I76" s="301"/>
      <c r="J76" s="302"/>
      <c r="K76" s="301"/>
      <c r="L76" s="302"/>
    </row>
    <row r="77" spans="1:12" s="309" customFormat="1">
      <c r="A77" s="301"/>
      <c r="B77" s="308"/>
      <c r="C77" s="301"/>
      <c r="D77" s="308"/>
      <c r="E77" s="301"/>
      <c r="F77" s="308"/>
      <c r="G77" s="301"/>
      <c r="H77" s="308"/>
      <c r="I77" s="301"/>
      <c r="J77" s="308"/>
      <c r="K77" s="301"/>
      <c r="L77" s="308"/>
    </row>
    <row r="78" spans="1:12" s="309" customFormat="1">
      <c r="A78" s="301"/>
      <c r="B78" s="302"/>
      <c r="C78" s="301"/>
      <c r="D78" s="302"/>
      <c r="E78" s="301"/>
      <c r="F78" s="302"/>
      <c r="G78" s="301"/>
      <c r="H78" s="302"/>
      <c r="I78" s="301"/>
      <c r="J78" s="302"/>
      <c r="K78" s="301"/>
      <c r="L78" s="302"/>
    </row>
    <row r="79" spans="1:12">
      <c r="A79" s="301"/>
      <c r="B79" s="308"/>
      <c r="C79" s="301"/>
      <c r="D79" s="308"/>
      <c r="E79" s="301"/>
      <c r="F79" s="308"/>
      <c r="G79" s="301"/>
      <c r="H79" s="308"/>
      <c r="I79" s="301"/>
      <c r="J79" s="308"/>
      <c r="K79" s="301"/>
      <c r="L79" s="308"/>
    </row>
    <row r="80" spans="1:12" s="303" customFormat="1">
      <c r="A80" s="537" t="s">
        <v>107</v>
      </c>
      <c r="B80" s="537"/>
      <c r="C80" s="302"/>
      <c r="D80" s="301"/>
      <c r="E80" s="302"/>
      <c r="F80" s="302"/>
      <c r="G80" s="301"/>
      <c r="H80" s="302"/>
      <c r="I80" s="302"/>
      <c r="J80" s="301"/>
      <c r="K80" s="302"/>
      <c r="L80" s="301"/>
    </row>
    <row r="81" spans="1:12" s="303" customFormat="1">
      <c r="A81" s="302"/>
      <c r="B81" s="301"/>
      <c r="C81" s="306"/>
      <c r="D81" s="307"/>
      <c r="E81" s="306"/>
      <c r="F81" s="302"/>
      <c r="G81" s="301"/>
      <c r="H81" s="305"/>
      <c r="I81" s="302"/>
      <c r="J81" s="301"/>
      <c r="K81" s="302"/>
      <c r="L81" s="301"/>
    </row>
    <row r="82" spans="1:12" s="303" customFormat="1" ht="15" customHeight="1">
      <c r="A82" s="302"/>
      <c r="B82" s="301"/>
      <c r="C82" s="530" t="s">
        <v>269</v>
      </c>
      <c r="D82" s="530"/>
      <c r="E82" s="530"/>
      <c r="F82" s="302"/>
      <c r="G82" s="301"/>
      <c r="H82" s="535" t="s">
        <v>470</v>
      </c>
      <c r="I82" s="304"/>
      <c r="J82" s="301"/>
      <c r="K82" s="302"/>
      <c r="L82" s="301"/>
    </row>
    <row r="83" spans="1:12" s="303" customFormat="1">
      <c r="A83" s="302"/>
      <c r="B83" s="301"/>
      <c r="C83" s="302"/>
      <c r="D83" s="301"/>
      <c r="E83" s="302"/>
      <c r="F83" s="302"/>
      <c r="G83" s="301"/>
      <c r="H83" s="536"/>
      <c r="I83" s="304"/>
      <c r="J83" s="301"/>
      <c r="K83" s="302"/>
      <c r="L83" s="301"/>
    </row>
    <row r="84" spans="1:12" s="300" customFormat="1">
      <c r="A84" s="302"/>
      <c r="B84" s="301"/>
      <c r="C84" s="530" t="s">
        <v>140</v>
      </c>
      <c r="D84" s="530"/>
      <c r="E84" s="530"/>
      <c r="F84" s="302"/>
      <c r="G84" s="301"/>
      <c r="H84" s="302"/>
      <c r="I84" s="302"/>
      <c r="J84" s="301"/>
      <c r="K84" s="302"/>
      <c r="L84" s="301"/>
    </row>
    <row r="85" spans="1:12" s="300" customFormat="1">
      <c r="E85" s="298"/>
    </row>
    <row r="86" spans="1:12" s="300" customFormat="1">
      <c r="E86" s="298"/>
    </row>
    <row r="87" spans="1:12" s="300" customFormat="1">
      <c r="E87" s="298"/>
    </row>
    <row r="88" spans="1:12" s="300" customFormat="1">
      <c r="E88" s="298"/>
    </row>
    <row r="89" spans="1:12" s="300" customFormat="1"/>
  </sheetData>
  <mergeCells count="10">
    <mergeCell ref="K4:L4"/>
    <mergeCell ref="C84:E84"/>
    <mergeCell ref="A71:L72"/>
    <mergeCell ref="A73:L74"/>
    <mergeCell ref="A75:L75"/>
    <mergeCell ref="I9:K9"/>
    <mergeCell ref="H82:H83"/>
    <mergeCell ref="A80:B80"/>
    <mergeCell ref="A70:L70"/>
    <mergeCell ref="C82:E8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58 F60:F62 G59:H62 F63:H67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6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67"/>
  </dataValidations>
  <printOptions gridLines="1"/>
  <pageMargins left="0.118108048993876" right="0.118108048993876" top="0.354329615048119" bottom="0.354329615048119" header="0.31496062992126" footer="0.31496062992126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showGridLines="0" view="pageBreakPreview" zoomScale="70" zoomScaleNormal="100" zoomScaleSheetLayoutView="70" workbookViewId="0">
      <selection activeCell="D14" sqref="D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336</v>
      </c>
      <c r="B1" s="77"/>
      <c r="C1" s="539" t="s">
        <v>110</v>
      </c>
      <c r="D1" s="539"/>
      <c r="E1" s="91"/>
    </row>
    <row r="2" spans="1:5" s="6" customFormat="1">
      <c r="A2" s="74" t="s">
        <v>330</v>
      </c>
      <c r="B2" s="77"/>
      <c r="C2" s="529" t="s">
        <v>982</v>
      </c>
      <c r="D2" s="529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512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331</v>
      </c>
      <c r="B10" s="98"/>
      <c r="C10" s="4"/>
      <c r="D10" s="4"/>
      <c r="E10" s="93"/>
    </row>
    <row r="11" spans="1:5" s="10" customFormat="1">
      <c r="A11" s="98" t="s">
        <v>332</v>
      </c>
      <c r="B11" s="98"/>
      <c r="C11" s="4"/>
      <c r="D11" s="4"/>
      <c r="E11" s="94"/>
    </row>
    <row r="12" spans="1:5" s="10" customFormat="1">
      <c r="A12" s="87" t="s">
        <v>280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5" s="10" customFormat="1" ht="17.25" customHeight="1">
      <c r="A17" s="98" t="s">
        <v>333</v>
      </c>
      <c r="B17" s="458" t="s">
        <v>707</v>
      </c>
      <c r="C17" s="445">
        <v>850</v>
      </c>
      <c r="D17" s="445">
        <v>850</v>
      </c>
      <c r="E17" s="94"/>
    </row>
    <row r="18" spans="1:5" s="10" customFormat="1" ht="18" customHeight="1">
      <c r="A18" s="98" t="s">
        <v>334</v>
      </c>
      <c r="B18" s="458" t="s">
        <v>708</v>
      </c>
      <c r="C18" s="445">
        <v>1125</v>
      </c>
      <c r="D18" s="445">
        <v>1125</v>
      </c>
      <c r="E18" s="94"/>
    </row>
    <row r="19" spans="1:5" s="10" customFormat="1" ht="18" customHeight="1">
      <c r="A19" s="98" t="s">
        <v>718</v>
      </c>
      <c r="B19" s="458" t="s">
        <v>709</v>
      </c>
      <c r="C19" s="445">
        <f>315+961.4+670+172+1273</f>
        <v>3391.4</v>
      </c>
      <c r="D19" s="445">
        <f>172+1273+1946.4</f>
        <v>3391.4</v>
      </c>
      <c r="E19" s="94"/>
    </row>
    <row r="20" spans="1:5" s="10" customFormat="1" ht="18" customHeight="1">
      <c r="A20" s="98" t="s">
        <v>719</v>
      </c>
      <c r="B20" s="458" t="s">
        <v>710</v>
      </c>
      <c r="C20" s="445">
        <f>2000+1200+3125+650+4572</f>
        <v>11547</v>
      </c>
      <c r="D20" s="445">
        <f>7475+2000+2072</f>
        <v>11547</v>
      </c>
      <c r="E20" s="94"/>
    </row>
    <row r="21" spans="1:5" s="10" customFormat="1" ht="18" customHeight="1">
      <c r="A21" s="98" t="s">
        <v>720</v>
      </c>
      <c r="B21" s="458" t="s">
        <v>711</v>
      </c>
      <c r="C21" s="445">
        <f>2700+15680</f>
        <v>18380</v>
      </c>
      <c r="D21" s="445">
        <f>15130+5000-1750</f>
        <v>18380</v>
      </c>
      <c r="E21" s="94"/>
    </row>
    <row r="22" spans="1:5" s="10" customFormat="1" ht="18" customHeight="1">
      <c r="A22" s="98" t="s">
        <v>721</v>
      </c>
      <c r="B22" s="458" t="s">
        <v>712</v>
      </c>
      <c r="C22" s="445">
        <v>6000.3</v>
      </c>
      <c r="D22" s="445">
        <v>6000.3</v>
      </c>
      <c r="E22" s="94"/>
    </row>
    <row r="23" spans="1:5" s="10" customFormat="1" ht="18" customHeight="1">
      <c r="A23" s="98" t="s">
        <v>722</v>
      </c>
      <c r="B23" s="458" t="s">
        <v>713</v>
      </c>
      <c r="C23" s="445">
        <v>9375</v>
      </c>
      <c r="D23" s="445">
        <f>4375+5000</f>
        <v>9375</v>
      </c>
      <c r="E23" s="94"/>
    </row>
    <row r="24" spans="1:5" s="10" customFormat="1" ht="18" customHeight="1">
      <c r="A24" s="98" t="s">
        <v>723</v>
      </c>
      <c r="B24" s="458" t="s">
        <v>714</v>
      </c>
      <c r="C24" s="445">
        <f>500+1250</f>
        <v>1750</v>
      </c>
      <c r="D24" s="445">
        <v>1750</v>
      </c>
      <c r="E24" s="94"/>
    </row>
    <row r="25" spans="1:5" s="10" customFormat="1" ht="30">
      <c r="A25" s="98" t="s">
        <v>724</v>
      </c>
      <c r="B25" s="458" t="s">
        <v>715</v>
      </c>
      <c r="C25" s="445">
        <f>15250</f>
        <v>15250</v>
      </c>
      <c r="D25" s="445">
        <v>15150</v>
      </c>
      <c r="E25" s="94"/>
    </row>
    <row r="26" spans="1:5" s="10" customFormat="1" ht="30">
      <c r="A26" s="98" t="s">
        <v>725</v>
      </c>
      <c r="B26" s="459" t="s">
        <v>716</v>
      </c>
      <c r="C26" s="445">
        <v>0</v>
      </c>
      <c r="D26" s="445">
        <v>20</v>
      </c>
      <c r="E26" s="94"/>
    </row>
    <row r="27" spans="1:5" s="10" customFormat="1" ht="30">
      <c r="A27" s="98" t="s">
        <v>726</v>
      </c>
      <c r="B27" s="458" t="s">
        <v>717</v>
      </c>
      <c r="C27" s="445">
        <v>87.5</v>
      </c>
      <c r="D27" s="445">
        <v>87.5</v>
      </c>
      <c r="E27" s="94"/>
    </row>
    <row r="28" spans="1:5" s="10" customFormat="1" ht="30">
      <c r="A28" s="458" t="s">
        <v>727</v>
      </c>
      <c r="B28" s="458" t="s">
        <v>710</v>
      </c>
      <c r="C28" s="572">
        <f>410+2178.31</f>
        <v>2588.31</v>
      </c>
      <c r="D28" s="572">
        <v>0</v>
      </c>
      <c r="E28" s="94"/>
    </row>
    <row r="29" spans="1:5" s="10" customFormat="1">
      <c r="A29" s="87" t="s">
        <v>280</v>
      </c>
      <c r="B29" s="87"/>
      <c r="C29" s="4"/>
      <c r="D29" s="4"/>
      <c r="E29" s="94"/>
    </row>
    <row r="30" spans="1:5" s="3" customFormat="1">
      <c r="A30" s="88"/>
      <c r="B30" s="88"/>
      <c r="C30" s="4"/>
      <c r="D30" s="4"/>
      <c r="E30" s="95"/>
    </row>
    <row r="31" spans="1:5">
      <c r="A31" s="99"/>
      <c r="B31" s="99" t="s">
        <v>337</v>
      </c>
      <c r="C31" s="86">
        <f>SUM(C10:C30)</f>
        <v>70344.510000000009</v>
      </c>
      <c r="D31" s="86">
        <f>SUM(D10:D30)</f>
        <v>67676.200000000012</v>
      </c>
      <c r="E31" s="96"/>
    </row>
    <row r="32" spans="1:5">
      <c r="A32" s="43"/>
      <c r="B32" s="43"/>
    </row>
    <row r="33" spans="1:9">
      <c r="A33" s="2" t="s">
        <v>437</v>
      </c>
      <c r="E33" s="5"/>
    </row>
    <row r="34" spans="1:9">
      <c r="A34" s="2" t="s">
        <v>421</v>
      </c>
    </row>
    <row r="35" spans="1:9">
      <c r="A35" s="218" t="s">
        <v>422</v>
      </c>
    </row>
    <row r="36" spans="1:9">
      <c r="A36" s="218"/>
    </row>
    <row r="37" spans="1:9">
      <c r="A37" s="218" t="s">
        <v>354</v>
      </c>
    </row>
    <row r="38" spans="1:9" s="22" customFormat="1" ht="12.75"/>
    <row r="39" spans="1:9">
      <c r="A39" s="69" t="s">
        <v>107</v>
      </c>
      <c r="E39" s="5"/>
    </row>
    <row r="40" spans="1:9">
      <c r="E40"/>
      <c r="F40"/>
      <c r="G40"/>
      <c r="H40"/>
      <c r="I40"/>
    </row>
    <row r="41" spans="1:9">
      <c r="D41" s="12"/>
      <c r="E41"/>
      <c r="F41"/>
      <c r="G41"/>
      <c r="H41"/>
      <c r="I41"/>
    </row>
    <row r="42" spans="1:9">
      <c r="A42" s="69"/>
      <c r="B42" s="69" t="s">
        <v>272</v>
      </c>
      <c r="D42" s="12"/>
      <c r="E42"/>
      <c r="F42"/>
      <c r="G42"/>
      <c r="H42"/>
      <c r="I42"/>
    </row>
    <row r="43" spans="1:9">
      <c r="B43" s="2" t="s">
        <v>271</v>
      </c>
      <c r="D43" s="12"/>
      <c r="E43"/>
      <c r="F43"/>
      <c r="G43"/>
      <c r="H43"/>
      <c r="I43"/>
    </row>
    <row r="44" spans="1:9" customFormat="1" ht="12.75">
      <c r="A44" s="65"/>
      <c r="B44" s="65" t="s">
        <v>140</v>
      </c>
    </row>
    <row r="45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4" t="s">
        <v>479</v>
      </c>
      <c r="B1" s="74"/>
      <c r="C1" s="77"/>
      <c r="D1" s="77"/>
      <c r="E1" s="77"/>
      <c r="F1" s="77"/>
      <c r="G1" s="296"/>
      <c r="H1" s="296"/>
      <c r="I1" s="539" t="s">
        <v>110</v>
      </c>
      <c r="J1" s="539"/>
    </row>
    <row r="2" spans="1:10" ht="15">
      <c r="A2" s="76" t="s">
        <v>141</v>
      </c>
      <c r="B2" s="74"/>
      <c r="C2" s="77"/>
      <c r="D2" s="77"/>
      <c r="E2" s="77"/>
      <c r="F2" s="77"/>
      <c r="G2" s="296"/>
      <c r="H2" s="296"/>
      <c r="I2" s="529" t="s">
        <v>982</v>
      </c>
      <c r="J2" s="529"/>
    </row>
    <row r="3" spans="1:10" ht="15">
      <c r="A3" s="76"/>
      <c r="B3" s="76"/>
      <c r="C3" s="74"/>
      <c r="D3" s="74"/>
      <c r="E3" s="74"/>
      <c r="F3" s="74"/>
      <c r="G3" s="296"/>
      <c r="H3" s="296"/>
      <c r="I3" s="296"/>
    </row>
    <row r="4" spans="1:10" ht="15">
      <c r="A4" s="364" t="s">
        <v>480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512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95"/>
      <c r="B7" s="295"/>
      <c r="C7" s="295"/>
      <c r="D7" s="295"/>
      <c r="E7" s="295"/>
      <c r="F7" s="295"/>
      <c r="G7" s="78"/>
      <c r="H7" s="78"/>
      <c r="I7" s="78"/>
    </row>
    <row r="8" spans="1:10" ht="45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347</v>
      </c>
      <c r="F8" s="90" t="s">
        <v>351</v>
      </c>
      <c r="G8" s="79" t="s">
        <v>10</v>
      </c>
      <c r="H8" s="79" t="s">
        <v>9</v>
      </c>
      <c r="I8" s="79" t="s">
        <v>398</v>
      </c>
      <c r="J8" s="233" t="s">
        <v>350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3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278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459</v>
      </c>
      <c r="G34" s="86">
        <f>SUM(G9:G33)</f>
        <v>0</v>
      </c>
      <c r="H34" s="86">
        <f>SUM(H9:H33)</f>
        <v>0</v>
      </c>
      <c r="I34" s="86">
        <f>SUM(I9:I33)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482</v>
      </c>
      <c r="B1" s="77"/>
      <c r="C1" s="77"/>
      <c r="D1" s="77"/>
      <c r="E1" s="77"/>
      <c r="F1" s="77"/>
      <c r="G1" s="539" t="s">
        <v>110</v>
      </c>
      <c r="H1" s="539"/>
    </row>
    <row r="2" spans="1:8" ht="15">
      <c r="A2" s="76" t="s">
        <v>141</v>
      </c>
      <c r="B2" s="77"/>
      <c r="C2" s="77"/>
      <c r="D2" s="77"/>
      <c r="E2" s="77"/>
      <c r="F2" s="77"/>
      <c r="G2" s="529" t="s">
        <v>982</v>
      </c>
      <c r="H2" s="529"/>
    </row>
    <row r="3" spans="1:8" ht="15">
      <c r="A3" s="76"/>
      <c r="B3" s="76"/>
      <c r="C3" s="76"/>
      <c r="D3" s="76"/>
      <c r="E3" s="76"/>
      <c r="F3" s="76"/>
      <c r="G3" s="296"/>
      <c r="H3" s="296"/>
    </row>
    <row r="4" spans="1:8" ht="15">
      <c r="A4" s="364" t="s">
        <v>480</v>
      </c>
      <c r="B4" s="77"/>
      <c r="C4" s="77"/>
      <c r="D4" s="77"/>
      <c r="E4" s="77"/>
      <c r="F4" s="77"/>
      <c r="G4" s="76"/>
      <c r="H4" s="76"/>
    </row>
    <row r="5" spans="1:8" ht="15">
      <c r="A5" s="80" t="s">
        <v>512</v>
      </c>
      <c r="B5" s="80"/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295"/>
      <c r="B7" s="295"/>
      <c r="C7" s="295"/>
      <c r="D7" s="295"/>
      <c r="E7" s="295"/>
      <c r="F7" s="295"/>
      <c r="G7" s="78"/>
      <c r="H7" s="78"/>
    </row>
    <row r="8" spans="1:8" ht="45">
      <c r="A8" s="90" t="s">
        <v>342</v>
      </c>
      <c r="B8" s="90" t="s">
        <v>343</v>
      </c>
      <c r="C8" s="90" t="s">
        <v>228</v>
      </c>
      <c r="D8" s="90" t="s">
        <v>346</v>
      </c>
      <c r="E8" s="90" t="s">
        <v>345</v>
      </c>
      <c r="F8" s="90" t="s">
        <v>392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341</v>
      </c>
      <c r="G34" s="86">
        <f>SUM(G9:G33)</f>
        <v>0</v>
      </c>
      <c r="H34" s="86">
        <f>SUM(H9:H33)</f>
        <v>0</v>
      </c>
    </row>
    <row r="35" spans="1:8" ht="15">
      <c r="A35" s="43"/>
      <c r="B35" s="43"/>
      <c r="C35" s="43"/>
      <c r="D35" s="43"/>
      <c r="E35" s="43"/>
      <c r="F35" s="43"/>
      <c r="G35" s="2"/>
      <c r="H35" s="2"/>
    </row>
    <row r="36" spans="1:8" ht="15">
      <c r="A36" s="218" t="s">
        <v>483</v>
      </c>
      <c r="B36" s="43"/>
      <c r="C36" s="43"/>
      <c r="D36" s="43"/>
      <c r="E36" s="43"/>
      <c r="F36" s="43"/>
      <c r="G36" s="2"/>
      <c r="H36" s="2"/>
    </row>
    <row r="37" spans="1:8" ht="15">
      <c r="A37" s="218"/>
      <c r="B37" s="43"/>
      <c r="C37" s="43"/>
      <c r="D37" s="43"/>
      <c r="E37" s="43"/>
      <c r="F37" s="43"/>
      <c r="G37" s="2"/>
      <c r="H37" s="2"/>
    </row>
    <row r="38" spans="1:8" ht="15">
      <c r="A38" s="218"/>
      <c r="B38" s="2"/>
      <c r="C38" s="2"/>
      <c r="D38" s="2"/>
      <c r="E38" s="2"/>
      <c r="F38" s="2"/>
      <c r="G38" s="2"/>
      <c r="H38" s="2"/>
    </row>
    <row r="39" spans="1:8" ht="15">
      <c r="A39" s="218"/>
      <c r="B39" s="2"/>
      <c r="C39" s="2"/>
      <c r="D39" s="2"/>
      <c r="E39" s="2"/>
      <c r="F39" s="2"/>
      <c r="G39" s="2"/>
      <c r="H39" s="2"/>
    </row>
    <row r="40" spans="1:8">
      <c r="A40" s="22"/>
      <c r="B40" s="22"/>
      <c r="C40" s="22"/>
      <c r="D40" s="22"/>
      <c r="E40" s="22"/>
      <c r="F40" s="22"/>
      <c r="G40" s="22"/>
      <c r="H40" s="22"/>
    </row>
    <row r="41" spans="1:8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9"/>
      <c r="B44" s="69" t="s">
        <v>272</v>
      </c>
      <c r="C44" s="69"/>
      <c r="D44" s="69"/>
      <c r="E44" s="69"/>
      <c r="F44" s="69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5"/>
      <c r="B46" s="65" t="s">
        <v>140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4" t="s">
        <v>484</v>
      </c>
      <c r="B1" s="74"/>
      <c r="C1" s="77"/>
      <c r="D1" s="77"/>
      <c r="E1" s="77"/>
      <c r="F1" s="77"/>
      <c r="G1" s="539" t="s">
        <v>110</v>
      </c>
      <c r="H1" s="539"/>
    </row>
    <row r="2" spans="1:10" ht="15">
      <c r="A2" s="76" t="s">
        <v>141</v>
      </c>
      <c r="B2" s="74"/>
      <c r="C2" s="77"/>
      <c r="D2" s="77"/>
      <c r="E2" s="77"/>
      <c r="F2" s="77"/>
      <c r="G2" s="529" t="s">
        <v>982</v>
      </c>
      <c r="H2" s="529"/>
    </row>
    <row r="3" spans="1:10" ht="15">
      <c r="A3" s="76"/>
      <c r="B3" s="76"/>
      <c r="C3" s="76"/>
      <c r="D3" s="76"/>
      <c r="E3" s="76"/>
      <c r="F3" s="76"/>
      <c r="G3" s="296"/>
      <c r="H3" s="296"/>
    </row>
    <row r="4" spans="1:10" ht="15">
      <c r="A4" s="364" t="s">
        <v>480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512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95"/>
      <c r="B7" s="295"/>
      <c r="C7" s="295"/>
      <c r="D7" s="295"/>
      <c r="E7" s="295"/>
      <c r="F7" s="295"/>
      <c r="G7" s="78"/>
      <c r="H7" s="78"/>
    </row>
    <row r="8" spans="1:10" ht="30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351</v>
      </c>
      <c r="F8" s="90" t="s">
        <v>344</v>
      </c>
      <c r="G8" s="79" t="s">
        <v>10</v>
      </c>
      <c r="H8" s="79" t="s">
        <v>9</v>
      </c>
      <c r="J8" s="233" t="s">
        <v>350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3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349</v>
      </c>
      <c r="G34" s="86">
        <f>SUM(G9:G33)</f>
        <v>0</v>
      </c>
      <c r="H34" s="86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485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4"/>
  <sheetViews>
    <sheetView view="pageBreakPreview" topLeftCell="A7" zoomScale="85" zoomScaleSheetLayoutView="85" workbookViewId="0">
      <selection activeCell="E17" sqref="E17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545" t="s">
        <v>486</v>
      </c>
      <c r="B2" s="545"/>
      <c r="C2" s="545"/>
      <c r="D2" s="545"/>
      <c r="E2" s="365"/>
      <c r="F2" s="77"/>
      <c r="G2" s="77"/>
      <c r="H2" s="77"/>
      <c r="I2" s="77"/>
      <c r="J2" s="296"/>
      <c r="K2" s="297"/>
      <c r="L2" s="297" t="s">
        <v>110</v>
      </c>
    </row>
    <row r="3" spans="1:12" ht="15">
      <c r="A3" s="76" t="s">
        <v>141</v>
      </c>
      <c r="B3" s="74"/>
      <c r="C3" s="77"/>
      <c r="D3" s="77"/>
      <c r="E3" s="77"/>
      <c r="F3" s="77"/>
      <c r="G3" s="77"/>
      <c r="H3" s="77"/>
      <c r="I3" s="77"/>
      <c r="J3" s="296"/>
      <c r="K3" s="529" t="s">
        <v>982</v>
      </c>
      <c r="L3" s="529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96"/>
      <c r="K4" s="296"/>
      <c r="L4" s="296"/>
    </row>
    <row r="5" spans="1:12" ht="15">
      <c r="A5" s="364" t="s">
        <v>487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 t="s">
        <v>512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95"/>
      <c r="B8" s="295"/>
      <c r="C8" s="295"/>
      <c r="D8" s="295"/>
      <c r="E8" s="295"/>
      <c r="F8" s="295"/>
      <c r="G8" s="295"/>
      <c r="H8" s="295"/>
      <c r="I8" s="295"/>
      <c r="J8" s="78"/>
      <c r="K8" s="78"/>
      <c r="L8" s="78"/>
    </row>
    <row r="9" spans="1:12" ht="45">
      <c r="A9" s="90" t="s">
        <v>64</v>
      </c>
      <c r="B9" s="90" t="s">
        <v>488</v>
      </c>
      <c r="C9" s="90" t="s">
        <v>489</v>
      </c>
      <c r="D9" s="90" t="s">
        <v>490</v>
      </c>
      <c r="E9" s="90" t="s">
        <v>491</v>
      </c>
      <c r="F9" s="90" t="s">
        <v>492</v>
      </c>
      <c r="G9" s="90" t="s">
        <v>493</v>
      </c>
      <c r="H9" s="90" t="s">
        <v>494</v>
      </c>
      <c r="I9" s="90" t="s">
        <v>495</v>
      </c>
      <c r="J9" s="90" t="s">
        <v>496</v>
      </c>
      <c r="K9" s="90" t="s">
        <v>497</v>
      </c>
      <c r="L9" s="90" t="s">
        <v>320</v>
      </c>
    </row>
    <row r="10" spans="1:12" ht="51">
      <c r="A10" s="98">
        <v>1</v>
      </c>
      <c r="B10" s="460" t="s">
        <v>728</v>
      </c>
      <c r="C10" s="98" t="s">
        <v>729</v>
      </c>
      <c r="D10" s="98">
        <v>204873388</v>
      </c>
      <c r="E10" s="461" t="s">
        <v>511</v>
      </c>
      <c r="F10" s="444" t="s">
        <v>730</v>
      </c>
      <c r="G10" s="444">
        <v>36</v>
      </c>
      <c r="H10" s="98" t="s">
        <v>731</v>
      </c>
      <c r="I10" s="444" t="s">
        <v>732</v>
      </c>
      <c r="J10" s="442">
        <f>K10/G10</f>
        <v>150.32583333333332</v>
      </c>
      <c r="K10" s="462">
        <v>5411.73</v>
      </c>
      <c r="L10" s="98" t="s">
        <v>733</v>
      </c>
    </row>
    <row r="11" spans="1:12" ht="51">
      <c r="A11" s="98">
        <v>2</v>
      </c>
      <c r="B11" s="460" t="s">
        <v>728</v>
      </c>
      <c r="C11" s="98" t="s">
        <v>734</v>
      </c>
      <c r="D11" s="98">
        <v>445394966</v>
      </c>
      <c r="E11" s="463" t="s">
        <v>511</v>
      </c>
      <c r="F11" s="444" t="s">
        <v>735</v>
      </c>
      <c r="G11" s="444">
        <v>54</v>
      </c>
      <c r="H11" s="98" t="s">
        <v>736</v>
      </c>
      <c r="I11" s="444" t="s">
        <v>732</v>
      </c>
      <c r="J11" s="442">
        <f>K11/G11</f>
        <v>42.222222222222221</v>
      </c>
      <c r="K11" s="442">
        <v>2280</v>
      </c>
      <c r="L11" s="98" t="s">
        <v>733</v>
      </c>
    </row>
    <row r="12" spans="1:12" ht="30">
      <c r="A12" s="98">
        <v>3</v>
      </c>
      <c r="B12" s="550" t="s">
        <v>728</v>
      </c>
      <c r="C12" s="98" t="s">
        <v>737</v>
      </c>
      <c r="D12" s="98">
        <v>202403121</v>
      </c>
      <c r="E12" s="552" t="s">
        <v>511</v>
      </c>
      <c r="F12" s="554" t="s">
        <v>738</v>
      </c>
      <c r="G12" s="554">
        <v>178.2</v>
      </c>
      <c r="H12" s="554" t="s">
        <v>736</v>
      </c>
      <c r="I12" s="554" t="s">
        <v>732</v>
      </c>
      <c r="J12" s="556">
        <f>(K12+K13)/G12</f>
        <v>49.764309764309765</v>
      </c>
      <c r="K12" s="442">
        <v>2000</v>
      </c>
      <c r="L12" s="98" t="s">
        <v>739</v>
      </c>
    </row>
    <row r="13" spans="1:12" ht="45">
      <c r="A13" s="98">
        <v>4</v>
      </c>
      <c r="B13" s="551"/>
      <c r="C13" s="98" t="s">
        <v>740</v>
      </c>
      <c r="D13" s="98">
        <v>401995481</v>
      </c>
      <c r="E13" s="553"/>
      <c r="F13" s="555"/>
      <c r="G13" s="555"/>
      <c r="H13" s="555"/>
      <c r="I13" s="555"/>
      <c r="J13" s="557"/>
      <c r="K13" s="442">
        <v>6868</v>
      </c>
      <c r="L13" s="98" t="s">
        <v>741</v>
      </c>
    </row>
    <row r="14" spans="1:12" ht="75">
      <c r="A14" s="98">
        <v>5</v>
      </c>
      <c r="B14" s="464" t="s">
        <v>742</v>
      </c>
      <c r="C14" s="98" t="s">
        <v>743</v>
      </c>
      <c r="D14" s="444">
        <v>438107460</v>
      </c>
      <c r="E14" s="465" t="s">
        <v>511</v>
      </c>
      <c r="F14" s="444" t="s">
        <v>744</v>
      </c>
      <c r="G14" s="444">
        <v>1190</v>
      </c>
      <c r="H14" s="466" t="s">
        <v>736</v>
      </c>
      <c r="I14" s="444" t="s">
        <v>745</v>
      </c>
      <c r="J14" s="467">
        <f>K14/G14</f>
        <v>0.2</v>
      </c>
      <c r="K14" s="467">
        <v>238</v>
      </c>
      <c r="L14" s="98" t="s">
        <v>746</v>
      </c>
    </row>
    <row r="15" spans="1:12" ht="51">
      <c r="A15" s="98">
        <v>6</v>
      </c>
      <c r="B15" s="468" t="s">
        <v>728</v>
      </c>
      <c r="C15" s="466" t="s">
        <v>740</v>
      </c>
      <c r="D15" s="466">
        <v>401995481</v>
      </c>
      <c r="E15" s="465" t="s">
        <v>511</v>
      </c>
      <c r="F15" s="466" t="s">
        <v>747</v>
      </c>
      <c r="G15" s="466">
        <v>178.2</v>
      </c>
      <c r="H15" s="466" t="s">
        <v>736</v>
      </c>
      <c r="I15" s="466" t="s">
        <v>732</v>
      </c>
      <c r="J15" s="469">
        <f>K15/G15</f>
        <v>30.313692480359148</v>
      </c>
      <c r="K15" s="469">
        <v>5401.9</v>
      </c>
      <c r="L15" s="466" t="s">
        <v>741</v>
      </c>
    </row>
    <row r="16" spans="1:12" ht="15">
      <c r="A16" s="98">
        <v>7</v>
      </c>
      <c r="B16" s="366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66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66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66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87" t="s">
        <v>278</v>
      </c>
      <c r="B20" s="366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87"/>
      <c r="B21" s="366"/>
      <c r="C21" s="99"/>
      <c r="D21" s="99"/>
      <c r="E21" s="99"/>
      <c r="F21" s="99"/>
      <c r="G21" s="87"/>
      <c r="H21" s="87"/>
      <c r="I21" s="87"/>
      <c r="J21" s="87" t="s">
        <v>498</v>
      </c>
      <c r="K21" s="86">
        <f>SUM(K10:K20)</f>
        <v>22199.629999999997</v>
      </c>
      <c r="L21" s="87"/>
    </row>
    <row r="22" spans="1:12" ht="15">
      <c r="A22" s="231"/>
      <c r="B22" s="231"/>
      <c r="C22" s="231"/>
      <c r="D22" s="231"/>
      <c r="E22" s="231"/>
      <c r="F22" s="231"/>
      <c r="G22" s="231"/>
      <c r="H22" s="231"/>
      <c r="I22" s="231"/>
      <c r="J22" s="231"/>
      <c r="K22" s="187"/>
    </row>
    <row r="23" spans="1:12" ht="15">
      <c r="A23" s="232" t="s">
        <v>499</v>
      </c>
      <c r="B23" s="232"/>
      <c r="C23" s="231"/>
      <c r="D23" s="231"/>
      <c r="E23" s="231"/>
      <c r="F23" s="231"/>
      <c r="G23" s="231"/>
      <c r="H23" s="231"/>
      <c r="I23" s="231"/>
      <c r="J23" s="231"/>
      <c r="K23" s="187"/>
    </row>
    <row r="24" spans="1:12" ht="15">
      <c r="A24" s="232" t="s">
        <v>500</v>
      </c>
      <c r="B24" s="232"/>
      <c r="C24" s="231"/>
      <c r="D24" s="231"/>
      <c r="E24" s="231"/>
      <c r="F24" s="231"/>
      <c r="G24" s="231"/>
      <c r="H24" s="231"/>
      <c r="I24" s="231"/>
      <c r="J24" s="231"/>
      <c r="K24" s="187"/>
    </row>
    <row r="25" spans="1:12" ht="15">
      <c r="A25" s="218" t="s">
        <v>501</v>
      </c>
      <c r="B25" s="232"/>
      <c r="C25" s="187"/>
      <c r="D25" s="187"/>
      <c r="E25" s="187"/>
      <c r="F25" s="187"/>
      <c r="G25" s="187"/>
      <c r="H25" s="187"/>
      <c r="I25" s="187"/>
      <c r="J25" s="187"/>
      <c r="K25" s="187"/>
    </row>
    <row r="26" spans="1:12" ht="15">
      <c r="A26" s="218" t="s">
        <v>502</v>
      </c>
      <c r="B26" s="232"/>
      <c r="C26" s="187"/>
      <c r="D26" s="187"/>
      <c r="E26" s="187"/>
      <c r="F26" s="187"/>
      <c r="G26" s="187"/>
      <c r="H26" s="187"/>
      <c r="I26" s="187"/>
      <c r="J26" s="187"/>
      <c r="K26" s="187"/>
    </row>
    <row r="27" spans="1:12" ht="15">
      <c r="A27" s="218"/>
      <c r="B27" s="232"/>
      <c r="C27" s="187"/>
      <c r="D27" s="187"/>
      <c r="E27" s="187"/>
      <c r="F27" s="187"/>
      <c r="G27" s="187"/>
      <c r="H27" s="187"/>
      <c r="I27" s="187"/>
      <c r="J27" s="187"/>
      <c r="K27" s="187"/>
    </row>
    <row r="28" spans="1:12" ht="15">
      <c r="A28" s="218"/>
      <c r="B28" s="232"/>
      <c r="C28" s="187"/>
      <c r="D28" s="187"/>
      <c r="E28" s="187"/>
      <c r="F28" s="187"/>
      <c r="G28" s="187"/>
      <c r="H28" s="187"/>
      <c r="I28" s="187"/>
      <c r="J28" s="187"/>
      <c r="K28" s="187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2" ht="15">
      <c r="A30" s="546" t="s">
        <v>107</v>
      </c>
      <c r="B30" s="546"/>
      <c r="C30" s="367"/>
      <c r="D30" s="368"/>
      <c r="E30" s="368"/>
      <c r="F30" s="367"/>
      <c r="G30" s="367"/>
      <c r="H30" s="367"/>
      <c r="I30" s="367"/>
      <c r="J30" s="367"/>
      <c r="K30" s="187"/>
    </row>
    <row r="31" spans="1:12" ht="15">
      <c r="A31" s="367"/>
      <c r="B31" s="368"/>
      <c r="C31" s="367"/>
      <c r="D31" s="368"/>
      <c r="E31" s="368"/>
      <c r="F31" s="367"/>
      <c r="G31" s="367"/>
      <c r="H31" s="367"/>
      <c r="I31" s="367"/>
      <c r="J31" s="369"/>
      <c r="K31" s="187"/>
    </row>
    <row r="32" spans="1:12" ht="15" customHeight="1">
      <c r="A32" s="367"/>
      <c r="B32" s="368"/>
      <c r="C32" s="547" t="s">
        <v>269</v>
      </c>
      <c r="D32" s="547"/>
      <c r="E32" s="370"/>
      <c r="F32" s="371"/>
      <c r="G32" s="548" t="s">
        <v>503</v>
      </c>
      <c r="H32" s="548"/>
      <c r="I32" s="548"/>
      <c r="J32" s="372"/>
      <c r="K32" s="187"/>
    </row>
    <row r="33" spans="1:11" ht="15">
      <c r="A33" s="367"/>
      <c r="B33" s="368"/>
      <c r="C33" s="367"/>
      <c r="D33" s="368"/>
      <c r="E33" s="368"/>
      <c r="F33" s="367"/>
      <c r="G33" s="549"/>
      <c r="H33" s="549"/>
      <c r="I33" s="549"/>
      <c r="J33" s="372"/>
      <c r="K33" s="187"/>
    </row>
    <row r="34" spans="1:11" ht="15">
      <c r="A34" s="367"/>
      <c r="B34" s="368"/>
      <c r="C34" s="544" t="s">
        <v>140</v>
      </c>
      <c r="D34" s="544"/>
      <c r="E34" s="370"/>
      <c r="F34" s="371"/>
      <c r="G34" s="367"/>
      <c r="H34" s="367"/>
      <c r="I34" s="367"/>
      <c r="J34" s="367"/>
      <c r="K34" s="187"/>
    </row>
  </sheetData>
  <mergeCells count="13">
    <mergeCell ref="C34:D34"/>
    <mergeCell ref="A2:D2"/>
    <mergeCell ref="K3:L3"/>
    <mergeCell ref="A30:B30"/>
    <mergeCell ref="C32:D32"/>
    <mergeCell ref="G32:I33"/>
    <mergeCell ref="B12:B13"/>
    <mergeCell ref="E12:E13"/>
    <mergeCell ref="F12:F13"/>
    <mergeCell ref="G12:G13"/>
    <mergeCell ref="H12:H13"/>
    <mergeCell ref="I12:I13"/>
    <mergeCell ref="J12:J13"/>
  </mergeCells>
  <dataValidations count="1">
    <dataValidation type="list" allowBlank="1" showInputMessage="1" showErrorMessage="1" sqref="B10:B12 B14:B2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461</v>
      </c>
      <c r="B1" s="76"/>
      <c r="C1" s="558" t="s">
        <v>110</v>
      </c>
      <c r="D1" s="558"/>
    </row>
    <row r="2" spans="1:5">
      <c r="A2" s="74" t="s">
        <v>462</v>
      </c>
      <c r="B2" s="76"/>
      <c r="C2" s="529" t="s">
        <v>982</v>
      </c>
      <c r="D2" s="529"/>
    </row>
    <row r="3" spans="1:5">
      <c r="A3" s="76" t="s">
        <v>141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21" t="s">
        <v>512</v>
      </c>
      <c r="B6" s="122"/>
      <c r="C6" s="122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6000</v>
      </c>
      <c r="D10" s="82">
        <f>SUM(D11,D14,D17,D20:D22)</f>
        <v>6000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>
        <v>6000</v>
      </c>
      <c r="D22" s="33">
        <v>6000</v>
      </c>
    </row>
    <row r="25" spans="1:9" s="22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5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463</v>
      </c>
      <c r="B1" s="77"/>
      <c r="C1" s="539" t="s">
        <v>110</v>
      </c>
      <c r="D1" s="539"/>
      <c r="E1" s="91"/>
    </row>
    <row r="2" spans="1:5" s="6" customFormat="1">
      <c r="A2" s="74" t="s">
        <v>460</v>
      </c>
      <c r="B2" s="77"/>
      <c r="C2" s="529" t="s">
        <v>982</v>
      </c>
      <c r="D2" s="529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512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299</v>
      </c>
      <c r="B10" s="98" t="s">
        <v>748</v>
      </c>
      <c r="C10" s="4">
        <v>6000</v>
      </c>
      <c r="D10" s="4">
        <v>6000</v>
      </c>
      <c r="E10" s="93"/>
    </row>
    <row r="11" spans="1:5" s="10" customFormat="1">
      <c r="A11" s="98" t="s">
        <v>300</v>
      </c>
      <c r="B11" s="98"/>
      <c r="C11" s="4"/>
      <c r="D11" s="4"/>
      <c r="E11" s="94"/>
    </row>
    <row r="12" spans="1:5" s="10" customFormat="1">
      <c r="A12" s="98" t="s">
        <v>301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9">
      <c r="A17" s="99"/>
      <c r="B17" s="99" t="s">
        <v>337</v>
      </c>
      <c r="C17" s="86">
        <f>SUM(C10:C16)</f>
        <v>6000</v>
      </c>
      <c r="D17" s="86">
        <f>SUM(D10:D16)</f>
        <v>6000</v>
      </c>
      <c r="E17" s="96"/>
    </row>
    <row r="18" spans="1:9">
      <c r="A18" s="43"/>
      <c r="B18" s="43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18"/>
    </row>
    <row r="22" spans="1:9">
      <c r="A22" s="218" t="s">
        <v>405</v>
      </c>
    </row>
    <row r="23" spans="1:9" s="22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5"/>
      <c r="B29" s="65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J93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8" width="9.140625" style="2"/>
    <col min="9" max="9" width="14.28515625" style="2" customWidth="1"/>
    <col min="10" max="10" width="12.140625" style="2" customWidth="1"/>
    <col min="11" max="16384" width="9.140625" style="2"/>
  </cols>
  <sheetData>
    <row r="1" spans="1:10">
      <c r="A1" s="74" t="s">
        <v>225</v>
      </c>
      <c r="B1" s="123"/>
      <c r="C1" s="559" t="s">
        <v>199</v>
      </c>
      <c r="D1" s="559"/>
      <c r="E1" s="105"/>
    </row>
    <row r="2" spans="1:10">
      <c r="A2" s="76" t="s">
        <v>141</v>
      </c>
      <c r="B2" s="123"/>
      <c r="C2" s="529" t="s">
        <v>982</v>
      </c>
      <c r="D2" s="529"/>
      <c r="E2" s="105"/>
    </row>
    <row r="3" spans="1:10">
      <c r="A3" s="117"/>
      <c r="B3" s="123"/>
      <c r="C3" s="77"/>
      <c r="D3" s="77"/>
      <c r="E3" s="105"/>
    </row>
    <row r="4" spans="1:10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10">
      <c r="A5" s="121" t="s">
        <v>512</v>
      </c>
      <c r="B5" s="122"/>
      <c r="C5" s="122"/>
      <c r="D5" s="58"/>
      <c r="E5" s="108"/>
    </row>
    <row r="6" spans="1:10">
      <c r="A6" s="77"/>
      <c r="B6" s="76"/>
      <c r="C6" s="76"/>
      <c r="D6" s="76"/>
      <c r="E6" s="108"/>
    </row>
    <row r="7" spans="1:10">
      <c r="A7" s="116"/>
      <c r="B7" s="124"/>
      <c r="C7" s="125"/>
      <c r="D7" s="125"/>
      <c r="E7" s="105"/>
    </row>
    <row r="8" spans="1:10" ht="45">
      <c r="A8" s="126" t="s">
        <v>114</v>
      </c>
      <c r="B8" s="126" t="s">
        <v>191</v>
      </c>
      <c r="C8" s="126" t="s">
        <v>305</v>
      </c>
      <c r="D8" s="126" t="s">
        <v>258</v>
      </c>
      <c r="E8" s="105"/>
    </row>
    <row r="9" spans="1:10">
      <c r="A9" s="48"/>
      <c r="B9" s="49"/>
      <c r="C9" s="160"/>
      <c r="D9" s="160"/>
      <c r="E9" s="105"/>
    </row>
    <row r="10" spans="1:10">
      <c r="A10" s="50" t="s">
        <v>192</v>
      </c>
      <c r="B10" s="51"/>
      <c r="C10" s="127">
        <f>SUM(C11,C34)</f>
        <v>412586</v>
      </c>
      <c r="D10" s="470">
        <f>SUM(D11,D34)</f>
        <v>564810.19000000006</v>
      </c>
      <c r="E10" s="105"/>
      <c r="G10" s="473">
        <f>C10+'ფორმა N2'!C9+'ფორმა N3'!C9-'ფორმა N4'!C11-'ფორმა N5'!C9-'ფორმა N6'!C10</f>
        <v>565890.4600000002</v>
      </c>
      <c r="H10" s="473">
        <f>G10+G47-D10</f>
        <v>2089.270000000135</v>
      </c>
      <c r="I10" s="470">
        <f>SUM(I11,I34)</f>
        <v>412585.86999999994</v>
      </c>
      <c r="J10" s="470">
        <f>SUM(J11,J34)</f>
        <v>564809.44999999995</v>
      </c>
    </row>
    <row r="11" spans="1:10">
      <c r="A11" s="52" t="s">
        <v>193</v>
      </c>
      <c r="B11" s="53"/>
      <c r="C11" s="85">
        <f>SUM(C12:C32)</f>
        <v>295317</v>
      </c>
      <c r="D11" s="410">
        <f>SUM(D12:D32)</f>
        <v>474830.77</v>
      </c>
      <c r="E11" s="105"/>
      <c r="I11" s="410">
        <f>SUM(I12:I32)</f>
        <v>295316.32999999996</v>
      </c>
      <c r="J11" s="410">
        <f>SUM(J12:J32)</f>
        <v>474830.1</v>
      </c>
    </row>
    <row r="12" spans="1:10">
      <c r="A12" s="56">
        <v>1110</v>
      </c>
      <c r="B12" s="55" t="s">
        <v>143</v>
      </c>
      <c r="C12" s="8"/>
      <c r="D12" s="8"/>
      <c r="E12" s="105"/>
      <c r="I12" s="411"/>
      <c r="J12" s="471"/>
    </row>
    <row r="13" spans="1:10">
      <c r="A13" s="56">
        <v>1120</v>
      </c>
      <c r="B13" s="55" t="s">
        <v>144</v>
      </c>
      <c r="C13" s="8"/>
      <c r="D13" s="8"/>
      <c r="E13" s="105"/>
      <c r="I13" s="411"/>
      <c r="J13" s="471"/>
    </row>
    <row r="14" spans="1:10">
      <c r="A14" s="56">
        <v>1211</v>
      </c>
      <c r="B14" s="55" t="s">
        <v>145</v>
      </c>
      <c r="C14" s="8">
        <v>276487</v>
      </c>
      <c r="D14" s="8">
        <v>453723</v>
      </c>
      <c r="E14" s="105"/>
      <c r="G14" s="473">
        <f>C14+C23+'ფორმა N2'!D9+'ფორმა N3'!D9-'ფორმა N4'!D11-'ფორმა N5'!D9-'ფორმა N6'!D10</f>
        <v>453839.87000000005</v>
      </c>
      <c r="I14" s="411">
        <v>276486.8</v>
      </c>
      <c r="J14" s="472">
        <v>453722.6</v>
      </c>
    </row>
    <row r="15" spans="1:10">
      <c r="A15" s="56">
        <v>1212</v>
      </c>
      <c r="B15" s="55" t="s">
        <v>146</v>
      </c>
      <c r="C15" s="8"/>
      <c r="D15" s="8"/>
      <c r="E15" s="105"/>
      <c r="G15" s="473">
        <f>G14-D14-D23</f>
        <v>-3.129999999946449</v>
      </c>
      <c r="I15" s="411"/>
      <c r="J15" s="471"/>
    </row>
    <row r="16" spans="1:10">
      <c r="A16" s="56">
        <v>1213</v>
      </c>
      <c r="B16" s="55" t="s">
        <v>147</v>
      </c>
      <c r="C16" s="8"/>
      <c r="D16" s="8"/>
      <c r="E16" s="105"/>
      <c r="I16" s="411"/>
      <c r="J16" s="471"/>
    </row>
    <row r="17" spans="1:10">
      <c r="A17" s="56">
        <v>1214</v>
      </c>
      <c r="B17" s="55" t="s">
        <v>148</v>
      </c>
      <c r="C17" s="8"/>
      <c r="D17" s="8"/>
      <c r="E17" s="105"/>
      <c r="I17" s="411"/>
      <c r="J17" s="471"/>
    </row>
    <row r="18" spans="1:10">
      <c r="A18" s="56">
        <v>1215</v>
      </c>
      <c r="B18" s="55" t="s">
        <v>149</v>
      </c>
      <c r="C18" s="8"/>
      <c r="D18" s="8"/>
      <c r="E18" s="105"/>
      <c r="I18" s="411"/>
      <c r="J18" s="471"/>
    </row>
    <row r="19" spans="1:10">
      <c r="A19" s="56">
        <v>1300</v>
      </c>
      <c r="B19" s="55" t="s">
        <v>150</v>
      </c>
      <c r="C19" s="8"/>
      <c r="D19" s="8"/>
      <c r="E19" s="105"/>
      <c r="I19" s="411"/>
      <c r="J19" s="471"/>
    </row>
    <row r="20" spans="1:10">
      <c r="A20" s="56">
        <v>1410</v>
      </c>
      <c r="B20" s="55" t="s">
        <v>151</v>
      </c>
      <c r="C20" s="8"/>
      <c r="D20" s="8"/>
      <c r="E20" s="105"/>
      <c r="I20" s="411">
        <v>0.32</v>
      </c>
      <c r="J20" s="471"/>
    </row>
    <row r="21" spans="1:10">
      <c r="A21" s="56">
        <v>1421</v>
      </c>
      <c r="B21" s="55" t="s">
        <v>152</v>
      </c>
      <c r="C21" s="8"/>
      <c r="D21" s="8"/>
      <c r="E21" s="105"/>
      <c r="I21" s="411"/>
      <c r="J21" s="471"/>
    </row>
    <row r="22" spans="1:10">
      <c r="A22" s="56">
        <v>1422</v>
      </c>
      <c r="B22" s="55" t="s">
        <v>153</v>
      </c>
      <c r="C22" s="8"/>
      <c r="D22" s="8"/>
      <c r="E22" s="105"/>
      <c r="I22" s="411"/>
      <c r="J22" s="471"/>
    </row>
    <row r="23" spans="1:10">
      <c r="A23" s="56">
        <v>1423</v>
      </c>
      <c r="B23" s="55" t="s">
        <v>154</v>
      </c>
      <c r="C23" s="8">
        <v>120</v>
      </c>
      <c r="D23" s="8">
        <v>120</v>
      </c>
      <c r="E23" s="105"/>
      <c r="I23" s="411">
        <v>120</v>
      </c>
      <c r="J23" s="471">
        <v>120</v>
      </c>
    </row>
    <row r="24" spans="1:10">
      <c r="A24" s="56">
        <v>1431</v>
      </c>
      <c r="B24" s="55" t="s">
        <v>155</v>
      </c>
      <c r="C24" s="8"/>
      <c r="D24" s="8"/>
      <c r="E24" s="105"/>
      <c r="I24" s="411"/>
      <c r="J24" s="471"/>
    </row>
    <row r="25" spans="1:10">
      <c r="A25" s="56">
        <v>1432</v>
      </c>
      <c r="B25" s="55" t="s">
        <v>156</v>
      </c>
      <c r="C25" s="8"/>
      <c r="D25" s="8"/>
      <c r="E25" s="105"/>
      <c r="I25" s="411"/>
      <c r="J25" s="471"/>
    </row>
    <row r="26" spans="1:10">
      <c r="A26" s="56">
        <v>1433</v>
      </c>
      <c r="B26" s="55" t="s">
        <v>157</v>
      </c>
      <c r="C26" s="8">
        <v>8782</v>
      </c>
      <c r="D26" s="8">
        <v>8564</v>
      </c>
      <c r="E26" s="105"/>
      <c r="I26" s="411">
        <v>8781.66</v>
      </c>
      <c r="J26" s="472">
        <v>8564.18</v>
      </c>
    </row>
    <row r="27" spans="1:10">
      <c r="A27" s="56">
        <v>1441</v>
      </c>
      <c r="B27" s="55" t="s">
        <v>158</v>
      </c>
      <c r="C27" s="8">
        <v>6625</v>
      </c>
      <c r="D27" s="8">
        <v>8225</v>
      </c>
      <c r="E27" s="105"/>
      <c r="I27" s="411">
        <v>6624.55</v>
      </c>
      <c r="J27" s="472">
        <f>1643.34+6581.21</f>
        <v>8224.5499999999993</v>
      </c>
    </row>
    <row r="28" spans="1:10">
      <c r="A28" s="56">
        <v>1442</v>
      </c>
      <c r="B28" s="55" t="s">
        <v>159</v>
      </c>
      <c r="C28" s="8">
        <v>3303</v>
      </c>
      <c r="D28" s="411">
        <v>4198.7700000000004</v>
      </c>
      <c r="E28" s="105"/>
      <c r="I28" s="411">
        <v>3303</v>
      </c>
      <c r="J28" s="472"/>
    </row>
    <row r="29" spans="1:10">
      <c r="A29" s="56">
        <v>1443</v>
      </c>
      <c r="B29" s="55" t="s">
        <v>160</v>
      </c>
      <c r="C29" s="8"/>
      <c r="D29" s="8"/>
      <c r="E29" s="105"/>
      <c r="I29" s="411"/>
      <c r="J29" s="471"/>
    </row>
    <row r="30" spans="1:10">
      <c r="A30" s="56">
        <v>1444</v>
      </c>
      <c r="B30" s="55" t="s">
        <v>161</v>
      </c>
      <c r="C30" s="8"/>
      <c r="D30" s="8"/>
      <c r="E30" s="105"/>
      <c r="I30" s="411"/>
      <c r="J30" s="471"/>
    </row>
    <row r="31" spans="1:10">
      <c r="A31" s="56">
        <v>1445</v>
      </c>
      <c r="B31" s="55" t="s">
        <v>162</v>
      </c>
      <c r="C31" s="8"/>
      <c r="D31" s="8"/>
      <c r="E31" s="105"/>
      <c r="I31" s="411"/>
      <c r="J31" s="471"/>
    </row>
    <row r="32" spans="1:10">
      <c r="A32" s="56">
        <v>1446</v>
      </c>
      <c r="B32" s="55" t="s">
        <v>163</v>
      </c>
      <c r="C32" s="8"/>
      <c r="D32" s="8"/>
      <c r="E32" s="105"/>
      <c r="I32" s="411"/>
      <c r="J32" s="471">
        <f>1100+3098.77</f>
        <v>4198.7700000000004</v>
      </c>
    </row>
    <row r="33" spans="1:10">
      <c r="A33" s="29"/>
      <c r="E33" s="105"/>
      <c r="I33" s="412"/>
    </row>
    <row r="34" spans="1:10">
      <c r="A34" s="57" t="s">
        <v>194</v>
      </c>
      <c r="B34" s="55"/>
      <c r="C34" s="85">
        <f>SUM(C35:C42)</f>
        <v>117269</v>
      </c>
      <c r="D34" s="410">
        <f>SUM(D35:D42)</f>
        <v>89979.42</v>
      </c>
      <c r="E34" s="105"/>
      <c r="I34" s="410">
        <f>SUM(I35:I42)</f>
        <v>117269.54</v>
      </c>
      <c r="J34" s="410">
        <f>SUM(J35:J42)</f>
        <v>89979.35</v>
      </c>
    </row>
    <row r="35" spans="1:10">
      <c r="A35" s="56">
        <v>2110</v>
      </c>
      <c r="B35" s="55" t="s">
        <v>100</v>
      </c>
      <c r="C35" s="8"/>
      <c r="D35" s="8"/>
      <c r="E35" s="105"/>
      <c r="I35" s="411"/>
      <c r="J35" s="471"/>
    </row>
    <row r="36" spans="1:10">
      <c r="A36" s="56">
        <v>2120</v>
      </c>
      <c r="B36" s="55" t="s">
        <v>164</v>
      </c>
      <c r="C36" s="8">
        <v>109152</v>
      </c>
      <c r="D36" s="411">
        <v>84425.42</v>
      </c>
      <c r="E36" s="105"/>
      <c r="I36" s="411">
        <v>109152.04</v>
      </c>
      <c r="J36" s="471">
        <v>84425.42</v>
      </c>
    </row>
    <row r="37" spans="1:10">
      <c r="A37" s="56">
        <v>2130</v>
      </c>
      <c r="B37" s="55" t="s">
        <v>101</v>
      </c>
      <c r="C37" s="8"/>
      <c r="D37" s="8"/>
      <c r="E37" s="105"/>
      <c r="I37" s="411"/>
      <c r="J37" s="471"/>
    </row>
    <row r="38" spans="1:10">
      <c r="A38" s="56">
        <v>2140</v>
      </c>
      <c r="B38" s="55" t="s">
        <v>414</v>
      </c>
      <c r="C38" s="8"/>
      <c r="D38" s="8"/>
      <c r="E38" s="105"/>
      <c r="I38" s="411"/>
      <c r="J38" s="471"/>
    </row>
    <row r="39" spans="1:10">
      <c r="A39" s="56">
        <v>2150</v>
      </c>
      <c r="B39" s="55" t="s">
        <v>418</v>
      </c>
      <c r="C39" s="8">
        <v>1411</v>
      </c>
      <c r="D39" s="8">
        <v>941</v>
      </c>
      <c r="E39" s="105"/>
      <c r="I39" s="411">
        <v>1411.26</v>
      </c>
      <c r="J39" s="472">
        <v>940.58</v>
      </c>
    </row>
    <row r="40" spans="1:10">
      <c r="A40" s="56">
        <v>2220</v>
      </c>
      <c r="B40" s="55" t="s">
        <v>102</v>
      </c>
      <c r="C40" s="8">
        <v>6706</v>
      </c>
      <c r="D40" s="8">
        <v>4613</v>
      </c>
      <c r="E40" s="105"/>
      <c r="I40" s="411">
        <v>6706.24</v>
      </c>
      <c r="J40" s="472">
        <v>4613.3500000000004</v>
      </c>
    </row>
    <row r="41" spans="1:10">
      <c r="A41" s="56">
        <v>2300</v>
      </c>
      <c r="B41" s="55" t="s">
        <v>165</v>
      </c>
      <c r="C41" s="8"/>
      <c r="D41" s="8"/>
      <c r="E41" s="105"/>
      <c r="I41" s="411"/>
      <c r="J41" s="471"/>
    </row>
    <row r="42" spans="1:10">
      <c r="A42" s="56">
        <v>2400</v>
      </c>
      <c r="B42" s="55" t="s">
        <v>166</v>
      </c>
      <c r="C42" s="8"/>
      <c r="D42" s="8"/>
      <c r="E42" s="105"/>
      <c r="I42" s="411"/>
      <c r="J42" s="8"/>
    </row>
    <row r="43" spans="1:10">
      <c r="A43" s="30"/>
      <c r="E43" s="105"/>
      <c r="I43" s="412"/>
    </row>
    <row r="44" spans="1:10">
      <c r="A44" s="54" t="s">
        <v>198</v>
      </c>
      <c r="B44" s="55"/>
      <c r="C44" s="85">
        <f>SUM(C45,C64)</f>
        <v>412586</v>
      </c>
      <c r="D44" s="85">
        <f>SUM(D45,D64)</f>
        <v>564810</v>
      </c>
      <c r="E44" s="105"/>
      <c r="I44" s="410">
        <f>SUM(I45,I64)</f>
        <v>412585.69999999995</v>
      </c>
      <c r="J44" s="410">
        <f>SUM(J45,J64)</f>
        <v>564809.14</v>
      </c>
    </row>
    <row r="45" spans="1:10">
      <c r="A45" s="57" t="s">
        <v>195</v>
      </c>
      <c r="B45" s="55"/>
      <c r="C45" s="85">
        <f>SUM(C46:C61)</f>
        <v>1404685</v>
      </c>
      <c r="D45" s="85">
        <f>SUM(D46:D61)</f>
        <v>1405694</v>
      </c>
      <c r="E45" s="105"/>
      <c r="I45" s="410">
        <f>SUM(I46:I61)</f>
        <v>1404685.14</v>
      </c>
      <c r="J45" s="410">
        <f>SUM(J46:J61)</f>
        <v>1405693.24</v>
      </c>
    </row>
    <row r="46" spans="1:10">
      <c r="A46" s="56">
        <v>3100</v>
      </c>
      <c r="B46" s="55" t="s">
        <v>167</v>
      </c>
      <c r="C46" s="8"/>
      <c r="D46" s="8"/>
      <c r="E46" s="105"/>
      <c r="I46" s="411"/>
      <c r="J46" s="8"/>
    </row>
    <row r="47" spans="1:10">
      <c r="A47" s="56">
        <v>3210</v>
      </c>
      <c r="B47" s="55" t="s">
        <v>168</v>
      </c>
      <c r="C47" s="8">
        <v>1404593</v>
      </c>
      <c r="D47" s="8">
        <v>1405602</v>
      </c>
      <c r="E47" s="105"/>
      <c r="G47" s="2">
        <f>D47-C47</f>
        <v>1009</v>
      </c>
      <c r="I47" s="411">
        <v>1404593.49</v>
      </c>
      <c r="J47" s="472">
        <f>1371259+5291.01+9545.82+18693.76+812</f>
        <v>1405601.59</v>
      </c>
    </row>
    <row r="48" spans="1:10">
      <c r="A48" s="56">
        <v>3221</v>
      </c>
      <c r="B48" s="55" t="s">
        <v>169</v>
      </c>
      <c r="C48" s="8"/>
      <c r="D48" s="8"/>
      <c r="E48" s="105"/>
      <c r="I48" s="411"/>
      <c r="J48" s="471"/>
    </row>
    <row r="49" spans="1:10">
      <c r="A49" s="56">
        <v>3222</v>
      </c>
      <c r="B49" s="55" t="s">
        <v>170</v>
      </c>
      <c r="C49" s="8"/>
      <c r="D49" s="8"/>
      <c r="E49" s="105"/>
      <c r="I49" s="411"/>
      <c r="J49" s="471"/>
    </row>
    <row r="50" spans="1:10">
      <c r="A50" s="56">
        <v>3223</v>
      </c>
      <c r="B50" s="55" t="s">
        <v>171</v>
      </c>
      <c r="C50" s="8"/>
      <c r="D50" s="8"/>
      <c r="E50" s="105"/>
      <c r="I50" s="411"/>
      <c r="J50" s="471"/>
    </row>
    <row r="51" spans="1:10">
      <c r="A51" s="56">
        <v>3224</v>
      </c>
      <c r="B51" s="55" t="s">
        <v>172</v>
      </c>
      <c r="C51" s="8"/>
      <c r="D51" s="8"/>
      <c r="E51" s="105"/>
      <c r="I51" s="411"/>
      <c r="J51" s="471"/>
    </row>
    <row r="52" spans="1:10">
      <c r="A52" s="56">
        <v>3231</v>
      </c>
      <c r="B52" s="55" t="s">
        <v>173</v>
      </c>
      <c r="C52" s="8"/>
      <c r="D52" s="8"/>
      <c r="E52" s="105"/>
      <c r="I52" s="411"/>
      <c r="J52" s="471"/>
    </row>
    <row r="53" spans="1:10">
      <c r="A53" s="56">
        <v>3232</v>
      </c>
      <c r="B53" s="55" t="s">
        <v>174</v>
      </c>
      <c r="C53" s="8"/>
      <c r="D53" s="8"/>
      <c r="E53" s="105"/>
      <c r="I53" s="411"/>
      <c r="J53" s="471"/>
    </row>
    <row r="54" spans="1:10">
      <c r="A54" s="56">
        <v>3234</v>
      </c>
      <c r="B54" s="55" t="s">
        <v>175</v>
      </c>
      <c r="C54" s="8">
        <v>92</v>
      </c>
      <c r="D54" s="8">
        <v>92</v>
      </c>
      <c r="E54" s="105"/>
      <c r="I54" s="411">
        <v>91.65</v>
      </c>
      <c r="J54" s="472">
        <v>91.65</v>
      </c>
    </row>
    <row r="55" spans="1:10" ht="30">
      <c r="A55" s="56">
        <v>3236</v>
      </c>
      <c r="B55" s="55" t="s">
        <v>190</v>
      </c>
      <c r="C55" s="8"/>
      <c r="D55" s="8"/>
      <c r="E55" s="105"/>
      <c r="I55" s="411"/>
      <c r="J55" s="471"/>
    </row>
    <row r="56" spans="1:10" ht="45">
      <c r="A56" s="56">
        <v>3237</v>
      </c>
      <c r="B56" s="55" t="s">
        <v>176</v>
      </c>
      <c r="C56" s="8"/>
      <c r="D56" s="8"/>
      <c r="E56" s="105"/>
      <c r="I56" s="411"/>
      <c r="J56" s="471"/>
    </row>
    <row r="57" spans="1:10">
      <c r="A57" s="56">
        <v>3241</v>
      </c>
      <c r="B57" s="55" t="s">
        <v>177</v>
      </c>
      <c r="C57" s="8"/>
      <c r="D57" s="8"/>
      <c r="E57" s="105"/>
      <c r="I57" s="411"/>
      <c r="J57" s="8"/>
    </row>
    <row r="58" spans="1:10">
      <c r="A58" s="56">
        <v>3242</v>
      </c>
      <c r="B58" s="55" t="s">
        <v>178</v>
      </c>
      <c r="C58" s="8"/>
      <c r="D58" s="8"/>
      <c r="E58" s="105"/>
      <c r="I58" s="411"/>
      <c r="J58" s="8"/>
    </row>
    <row r="59" spans="1:10">
      <c r="A59" s="56">
        <v>3243</v>
      </c>
      <c r="B59" s="55" t="s">
        <v>179</v>
      </c>
      <c r="C59" s="8"/>
      <c r="D59" s="8"/>
      <c r="E59" s="105"/>
      <c r="I59" s="411"/>
      <c r="J59" s="8"/>
    </row>
    <row r="60" spans="1:10">
      <c r="A60" s="56">
        <v>3245</v>
      </c>
      <c r="B60" s="55" t="s">
        <v>180</v>
      </c>
      <c r="C60" s="8"/>
      <c r="D60" s="8"/>
      <c r="E60" s="105"/>
      <c r="I60" s="411"/>
      <c r="J60" s="8"/>
    </row>
    <row r="61" spans="1:10">
      <c r="A61" s="56">
        <v>3246</v>
      </c>
      <c r="B61" s="55" t="s">
        <v>181</v>
      </c>
      <c r="C61" s="8"/>
      <c r="D61" s="8"/>
      <c r="E61" s="105"/>
      <c r="I61" s="411"/>
      <c r="J61" s="8"/>
    </row>
    <row r="62" spans="1:10">
      <c r="A62" s="30"/>
      <c r="E62" s="105"/>
      <c r="I62" s="412"/>
    </row>
    <row r="63" spans="1:10">
      <c r="A63" s="31"/>
      <c r="E63" s="105"/>
      <c r="I63" s="412"/>
    </row>
    <row r="64" spans="1:10">
      <c r="A64" s="57" t="s">
        <v>196</v>
      </c>
      <c r="B64" s="55"/>
      <c r="C64" s="85">
        <f>SUM(C65:C67)</f>
        <v>-992099</v>
      </c>
      <c r="D64" s="85">
        <f>SUM(D65:D67)</f>
        <v>-840884</v>
      </c>
      <c r="E64" s="105"/>
      <c r="I64" s="410">
        <f>SUM(I65:I67)</f>
        <v>-992099.44</v>
      </c>
      <c r="J64" s="410">
        <f>SUM(J65:J67)</f>
        <v>-840884.1</v>
      </c>
    </row>
    <row r="65" spans="1:10">
      <c r="A65" s="56">
        <v>5100</v>
      </c>
      <c r="B65" s="55" t="s">
        <v>256</v>
      </c>
      <c r="C65" s="8"/>
      <c r="D65" s="8"/>
      <c r="E65" s="105"/>
      <c r="I65" s="411"/>
      <c r="J65" s="8"/>
    </row>
    <row r="66" spans="1:10">
      <c r="A66" s="56">
        <v>5220</v>
      </c>
      <c r="B66" s="55" t="s">
        <v>438</v>
      </c>
      <c r="C66" s="8"/>
      <c r="D66" s="8"/>
      <c r="E66" s="105"/>
      <c r="I66" s="411"/>
      <c r="J66" s="8"/>
    </row>
    <row r="67" spans="1:10">
      <c r="A67" s="56">
        <v>5230</v>
      </c>
      <c r="B67" s="55" t="s">
        <v>439</v>
      </c>
      <c r="C67" s="8">
        <v>-992099</v>
      </c>
      <c r="D67" s="8">
        <v>-840884</v>
      </c>
      <c r="E67" s="105"/>
      <c r="I67" s="411">
        <v>-992099.44</v>
      </c>
      <c r="J67" s="472">
        <v>-840884.1</v>
      </c>
    </row>
    <row r="68" spans="1:10">
      <c r="A68" s="30"/>
      <c r="E68" s="105"/>
    </row>
    <row r="69" spans="1:10">
      <c r="A69" s="2"/>
      <c r="E69" s="105"/>
    </row>
    <row r="70" spans="1:10">
      <c r="A70" s="54" t="s">
        <v>197</v>
      </c>
      <c r="B70" s="55"/>
      <c r="C70" s="8"/>
      <c r="D70" s="8"/>
      <c r="E70" s="105"/>
      <c r="I70" s="8"/>
      <c r="J70" s="8"/>
    </row>
    <row r="71" spans="1:10" ht="30">
      <c r="A71" s="56">
        <v>1</v>
      </c>
      <c r="B71" s="55" t="s">
        <v>182</v>
      </c>
      <c r="C71" s="8"/>
      <c r="D71" s="8"/>
      <c r="E71" s="105"/>
      <c r="I71" s="8"/>
      <c r="J71" s="8"/>
    </row>
    <row r="72" spans="1:10">
      <c r="A72" s="56">
        <v>2</v>
      </c>
      <c r="B72" s="55" t="s">
        <v>183</v>
      </c>
      <c r="C72" s="8"/>
      <c r="D72" s="8"/>
      <c r="E72" s="105"/>
      <c r="I72" s="8"/>
      <c r="J72" s="8"/>
    </row>
    <row r="73" spans="1:10">
      <c r="A73" s="56">
        <v>3</v>
      </c>
      <c r="B73" s="55" t="s">
        <v>184</v>
      </c>
      <c r="C73" s="8"/>
      <c r="D73" s="8"/>
      <c r="E73" s="105"/>
      <c r="I73" s="8"/>
      <c r="J73" s="8"/>
    </row>
    <row r="74" spans="1:10">
      <c r="A74" s="56">
        <v>4</v>
      </c>
      <c r="B74" s="55" t="s">
        <v>369</v>
      </c>
      <c r="C74" s="8"/>
      <c r="D74" s="8"/>
      <c r="E74" s="105"/>
      <c r="I74" s="8"/>
      <c r="J74" s="8"/>
    </row>
    <row r="75" spans="1:10">
      <c r="A75" s="56">
        <v>5</v>
      </c>
      <c r="B75" s="55" t="s">
        <v>185</v>
      </c>
      <c r="C75" s="8"/>
      <c r="D75" s="8"/>
      <c r="E75" s="105"/>
      <c r="I75" s="8"/>
      <c r="J75" s="8"/>
    </row>
    <row r="76" spans="1:10">
      <c r="A76" s="56">
        <v>6</v>
      </c>
      <c r="B76" s="55" t="s">
        <v>186</v>
      </c>
      <c r="C76" s="8"/>
      <c r="D76" s="8"/>
      <c r="E76" s="105"/>
      <c r="I76" s="8"/>
      <c r="J76" s="8"/>
    </row>
    <row r="77" spans="1:10">
      <c r="A77" s="56">
        <v>7</v>
      </c>
      <c r="B77" s="55" t="s">
        <v>187</v>
      </c>
      <c r="C77" s="8"/>
      <c r="D77" s="8"/>
      <c r="E77" s="105"/>
      <c r="I77" s="8"/>
      <c r="J77" s="8"/>
    </row>
    <row r="78" spans="1:10">
      <c r="A78" s="56">
        <v>8</v>
      </c>
      <c r="B78" s="55" t="s">
        <v>188</v>
      </c>
      <c r="C78" s="8"/>
      <c r="D78" s="8"/>
      <c r="E78" s="105"/>
      <c r="I78" s="8"/>
      <c r="J78" s="8"/>
    </row>
    <row r="79" spans="1:10">
      <c r="A79" s="56">
        <v>9</v>
      </c>
      <c r="B79" s="55" t="s">
        <v>189</v>
      </c>
      <c r="C79" s="8"/>
      <c r="D79" s="8"/>
      <c r="E79" s="105"/>
      <c r="I79" s="8"/>
      <c r="J79" s="8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5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Q27"/>
  <sheetViews>
    <sheetView showGridLines="0" view="pageBreakPreview" zoomScale="70" zoomScaleNormal="100" zoomScaleSheetLayoutView="70" workbookViewId="0">
      <selection activeCell="T13" sqref="T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7" width="0" style="2" hidden="1" customWidth="1"/>
    <col min="18" max="16384" width="9.140625" style="2"/>
  </cols>
  <sheetData>
    <row r="1" spans="1:17">
      <c r="A1" s="74" t="s">
        <v>457</v>
      </c>
      <c r="B1" s="76"/>
      <c r="C1" s="76"/>
      <c r="D1" s="76"/>
      <c r="E1" s="76"/>
      <c r="F1" s="76"/>
      <c r="G1" s="76"/>
      <c r="H1" s="76"/>
      <c r="I1" s="539" t="s">
        <v>110</v>
      </c>
      <c r="J1" s="539"/>
      <c r="K1" s="105"/>
    </row>
    <row r="2" spans="1:17">
      <c r="A2" s="76" t="s">
        <v>141</v>
      </c>
      <c r="B2" s="76"/>
      <c r="C2" s="76"/>
      <c r="D2" s="76"/>
      <c r="E2" s="76"/>
      <c r="F2" s="76"/>
      <c r="G2" s="76"/>
      <c r="H2" s="76"/>
      <c r="I2" s="529" t="s">
        <v>982</v>
      </c>
      <c r="J2" s="529"/>
      <c r="K2" s="105"/>
    </row>
    <row r="3" spans="1:17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7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8"/>
      <c r="G4" s="76"/>
      <c r="H4" s="76"/>
      <c r="I4" s="76"/>
      <c r="J4" s="76"/>
      <c r="K4" s="105"/>
    </row>
    <row r="5" spans="1:17">
      <c r="A5" s="240" t="e">
        <f>#REF!</f>
        <v>#REF!</v>
      </c>
      <c r="B5" s="241"/>
      <c r="C5" s="241"/>
      <c r="D5" s="241"/>
      <c r="E5" s="241"/>
      <c r="F5" s="242"/>
      <c r="G5" s="241"/>
      <c r="H5" s="241"/>
      <c r="I5" s="241"/>
      <c r="J5" s="241"/>
      <c r="K5" s="105"/>
    </row>
    <row r="6" spans="1:17">
      <c r="A6" s="77" t="s">
        <v>512</v>
      </c>
      <c r="B6" s="77"/>
      <c r="C6" s="76"/>
      <c r="D6" s="76"/>
      <c r="E6" s="76"/>
      <c r="F6" s="128"/>
      <c r="G6" s="76"/>
      <c r="H6" s="76"/>
      <c r="I6" s="76"/>
      <c r="J6" s="76"/>
      <c r="K6" s="105"/>
    </row>
    <row r="7" spans="1:17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5"/>
    </row>
    <row r="8" spans="1:17" s="26" customFormat="1" ht="45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5"/>
    </row>
    <row r="9" spans="1:17" s="26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5"/>
    </row>
    <row r="10" spans="1:17" s="26" customFormat="1">
      <c r="A10" s="161">
        <v>1</v>
      </c>
      <c r="B10" s="476" t="s">
        <v>540</v>
      </c>
      <c r="C10" s="477" t="s">
        <v>749</v>
      </c>
      <c r="D10" s="478" t="s">
        <v>750</v>
      </c>
      <c r="E10" s="479" t="s">
        <v>751</v>
      </c>
      <c r="F10" s="162">
        <v>276486.78000000003</v>
      </c>
      <c r="G10" s="162">
        <v>1418380</v>
      </c>
      <c r="H10" s="162">
        <v>1241144</v>
      </c>
      <c r="I10" s="162">
        <f>F10+G10-H10</f>
        <v>453722.78</v>
      </c>
      <c r="J10" s="162"/>
      <c r="K10" s="105"/>
      <c r="N10" s="162">
        <v>276486.78000000003</v>
      </c>
      <c r="O10" s="162">
        <v>212626.12</v>
      </c>
      <c r="P10" s="162">
        <v>253341.27</v>
      </c>
      <c r="Q10" s="162">
        <f t="shared" ref="Q10:Q16" si="0">N10+O10-P10</f>
        <v>235771.63000000003</v>
      </c>
    </row>
    <row r="11" spans="1:17" s="26" customFormat="1">
      <c r="A11" s="161">
        <v>2</v>
      </c>
      <c r="B11" s="476" t="s">
        <v>540</v>
      </c>
      <c r="C11" s="477" t="s">
        <v>752</v>
      </c>
      <c r="D11" s="478" t="s">
        <v>753</v>
      </c>
      <c r="E11" s="479" t="s">
        <v>751</v>
      </c>
      <c r="F11" s="162"/>
      <c r="G11" s="162"/>
      <c r="H11" s="162"/>
      <c r="I11" s="162"/>
      <c r="J11" s="162"/>
      <c r="K11" s="105"/>
      <c r="N11" s="162">
        <v>235771.63</v>
      </c>
      <c r="O11" s="162">
        <v>148091</v>
      </c>
      <c r="P11" s="162">
        <v>196242.4</v>
      </c>
      <c r="Q11" s="162">
        <f t="shared" si="0"/>
        <v>187620.23</v>
      </c>
    </row>
    <row r="12" spans="1:17" s="26" customFormat="1">
      <c r="A12" s="474">
        <v>3</v>
      </c>
      <c r="B12" s="476" t="s">
        <v>540</v>
      </c>
      <c r="C12" s="477" t="s">
        <v>752</v>
      </c>
      <c r="D12" s="478" t="s">
        <v>754</v>
      </c>
      <c r="E12" s="479" t="s">
        <v>751</v>
      </c>
      <c r="F12" s="475"/>
      <c r="G12" s="475"/>
      <c r="H12" s="475"/>
      <c r="I12" s="475"/>
      <c r="J12" s="475"/>
      <c r="K12" s="105"/>
      <c r="N12" s="162">
        <v>187620.23</v>
      </c>
      <c r="O12" s="162">
        <v>211578</v>
      </c>
      <c r="P12" s="162">
        <v>221066.79</v>
      </c>
      <c r="Q12" s="162">
        <f t="shared" si="0"/>
        <v>178131.43999999997</v>
      </c>
    </row>
    <row r="13" spans="1:17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N13" s="162">
        <v>178131</v>
      </c>
      <c r="O13" s="162">
        <f>63757+100727+114007+63757</f>
        <v>342248</v>
      </c>
      <c r="P13" s="162">
        <f>79746+108105+122248.28+86934.17</f>
        <v>397033.45</v>
      </c>
      <c r="Q13" s="162">
        <f t="shared" si="0"/>
        <v>123345.54999999999</v>
      </c>
    </row>
    <row r="14" spans="1:17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N14" s="162">
        <v>123346</v>
      </c>
      <c r="O14" s="162">
        <v>410080</v>
      </c>
      <c r="P14" s="162">
        <v>80544.34</v>
      </c>
      <c r="Q14" s="162">
        <f t="shared" si="0"/>
        <v>452881.66000000003</v>
      </c>
    </row>
    <row r="15" spans="1:17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N15" s="162">
        <v>452881.56</v>
      </c>
      <c r="O15" s="162">
        <v>93757</v>
      </c>
      <c r="P15" s="162">
        <v>82607.710000000006</v>
      </c>
      <c r="Q15" s="162">
        <f t="shared" si="0"/>
        <v>464030.85000000003</v>
      </c>
    </row>
    <row r="16" spans="1:17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N16" s="162">
        <v>464030.9</v>
      </c>
      <c r="O16" s="162">
        <v>0</v>
      </c>
      <c r="P16" s="162">
        <v>10308.290000000001</v>
      </c>
      <c r="Q16" s="162">
        <f t="shared" si="0"/>
        <v>453722.61000000004</v>
      </c>
    </row>
    <row r="17" spans="1:16">
      <c r="A17" s="104"/>
      <c r="B17" s="236" t="s">
        <v>107</v>
      </c>
      <c r="C17" s="104"/>
      <c r="D17" s="104"/>
      <c r="E17" s="104"/>
      <c r="F17" s="237"/>
      <c r="G17" s="104"/>
      <c r="H17" s="104"/>
      <c r="I17" s="104"/>
      <c r="J17" s="104"/>
      <c r="O17" s="412">
        <f>SUM(O10:O16)</f>
        <v>1418380.12</v>
      </c>
      <c r="P17" s="412">
        <f>SUM(P10:P16)</f>
        <v>1241144.25</v>
      </c>
    </row>
    <row r="18" spans="1:16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6">
      <c r="A19" s="104"/>
      <c r="B19" s="104"/>
      <c r="C19" s="293"/>
      <c r="D19" s="104"/>
      <c r="E19" s="104"/>
      <c r="F19" s="293"/>
      <c r="G19" s="294"/>
      <c r="H19" s="294"/>
      <c r="I19" s="101"/>
      <c r="J19" s="101"/>
    </row>
    <row r="20" spans="1:16">
      <c r="A20" s="101"/>
      <c r="B20" s="104"/>
      <c r="C20" s="238" t="s">
        <v>269</v>
      </c>
      <c r="D20" s="238"/>
      <c r="E20" s="104"/>
      <c r="F20" s="104" t="s">
        <v>274</v>
      </c>
      <c r="G20" s="101"/>
      <c r="H20" s="101"/>
      <c r="I20" s="101"/>
      <c r="J20" s="101"/>
    </row>
    <row r="21" spans="1:16">
      <c r="A21" s="101"/>
      <c r="B21" s="104"/>
      <c r="C21" s="239" t="s">
        <v>140</v>
      </c>
      <c r="D21" s="104"/>
      <c r="E21" s="104"/>
      <c r="F21" s="104" t="s">
        <v>270</v>
      </c>
      <c r="G21" s="101"/>
      <c r="H21" s="101"/>
      <c r="I21" s="101"/>
      <c r="J21" s="101"/>
    </row>
    <row r="22" spans="1:16" customFormat="1">
      <c r="A22" s="101"/>
      <c r="B22" s="104"/>
      <c r="C22" s="104"/>
      <c r="D22" s="239"/>
      <c r="E22" s="101"/>
      <c r="F22" s="101"/>
      <c r="G22" s="101"/>
      <c r="H22" s="101"/>
      <c r="I22" s="101"/>
      <c r="J22" s="101"/>
    </row>
    <row r="23" spans="1:16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6" customFormat="1" ht="12.75"/>
    <row r="25" spans="1:16" customFormat="1" ht="12.75"/>
    <row r="26" spans="1:16" customFormat="1" ht="12.75"/>
    <row r="27" spans="1:16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4" t="s">
        <v>372</v>
      </c>
      <c r="B1" s="76"/>
      <c r="C1" s="76"/>
      <c r="D1" s="76"/>
      <c r="E1" s="76"/>
      <c r="F1" s="76"/>
      <c r="G1" s="167" t="s">
        <v>110</v>
      </c>
      <c r="H1" s="168"/>
    </row>
    <row r="2" spans="1:8">
      <c r="A2" s="76" t="s">
        <v>141</v>
      </c>
      <c r="B2" s="76"/>
      <c r="C2" s="76"/>
      <c r="D2" s="76"/>
      <c r="E2" s="76"/>
      <c r="F2" s="76"/>
      <c r="G2" s="529" t="s">
        <v>982</v>
      </c>
      <c r="H2" s="529"/>
    </row>
    <row r="3" spans="1:8">
      <c r="A3" s="76"/>
      <c r="B3" s="76"/>
      <c r="C3" s="76"/>
      <c r="D3" s="76"/>
      <c r="E3" s="76"/>
      <c r="F3" s="76"/>
      <c r="G3" s="102"/>
      <c r="H3" s="168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5" t="s">
        <v>512</v>
      </c>
      <c r="B5" s="225"/>
      <c r="C5" s="225"/>
      <c r="D5" s="225"/>
      <c r="E5" s="225"/>
      <c r="F5" s="225"/>
      <c r="G5" s="225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5"/>
    </row>
    <row r="9" spans="1:8">
      <c r="A9" s="171" t="s">
        <v>317</v>
      </c>
      <c r="B9" s="172"/>
      <c r="C9" s="173"/>
      <c r="D9" s="174"/>
      <c r="E9" s="174"/>
      <c r="F9" s="174"/>
      <c r="G9" s="175"/>
      <c r="H9" s="105"/>
    </row>
    <row r="10" spans="1:8" ht="15.75">
      <c r="A10" s="172">
        <v>1</v>
      </c>
      <c r="B10" s="480">
        <v>42135</v>
      </c>
      <c r="C10" s="176">
        <v>12200</v>
      </c>
      <c r="D10" s="177"/>
      <c r="E10" s="177" t="s">
        <v>750</v>
      </c>
      <c r="F10" s="177" t="s">
        <v>755</v>
      </c>
      <c r="G10" s="178">
        <f>IF(ISBLANK(B10),"",G9+C10-D10)</f>
        <v>12200</v>
      </c>
      <c r="H10" s="105"/>
    </row>
    <row r="11" spans="1:8" ht="30">
      <c r="A11" s="172">
        <v>2</v>
      </c>
      <c r="B11" s="480">
        <v>42135</v>
      </c>
      <c r="C11" s="176"/>
      <c r="D11" s="177">
        <v>12120</v>
      </c>
      <c r="E11" s="177" t="s">
        <v>750</v>
      </c>
      <c r="F11" s="177" t="s">
        <v>756</v>
      </c>
      <c r="G11" s="178">
        <f t="shared" ref="G11:G38" si="0">IF(ISBLANK(B11),"",G10+C11-D11)</f>
        <v>80</v>
      </c>
      <c r="H11" s="105"/>
    </row>
    <row r="12" spans="1:8" ht="15.75">
      <c r="A12" s="172">
        <v>3</v>
      </c>
      <c r="B12" s="481" t="s">
        <v>757</v>
      </c>
      <c r="C12" s="176"/>
      <c r="D12" s="177">
        <v>80</v>
      </c>
      <c r="E12" s="177" t="s">
        <v>750</v>
      </c>
      <c r="F12" s="177" t="s">
        <v>758</v>
      </c>
      <c r="G12" s="178">
        <f t="shared" si="0"/>
        <v>0</v>
      </c>
      <c r="H12" s="105"/>
    </row>
    <row r="13" spans="1:8" ht="15.75">
      <c r="A13" s="172">
        <v>4</v>
      </c>
      <c r="B13" s="159"/>
      <c r="C13" s="176"/>
      <c r="D13" s="177"/>
      <c r="E13" s="177"/>
      <c r="F13" s="177"/>
      <c r="G13" s="178" t="str">
        <f t="shared" si="0"/>
        <v/>
      </c>
      <c r="H13" s="105"/>
    </row>
    <row r="14" spans="1:8" ht="15.75">
      <c r="A14" s="172">
        <v>5</v>
      </c>
      <c r="B14" s="159"/>
      <c r="C14" s="176"/>
      <c r="D14" s="177"/>
      <c r="E14" s="177"/>
      <c r="F14" s="177"/>
      <c r="G14" s="178" t="str">
        <f t="shared" si="0"/>
        <v/>
      </c>
      <c r="H14" s="105"/>
    </row>
    <row r="15" spans="1:8" ht="15.75">
      <c r="A15" s="172">
        <v>6</v>
      </c>
      <c r="B15" s="159"/>
      <c r="C15" s="176"/>
      <c r="D15" s="177"/>
      <c r="E15" s="177"/>
      <c r="F15" s="177"/>
      <c r="G15" s="178" t="str">
        <f t="shared" si="0"/>
        <v/>
      </c>
      <c r="H15" s="105"/>
    </row>
    <row r="16" spans="1:8" ht="15.75">
      <c r="A16" s="172">
        <v>7</v>
      </c>
      <c r="B16" s="159"/>
      <c r="C16" s="176"/>
      <c r="D16" s="177"/>
      <c r="E16" s="177"/>
      <c r="F16" s="177"/>
      <c r="G16" s="178" t="str">
        <f t="shared" si="0"/>
        <v/>
      </c>
      <c r="H16" s="105"/>
    </row>
    <row r="17" spans="1:8" ht="15.75">
      <c r="A17" s="172">
        <v>8</v>
      </c>
      <c r="B17" s="159"/>
      <c r="C17" s="176"/>
      <c r="D17" s="177"/>
      <c r="E17" s="177"/>
      <c r="F17" s="177"/>
      <c r="G17" s="178" t="str">
        <f t="shared" si="0"/>
        <v/>
      </c>
      <c r="H17" s="105"/>
    </row>
    <row r="18" spans="1:8" ht="15.75">
      <c r="A18" s="172">
        <v>9</v>
      </c>
      <c r="B18" s="159"/>
      <c r="C18" s="176"/>
      <c r="D18" s="177"/>
      <c r="E18" s="177"/>
      <c r="F18" s="177"/>
      <c r="G18" s="178" t="str">
        <f t="shared" si="0"/>
        <v/>
      </c>
      <c r="H18" s="105"/>
    </row>
    <row r="19" spans="1:8" ht="15.75">
      <c r="A19" s="172">
        <v>10</v>
      </c>
      <c r="B19" s="159"/>
      <c r="C19" s="176"/>
      <c r="D19" s="177"/>
      <c r="E19" s="177"/>
      <c r="F19" s="177"/>
      <c r="G19" s="178" t="str">
        <f t="shared" si="0"/>
        <v/>
      </c>
      <c r="H19" s="105"/>
    </row>
    <row r="20" spans="1:8" ht="15.75">
      <c r="A20" s="172">
        <v>11</v>
      </c>
      <c r="B20" s="159"/>
      <c r="C20" s="176"/>
      <c r="D20" s="177"/>
      <c r="E20" s="177"/>
      <c r="F20" s="177"/>
      <c r="G20" s="178" t="str">
        <f t="shared" si="0"/>
        <v/>
      </c>
      <c r="H20" s="105"/>
    </row>
    <row r="21" spans="1:8" ht="15.75">
      <c r="A21" s="172">
        <v>12</v>
      </c>
      <c r="B21" s="159"/>
      <c r="C21" s="176"/>
      <c r="D21" s="177"/>
      <c r="E21" s="177"/>
      <c r="F21" s="177"/>
      <c r="G21" s="178" t="str">
        <f t="shared" si="0"/>
        <v/>
      </c>
      <c r="H21" s="105"/>
    </row>
    <row r="22" spans="1:8" ht="15.75">
      <c r="A22" s="172">
        <v>13</v>
      </c>
      <c r="B22" s="159"/>
      <c r="C22" s="176"/>
      <c r="D22" s="177"/>
      <c r="E22" s="177"/>
      <c r="F22" s="177"/>
      <c r="G22" s="178" t="str">
        <f t="shared" si="0"/>
        <v/>
      </c>
      <c r="H22" s="105"/>
    </row>
    <row r="23" spans="1:8" ht="15.75">
      <c r="A23" s="172">
        <v>14</v>
      </c>
      <c r="B23" s="159"/>
      <c r="C23" s="176"/>
      <c r="D23" s="177"/>
      <c r="E23" s="177"/>
      <c r="F23" s="177"/>
      <c r="G23" s="178" t="str">
        <f t="shared" si="0"/>
        <v/>
      </c>
      <c r="H23" s="105"/>
    </row>
    <row r="24" spans="1:8" ht="15.75">
      <c r="A24" s="172">
        <v>15</v>
      </c>
      <c r="B24" s="159"/>
      <c r="C24" s="176"/>
      <c r="D24" s="177"/>
      <c r="E24" s="177"/>
      <c r="F24" s="177"/>
      <c r="G24" s="178" t="str">
        <f t="shared" si="0"/>
        <v/>
      </c>
      <c r="H24" s="105"/>
    </row>
    <row r="25" spans="1:8" ht="15.75">
      <c r="A25" s="172">
        <v>16</v>
      </c>
      <c r="B25" s="159"/>
      <c r="C25" s="176"/>
      <c r="D25" s="177"/>
      <c r="E25" s="177"/>
      <c r="F25" s="177"/>
      <c r="G25" s="178" t="str">
        <f t="shared" si="0"/>
        <v/>
      </c>
      <c r="H25" s="105"/>
    </row>
    <row r="26" spans="1:8" ht="15.75">
      <c r="A26" s="172">
        <v>17</v>
      </c>
      <c r="B26" s="159"/>
      <c r="C26" s="176"/>
      <c r="D26" s="177"/>
      <c r="E26" s="177"/>
      <c r="F26" s="177"/>
      <c r="G26" s="178" t="str">
        <f t="shared" si="0"/>
        <v/>
      </c>
      <c r="H26" s="105"/>
    </row>
    <row r="27" spans="1:8" ht="15.75">
      <c r="A27" s="172">
        <v>18</v>
      </c>
      <c r="B27" s="159"/>
      <c r="C27" s="176"/>
      <c r="D27" s="177"/>
      <c r="E27" s="177"/>
      <c r="F27" s="177"/>
      <c r="G27" s="178" t="str">
        <f t="shared" si="0"/>
        <v/>
      </c>
      <c r="H27" s="105"/>
    </row>
    <row r="28" spans="1:8" ht="15.75">
      <c r="A28" s="172">
        <v>19</v>
      </c>
      <c r="B28" s="159"/>
      <c r="C28" s="176"/>
      <c r="D28" s="177"/>
      <c r="E28" s="177"/>
      <c r="F28" s="177"/>
      <c r="G28" s="178" t="str">
        <f t="shared" si="0"/>
        <v/>
      </c>
      <c r="H28" s="105"/>
    </row>
    <row r="29" spans="1:8" ht="15.75">
      <c r="A29" s="172">
        <v>20</v>
      </c>
      <c r="B29" s="159"/>
      <c r="C29" s="176"/>
      <c r="D29" s="177"/>
      <c r="E29" s="177"/>
      <c r="F29" s="177"/>
      <c r="G29" s="178" t="str">
        <f t="shared" si="0"/>
        <v/>
      </c>
      <c r="H29" s="105"/>
    </row>
    <row r="30" spans="1:8" ht="15.75">
      <c r="A30" s="172">
        <v>21</v>
      </c>
      <c r="B30" s="159"/>
      <c r="C30" s="179"/>
      <c r="D30" s="180"/>
      <c r="E30" s="180"/>
      <c r="F30" s="180"/>
      <c r="G30" s="178" t="str">
        <f t="shared" si="0"/>
        <v/>
      </c>
      <c r="H30" s="105"/>
    </row>
    <row r="31" spans="1:8" ht="15.75">
      <c r="A31" s="172">
        <v>22</v>
      </c>
      <c r="B31" s="159"/>
      <c r="C31" s="179"/>
      <c r="D31" s="180"/>
      <c r="E31" s="180"/>
      <c r="F31" s="180"/>
      <c r="G31" s="178" t="str">
        <f t="shared" si="0"/>
        <v/>
      </c>
      <c r="H31" s="105"/>
    </row>
    <row r="32" spans="1:8" ht="15.75">
      <c r="A32" s="172">
        <v>23</v>
      </c>
      <c r="B32" s="159"/>
      <c r="C32" s="179"/>
      <c r="D32" s="180"/>
      <c r="E32" s="180"/>
      <c r="F32" s="180"/>
      <c r="G32" s="178" t="str">
        <f t="shared" si="0"/>
        <v/>
      </c>
      <c r="H32" s="105"/>
    </row>
    <row r="33" spans="1:10" ht="15.75">
      <c r="A33" s="172">
        <v>24</v>
      </c>
      <c r="B33" s="159"/>
      <c r="C33" s="179"/>
      <c r="D33" s="180"/>
      <c r="E33" s="180"/>
      <c r="F33" s="180"/>
      <c r="G33" s="178" t="str">
        <f t="shared" si="0"/>
        <v/>
      </c>
      <c r="H33" s="105"/>
    </row>
    <row r="34" spans="1:10" ht="15.75">
      <c r="A34" s="172">
        <v>25</v>
      </c>
      <c r="B34" s="159"/>
      <c r="C34" s="179"/>
      <c r="D34" s="180"/>
      <c r="E34" s="180"/>
      <c r="F34" s="180"/>
      <c r="G34" s="178" t="str">
        <f t="shared" si="0"/>
        <v/>
      </c>
      <c r="H34" s="105"/>
    </row>
    <row r="35" spans="1:10" ht="15.75">
      <c r="A35" s="172">
        <v>26</v>
      </c>
      <c r="B35" s="159"/>
      <c r="C35" s="179"/>
      <c r="D35" s="180"/>
      <c r="E35" s="180"/>
      <c r="F35" s="180"/>
      <c r="G35" s="178" t="str">
        <f t="shared" si="0"/>
        <v/>
      </c>
      <c r="H35" s="105"/>
    </row>
    <row r="36" spans="1:10" ht="15.75">
      <c r="A36" s="172">
        <v>27</v>
      </c>
      <c r="B36" s="159"/>
      <c r="C36" s="179"/>
      <c r="D36" s="180"/>
      <c r="E36" s="180"/>
      <c r="F36" s="180"/>
      <c r="G36" s="178" t="str">
        <f t="shared" si="0"/>
        <v/>
      </c>
      <c r="H36" s="105"/>
    </row>
    <row r="37" spans="1:10" ht="15.75">
      <c r="A37" s="172">
        <v>28</v>
      </c>
      <c r="B37" s="159"/>
      <c r="C37" s="179"/>
      <c r="D37" s="180"/>
      <c r="E37" s="180"/>
      <c r="F37" s="180"/>
      <c r="G37" s="178" t="str">
        <f t="shared" si="0"/>
        <v/>
      </c>
      <c r="H37" s="105"/>
    </row>
    <row r="38" spans="1:10" ht="15.75">
      <c r="A38" s="172">
        <v>29</v>
      </c>
      <c r="B38" s="159"/>
      <c r="C38" s="179"/>
      <c r="D38" s="180"/>
      <c r="E38" s="180"/>
      <c r="F38" s="180"/>
      <c r="G38" s="178" t="str">
        <f t="shared" si="0"/>
        <v/>
      </c>
      <c r="H38" s="105"/>
    </row>
    <row r="39" spans="1:10" ht="15.75">
      <c r="A39" s="172" t="s">
        <v>280</v>
      </c>
      <c r="B39" s="159"/>
      <c r="C39" s="179"/>
      <c r="D39" s="180"/>
      <c r="E39" s="180"/>
      <c r="F39" s="180"/>
      <c r="G39" s="178" t="str">
        <f>IF(ISBLANK(B39),"",#REF!+C39-D39)</f>
        <v/>
      </c>
      <c r="H39" s="105"/>
    </row>
    <row r="40" spans="1:10">
      <c r="A40" s="181" t="s">
        <v>318</v>
      </c>
      <c r="B40" s="182"/>
      <c r="C40" s="183"/>
      <c r="D40" s="184"/>
      <c r="E40" s="184"/>
      <c r="F40" s="185"/>
      <c r="G40" s="186" t="str">
        <f>G39</f>
        <v/>
      </c>
      <c r="H40" s="105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269</v>
      </c>
      <c r="F47" s="194" t="s">
        <v>274</v>
      </c>
      <c r="G47" s="192"/>
      <c r="H47" s="188"/>
      <c r="I47" s="188"/>
      <c r="J47" s="188"/>
    </row>
    <row r="48" spans="1:10">
      <c r="A48" s="188"/>
      <c r="C48" s="195" t="s">
        <v>140</v>
      </c>
      <c r="F48" s="187" t="s">
        <v>270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C41"/>
  <sheetViews>
    <sheetView showGridLines="0" view="pageBreakPreview" zoomScale="70" zoomScaleNormal="100" zoomScaleSheetLayoutView="70" workbookViewId="0">
      <selection activeCell="C27" activeCellId="2" sqref="C11 C13 C2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8" width="15.85546875" style="2" customWidth="1"/>
    <col min="9" max="11" width="9.140625" style="2"/>
    <col min="12" max="12" width="3.28515625" style="2" customWidth="1"/>
    <col min="13" max="14" width="9.140625" style="2"/>
    <col min="15" max="15" width="4" style="2" customWidth="1"/>
    <col min="16" max="16384" width="9.140625" style="2"/>
  </cols>
  <sheetData>
    <row r="1" spans="1:29">
      <c r="A1" s="74" t="s">
        <v>303</v>
      </c>
      <c r="B1" s="76"/>
      <c r="C1" s="539" t="s">
        <v>110</v>
      </c>
      <c r="D1" s="539"/>
      <c r="E1" s="108"/>
    </row>
    <row r="2" spans="1:29">
      <c r="A2" s="76" t="s">
        <v>141</v>
      </c>
      <c r="B2" s="76"/>
      <c r="C2" s="529" t="s">
        <v>982</v>
      </c>
      <c r="D2" s="529"/>
      <c r="E2" s="108"/>
      <c r="J2" s="529" t="s">
        <v>661</v>
      </c>
      <c r="K2" s="538"/>
      <c r="M2" s="529" t="s">
        <v>662</v>
      </c>
      <c r="N2" s="538"/>
      <c r="P2" s="529" t="s">
        <v>663</v>
      </c>
      <c r="Q2" s="538"/>
      <c r="S2" s="529" t="s">
        <v>664</v>
      </c>
      <c r="T2" s="538"/>
      <c r="V2" s="529" t="s">
        <v>665</v>
      </c>
      <c r="W2" s="538"/>
      <c r="Y2" s="529" t="s">
        <v>666</v>
      </c>
      <c r="Z2" s="538"/>
      <c r="AB2" s="529" t="s">
        <v>667</v>
      </c>
      <c r="AC2" s="538"/>
    </row>
    <row r="3" spans="1:29">
      <c r="A3" s="74"/>
      <c r="B3" s="76"/>
      <c r="C3" s="75"/>
      <c r="D3" s="75"/>
      <c r="E3" s="108"/>
      <c r="J3" s="373"/>
      <c r="K3" s="373"/>
      <c r="M3" s="373"/>
      <c r="N3" s="373"/>
      <c r="P3" s="373"/>
      <c r="Q3" s="373"/>
      <c r="S3" s="373"/>
      <c r="T3" s="373"/>
      <c r="V3" s="373"/>
      <c r="W3" s="373"/>
      <c r="Y3" s="373"/>
      <c r="Z3" s="373"/>
      <c r="AB3" s="373"/>
      <c r="AC3" s="373"/>
    </row>
    <row r="4" spans="1:29">
      <c r="A4" s="77" t="s">
        <v>275</v>
      </c>
      <c r="B4" s="102"/>
      <c r="C4" s="103"/>
      <c r="D4" s="76"/>
      <c r="E4" s="108"/>
      <c r="J4" s="103"/>
      <c r="K4" s="76"/>
      <c r="M4" s="103"/>
      <c r="N4" s="76"/>
      <c r="P4" s="103"/>
      <c r="Q4" s="76"/>
      <c r="S4" s="103"/>
      <c r="T4" s="76"/>
      <c r="V4" s="103"/>
      <c r="W4" s="76"/>
      <c r="Y4" s="103"/>
      <c r="Z4" s="76"/>
      <c r="AB4" s="103"/>
      <c r="AC4" s="76"/>
    </row>
    <row r="5" spans="1:29">
      <c r="A5" s="112" t="s">
        <v>512</v>
      </c>
      <c r="B5" s="12"/>
      <c r="C5" s="12"/>
      <c r="E5" s="108"/>
      <c r="J5" s="12"/>
      <c r="M5" s="12"/>
      <c r="P5" s="12"/>
      <c r="S5" s="12"/>
      <c r="V5" s="12"/>
      <c r="Y5" s="12"/>
      <c r="AB5" s="12"/>
    </row>
    <row r="6" spans="1:29">
      <c r="A6" s="104"/>
      <c r="B6" s="104"/>
      <c r="C6" s="104"/>
      <c r="D6" s="105"/>
      <c r="E6" s="108"/>
      <c r="J6" s="104"/>
      <c r="K6" s="105"/>
      <c r="M6" s="104"/>
      <c r="N6" s="105"/>
      <c r="P6" s="104"/>
      <c r="Q6" s="105"/>
      <c r="S6" s="104"/>
      <c r="T6" s="105"/>
      <c r="V6" s="104"/>
      <c r="W6" s="105"/>
      <c r="Y6" s="104"/>
      <c r="Z6" s="105"/>
      <c r="AB6" s="104"/>
      <c r="AC6" s="105"/>
    </row>
    <row r="7" spans="1:29">
      <c r="A7" s="76"/>
      <c r="B7" s="76"/>
      <c r="C7" s="76"/>
      <c r="D7" s="76"/>
      <c r="E7" s="108"/>
      <c r="J7" s="76"/>
      <c r="K7" s="76"/>
      <c r="M7" s="76"/>
      <c r="N7" s="76"/>
      <c r="P7" s="76"/>
      <c r="Q7" s="76"/>
      <c r="S7" s="76"/>
      <c r="T7" s="76"/>
      <c r="V7" s="76"/>
      <c r="W7" s="76"/>
      <c r="Y7" s="76"/>
      <c r="Z7" s="76"/>
      <c r="AB7" s="76"/>
      <c r="AC7" s="76"/>
    </row>
    <row r="8" spans="1:29" s="6" customFormat="1" ht="39" customHeight="1">
      <c r="A8" s="106" t="s">
        <v>64</v>
      </c>
      <c r="B8" s="79" t="s">
        <v>250</v>
      </c>
      <c r="C8" s="79" t="s">
        <v>66</v>
      </c>
      <c r="D8" s="79" t="s">
        <v>67</v>
      </c>
      <c r="E8" s="108"/>
      <c r="G8" s="2"/>
      <c r="J8" s="79" t="s">
        <v>66</v>
      </c>
      <c r="K8" s="79" t="s">
        <v>67</v>
      </c>
      <c r="M8" s="79" t="s">
        <v>66</v>
      </c>
      <c r="N8" s="79" t="s">
        <v>67</v>
      </c>
      <c r="P8" s="79" t="s">
        <v>66</v>
      </c>
      <c r="Q8" s="79" t="s">
        <v>67</v>
      </c>
      <c r="S8" s="79" t="s">
        <v>66</v>
      </c>
      <c r="T8" s="79" t="s">
        <v>67</v>
      </c>
      <c r="V8" s="79" t="s">
        <v>66</v>
      </c>
      <c r="W8" s="79" t="s">
        <v>67</v>
      </c>
      <c r="Y8" s="79" t="s">
        <v>66</v>
      </c>
      <c r="Z8" s="79" t="s">
        <v>67</v>
      </c>
      <c r="AB8" s="79" t="s">
        <v>66</v>
      </c>
      <c r="AC8" s="79" t="s">
        <v>67</v>
      </c>
    </row>
    <row r="9" spans="1:29" s="7" customFormat="1" ht="16.5" customHeight="1">
      <c r="A9" s="246">
        <v>1</v>
      </c>
      <c r="B9" s="246" t="s">
        <v>65</v>
      </c>
      <c r="C9" s="85">
        <f>SUM(C10,C25)</f>
        <v>923016</v>
      </c>
      <c r="D9" s="85">
        <f>SUM(D10,D25)</f>
        <v>915540</v>
      </c>
      <c r="E9" s="108"/>
      <c r="G9" s="2"/>
      <c r="J9" s="85">
        <f>SUM(J10,J25)</f>
        <v>215598</v>
      </c>
      <c r="K9" s="85">
        <f>SUM(K10,K25)</f>
        <v>210998</v>
      </c>
      <c r="M9" s="410">
        <f>SUM(M10,M25)</f>
        <v>83486.850000000006</v>
      </c>
      <c r="N9" s="85">
        <f>SUM(N10,N25)</f>
        <v>83484</v>
      </c>
      <c r="P9" s="85">
        <f>SUM(P10,P25)</f>
        <v>211040.95</v>
      </c>
      <c r="Q9" s="85">
        <f>SUM(Q10,Q25)</f>
        <v>211038</v>
      </c>
      <c r="S9" s="410">
        <f>SUM(S10,S25)</f>
        <v>2890</v>
      </c>
      <c r="T9" s="85">
        <f>SUM(T10,T25)</f>
        <v>20</v>
      </c>
      <c r="V9" s="410">
        <f>SUM(V10,V25)</f>
        <v>410000</v>
      </c>
      <c r="W9" s="85">
        <f>SUM(W10,W25)</f>
        <v>410000</v>
      </c>
      <c r="Y9" s="410">
        <f>SUM(Y10,Y25)</f>
        <v>0</v>
      </c>
      <c r="Z9" s="85">
        <f>SUM(Z10,Z25)</f>
        <v>0</v>
      </c>
      <c r="AB9" s="410">
        <f>SUM(AB10,AB25)</f>
        <v>0</v>
      </c>
      <c r="AC9" s="85">
        <f>SUM(AC10,AC25)</f>
        <v>0</v>
      </c>
    </row>
    <row r="10" spans="1:29" s="7" customFormat="1" ht="16.5" customHeight="1">
      <c r="A10" s="87">
        <v>1.1000000000000001</v>
      </c>
      <c r="B10" s="87" t="s">
        <v>80</v>
      </c>
      <c r="C10" s="85">
        <f>SUM(C11,C12,C15,C18,C24)</f>
        <v>915540</v>
      </c>
      <c r="D10" s="85">
        <f>SUM(D11,D12,D15,D18,D23,D24)</f>
        <v>915540</v>
      </c>
      <c r="E10" s="108"/>
      <c r="G10" s="2"/>
      <c r="J10" s="85">
        <f>SUM(J11,J12,J15,J18,J24)</f>
        <v>210998</v>
      </c>
      <c r="K10" s="85">
        <f>SUM(K11,K12,K15,K18,K23,K24)</f>
        <v>210998</v>
      </c>
      <c r="M10" s="85">
        <f>SUM(M11,M12,M15,M18,M24)</f>
        <v>83484</v>
      </c>
      <c r="N10" s="85">
        <f>SUM(N11,N12,N15,N18,N23,N24)</f>
        <v>83484</v>
      </c>
      <c r="P10" s="85">
        <f>SUM(P11,P12,P15,P18,P24)</f>
        <v>211038</v>
      </c>
      <c r="Q10" s="85">
        <f>SUM(Q11,Q12,Q15,Q18,Q23,Q24)</f>
        <v>211038</v>
      </c>
      <c r="S10" s="85">
        <f>SUM(S11,S12,S15,S18,S24)</f>
        <v>20</v>
      </c>
      <c r="T10" s="85">
        <f>SUM(T11,T12,T15,T18,T23,T24)</f>
        <v>20</v>
      </c>
      <c r="V10" s="85">
        <f>SUM(V11,V12,V15,V18,V24)</f>
        <v>410000</v>
      </c>
      <c r="W10" s="85">
        <f>SUM(W11,W12,W15,W18,W23,W24)</f>
        <v>410000</v>
      </c>
      <c r="Y10" s="85">
        <f>SUM(Y11,Y12,Y15,Y18,Y24)</f>
        <v>0</v>
      </c>
      <c r="Z10" s="85">
        <f>SUM(Z11,Z12,Z15,Z18,Z23,Z24)</f>
        <v>0</v>
      </c>
      <c r="AB10" s="85">
        <f>SUM(AB11,AB12,AB15,AB18,AB24)</f>
        <v>0</v>
      </c>
      <c r="AC10" s="85">
        <f>SUM(AC11,AC12,AC15,AC18,AC23,AC24)</f>
        <v>0</v>
      </c>
    </row>
    <row r="11" spans="1:29" s="9" customFormat="1" ht="16.5" customHeight="1">
      <c r="A11" s="88" t="s">
        <v>30</v>
      </c>
      <c r="B11" s="88" t="s">
        <v>79</v>
      </c>
      <c r="C11" s="8">
        <v>200</v>
      </c>
      <c r="D11" s="8">
        <v>200</v>
      </c>
      <c r="E11" s="108"/>
      <c r="G11" s="2">
        <f>J11+M11+P11+S11+V11+Y11+AB11</f>
        <v>200</v>
      </c>
      <c r="H11" s="9">
        <f>K11+N11+Q11+T11+W11+Z11+AC11</f>
        <v>200</v>
      </c>
      <c r="J11" s="8">
        <v>60</v>
      </c>
      <c r="K11" s="8">
        <v>60</v>
      </c>
      <c r="M11" s="8">
        <v>20</v>
      </c>
      <c r="N11" s="8">
        <v>20</v>
      </c>
      <c r="P11" s="8">
        <v>100</v>
      </c>
      <c r="Q11" s="8">
        <v>100</v>
      </c>
      <c r="S11" s="8">
        <v>20</v>
      </c>
      <c r="T11" s="8">
        <v>20</v>
      </c>
      <c r="V11" s="8">
        <v>0</v>
      </c>
      <c r="W11" s="8">
        <v>0</v>
      </c>
      <c r="Y11" s="8"/>
      <c r="Z11" s="8"/>
      <c r="AB11" s="8"/>
      <c r="AC11" s="8"/>
    </row>
    <row r="12" spans="1:29" s="10" customFormat="1" ht="16.5" customHeight="1">
      <c r="A12" s="88" t="s">
        <v>31</v>
      </c>
      <c r="B12" s="88" t="s">
        <v>310</v>
      </c>
      <c r="C12" s="107">
        <f>SUM(C13:C14)</f>
        <v>410000</v>
      </c>
      <c r="D12" s="107">
        <f>SUM(D13:D14)</f>
        <v>410000</v>
      </c>
      <c r="E12" s="108"/>
      <c r="G12" s="68"/>
      <c r="H12" s="68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410000</v>
      </c>
      <c r="W12" s="107">
        <f>SUM(W13:W14)</f>
        <v>410000</v>
      </c>
      <c r="Y12" s="107">
        <f>SUM(Y13:Y14)</f>
        <v>0</v>
      </c>
      <c r="Z12" s="107">
        <f>SUM(Z13:Z14)</f>
        <v>0</v>
      </c>
      <c r="AB12" s="107">
        <f>SUM(AB13:AB14)</f>
        <v>0</v>
      </c>
      <c r="AC12" s="107">
        <f>SUM(AC13:AC14)</f>
        <v>0</v>
      </c>
    </row>
    <row r="13" spans="1:29" s="3" customFormat="1" ht="16.5" customHeight="1">
      <c r="A13" s="97" t="s">
        <v>81</v>
      </c>
      <c r="B13" s="97" t="s">
        <v>313</v>
      </c>
      <c r="C13" s="8">
        <v>410000</v>
      </c>
      <c r="D13" s="8">
        <v>410000</v>
      </c>
      <c r="E13" s="108"/>
      <c r="G13" s="3">
        <f>J13+M13+P13+S13+V13+Y13+AB13</f>
        <v>410000</v>
      </c>
      <c r="H13" s="3">
        <f>K13+N13+Q13+T13+W13+Z13+AC13</f>
        <v>410000</v>
      </c>
      <c r="J13" s="8"/>
      <c r="K13" s="8"/>
      <c r="M13" s="8"/>
      <c r="N13" s="8"/>
      <c r="P13" s="8"/>
      <c r="Q13" s="8"/>
      <c r="S13" s="8"/>
      <c r="T13" s="8"/>
      <c r="V13" s="8">
        <v>410000</v>
      </c>
      <c r="W13" s="8">
        <v>410000</v>
      </c>
      <c r="Y13" s="8"/>
      <c r="Z13" s="8"/>
      <c r="AB13" s="8"/>
      <c r="AC13" s="8"/>
    </row>
    <row r="14" spans="1:29" s="3" customFormat="1" ht="16.5" customHeight="1">
      <c r="A14" s="97" t="s">
        <v>109</v>
      </c>
      <c r="B14" s="97" t="s">
        <v>97</v>
      </c>
      <c r="C14" s="8"/>
      <c r="D14" s="8"/>
      <c r="E14" s="108"/>
      <c r="J14" s="8"/>
      <c r="K14" s="8"/>
      <c r="M14" s="8"/>
      <c r="N14" s="8"/>
      <c r="P14" s="8"/>
      <c r="Q14" s="8"/>
      <c r="S14" s="8"/>
      <c r="T14" s="8"/>
      <c r="V14" s="8"/>
      <c r="W14" s="8"/>
      <c r="Y14" s="8"/>
      <c r="Z14" s="8"/>
      <c r="AB14" s="8"/>
      <c r="AC14" s="8"/>
    </row>
    <row r="15" spans="1:29" s="3" customFormat="1" ht="16.5" customHeight="1">
      <c r="A15" s="88" t="s">
        <v>82</v>
      </c>
      <c r="B15" s="88" t="s">
        <v>83</v>
      </c>
      <c r="C15" s="107">
        <f>SUM(C16:C17)</f>
        <v>505340</v>
      </c>
      <c r="D15" s="107">
        <f>SUM(D16:D17)</f>
        <v>505340</v>
      </c>
      <c r="E15" s="108"/>
      <c r="J15" s="107">
        <f>SUM(J16:J17)</f>
        <v>210938</v>
      </c>
      <c r="K15" s="107">
        <f>SUM(K16:K17)</f>
        <v>210938</v>
      </c>
      <c r="M15" s="107">
        <f>SUM(M16:M17)</f>
        <v>83464</v>
      </c>
      <c r="N15" s="107">
        <f>SUM(N16:N17)</f>
        <v>83464</v>
      </c>
      <c r="P15" s="107">
        <f>SUM(P16:P17)</f>
        <v>210938</v>
      </c>
      <c r="Q15" s="107">
        <f>SUM(Q16:Q17)</f>
        <v>210938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  <c r="Y15" s="107">
        <f>SUM(Y16:Y17)</f>
        <v>0</v>
      </c>
      <c r="Z15" s="107">
        <f>SUM(Z16:Z17)</f>
        <v>0</v>
      </c>
      <c r="AB15" s="107">
        <f>SUM(AB16:AB17)</f>
        <v>0</v>
      </c>
      <c r="AC15" s="107">
        <f>SUM(AC16:AC17)</f>
        <v>0</v>
      </c>
    </row>
    <row r="16" spans="1:29" s="3" customFormat="1" ht="16.5" customHeight="1">
      <c r="A16" s="97" t="s">
        <v>84</v>
      </c>
      <c r="B16" s="97" t="s">
        <v>86</v>
      </c>
      <c r="C16" s="8">
        <v>446159</v>
      </c>
      <c r="D16" s="8">
        <v>446159</v>
      </c>
      <c r="E16" s="108"/>
      <c r="G16" s="3">
        <f>J16+M16+P16+S16+V16+Y16+AB16</f>
        <v>446159</v>
      </c>
      <c r="H16" s="3">
        <f>K16+N16+Q16+T16+W16+Z16+AC16</f>
        <v>446159</v>
      </c>
      <c r="J16" s="8">
        <v>191211</v>
      </c>
      <c r="K16" s="8">
        <v>191211</v>
      </c>
      <c r="M16" s="8">
        <v>63737</v>
      </c>
      <c r="N16" s="8">
        <v>63737</v>
      </c>
      <c r="P16" s="8">
        <v>191211</v>
      </c>
      <c r="Q16" s="8">
        <v>191211</v>
      </c>
      <c r="S16" s="8">
        <v>0</v>
      </c>
      <c r="T16" s="8">
        <v>0</v>
      </c>
      <c r="V16" s="8">
        <v>0</v>
      </c>
      <c r="W16" s="8">
        <v>0</v>
      </c>
      <c r="Y16" s="8">
        <v>0</v>
      </c>
      <c r="Z16" s="8">
        <v>0</v>
      </c>
      <c r="AB16" s="8">
        <v>0</v>
      </c>
      <c r="AC16" s="8">
        <v>0</v>
      </c>
    </row>
    <row r="17" spans="1:29" s="3" customFormat="1" ht="30">
      <c r="A17" s="97" t="s">
        <v>85</v>
      </c>
      <c r="B17" s="97" t="s">
        <v>111</v>
      </c>
      <c r="C17" s="8">
        <v>59181</v>
      </c>
      <c r="D17" s="8">
        <v>59181</v>
      </c>
      <c r="E17" s="108"/>
      <c r="G17" s="3">
        <f>J17+M17+P17+S17+V17+Y17+AB17</f>
        <v>59181</v>
      </c>
      <c r="H17" s="3">
        <f>K17+N17+Q17+T17+W17+Z17+AC17</f>
        <v>59181</v>
      </c>
      <c r="J17" s="8">
        <v>19727</v>
      </c>
      <c r="K17" s="8">
        <v>19727</v>
      </c>
      <c r="M17" s="8">
        <v>19727</v>
      </c>
      <c r="N17" s="8">
        <v>19727</v>
      </c>
      <c r="P17" s="8">
        <v>19727</v>
      </c>
      <c r="Q17" s="8">
        <v>19727</v>
      </c>
      <c r="S17" s="8">
        <v>0</v>
      </c>
      <c r="T17" s="8">
        <v>0</v>
      </c>
      <c r="V17" s="8">
        <v>0</v>
      </c>
      <c r="W17" s="8">
        <v>0</v>
      </c>
      <c r="Y17" s="8">
        <v>0</v>
      </c>
      <c r="Z17" s="8">
        <v>0</v>
      </c>
      <c r="AB17" s="8">
        <v>0</v>
      </c>
      <c r="AC17" s="8">
        <v>0</v>
      </c>
    </row>
    <row r="18" spans="1:29" s="3" customFormat="1" ht="16.5" customHeight="1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08"/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  <c r="Y18" s="107">
        <f>SUM(Y19:Y22)</f>
        <v>0</v>
      </c>
      <c r="Z18" s="107">
        <f>SUM(Z19:Z22)</f>
        <v>0</v>
      </c>
      <c r="AB18" s="107">
        <f>SUM(AB19:AB22)</f>
        <v>0</v>
      </c>
      <c r="AC18" s="107">
        <f>SUM(AC19:AC22)</f>
        <v>0</v>
      </c>
    </row>
    <row r="19" spans="1:29" s="3" customFormat="1" ht="16.5" customHeight="1">
      <c r="A19" s="97" t="s">
        <v>88</v>
      </c>
      <c r="B19" s="97" t="s">
        <v>89</v>
      </c>
      <c r="C19" s="8"/>
      <c r="D19" s="8"/>
      <c r="E19" s="108"/>
      <c r="J19" s="8"/>
      <c r="K19" s="8"/>
      <c r="M19" s="8"/>
      <c r="N19" s="8"/>
      <c r="P19" s="8"/>
      <c r="Q19" s="8"/>
      <c r="S19" s="8"/>
      <c r="T19" s="8"/>
      <c r="V19" s="8"/>
      <c r="W19" s="8"/>
      <c r="Y19" s="8"/>
      <c r="Z19" s="8"/>
      <c r="AB19" s="8"/>
      <c r="AC19" s="8"/>
    </row>
    <row r="20" spans="1:29" s="3" customFormat="1" ht="30">
      <c r="A20" s="97" t="s">
        <v>92</v>
      </c>
      <c r="B20" s="97" t="s">
        <v>90</v>
      </c>
      <c r="C20" s="8"/>
      <c r="D20" s="8"/>
      <c r="E20" s="108"/>
      <c r="J20" s="8"/>
      <c r="K20" s="8"/>
      <c r="M20" s="8"/>
      <c r="N20" s="8"/>
      <c r="P20" s="8"/>
      <c r="Q20" s="8"/>
      <c r="S20" s="8"/>
      <c r="T20" s="8"/>
      <c r="V20" s="8"/>
      <c r="W20" s="8"/>
      <c r="Y20" s="8"/>
      <c r="Z20" s="8"/>
      <c r="AB20" s="8"/>
      <c r="AC20" s="8"/>
    </row>
    <row r="21" spans="1:29" s="3" customFormat="1" ht="16.5" customHeight="1">
      <c r="A21" s="97" t="s">
        <v>93</v>
      </c>
      <c r="B21" s="97" t="s">
        <v>91</v>
      </c>
      <c r="C21" s="8"/>
      <c r="D21" s="8"/>
      <c r="E21" s="108"/>
      <c r="J21" s="8"/>
      <c r="K21" s="8"/>
      <c r="M21" s="8"/>
      <c r="N21" s="8"/>
      <c r="P21" s="8"/>
      <c r="Q21" s="8"/>
      <c r="S21" s="8"/>
      <c r="T21" s="8"/>
      <c r="V21" s="8"/>
      <c r="W21" s="8"/>
      <c r="Y21" s="8"/>
      <c r="Z21" s="8"/>
      <c r="AB21" s="8"/>
      <c r="AC21" s="8"/>
    </row>
    <row r="22" spans="1:29" s="3" customFormat="1" ht="16.5" customHeight="1">
      <c r="A22" s="97" t="s">
        <v>94</v>
      </c>
      <c r="B22" s="97" t="s">
        <v>448</v>
      </c>
      <c r="C22" s="8"/>
      <c r="D22" s="8"/>
      <c r="E22" s="108"/>
      <c r="J22" s="8"/>
      <c r="K22" s="8"/>
      <c r="M22" s="8"/>
      <c r="N22" s="8"/>
      <c r="P22" s="8"/>
      <c r="Q22" s="8"/>
      <c r="S22" s="8"/>
      <c r="T22" s="8"/>
      <c r="V22" s="8"/>
      <c r="W22" s="8"/>
      <c r="Y22" s="8"/>
      <c r="Z22" s="8"/>
      <c r="AB22" s="8"/>
      <c r="AC22" s="8"/>
    </row>
    <row r="23" spans="1:29" s="3" customFormat="1" ht="16.5" customHeight="1">
      <c r="A23" s="88" t="s">
        <v>95</v>
      </c>
      <c r="B23" s="88" t="s">
        <v>449</v>
      </c>
      <c r="C23" s="284"/>
      <c r="D23" s="8"/>
      <c r="E23" s="108"/>
      <c r="J23" s="284"/>
      <c r="K23" s="8"/>
      <c r="M23" s="284"/>
      <c r="N23" s="8"/>
      <c r="P23" s="284"/>
      <c r="Q23" s="8"/>
      <c r="S23" s="284"/>
      <c r="T23" s="8"/>
      <c r="V23" s="284"/>
      <c r="W23" s="8"/>
      <c r="Y23" s="284"/>
      <c r="Z23" s="8"/>
      <c r="AB23" s="284"/>
      <c r="AC23" s="8"/>
    </row>
    <row r="24" spans="1:29" s="3" customFormat="1">
      <c r="A24" s="88" t="s">
        <v>252</v>
      </c>
      <c r="B24" s="88" t="s">
        <v>455</v>
      </c>
      <c r="C24" s="8"/>
      <c r="D24" s="8"/>
      <c r="E24" s="108"/>
      <c r="J24" s="8"/>
      <c r="K24" s="409">
        <f>1628.12-1541.88-29.24-57</f>
        <v>-2.1316282072803006E-13</v>
      </c>
      <c r="M24" s="8"/>
      <c r="N24" s="8"/>
      <c r="P24" s="8"/>
      <c r="Q24" s="409">
        <f>1628.12-1541.88-29.24-57</f>
        <v>-2.1316282072803006E-13</v>
      </c>
      <c r="S24" s="8"/>
      <c r="T24" s="8"/>
      <c r="V24" s="8"/>
      <c r="W24" s="8"/>
      <c r="Y24" s="8"/>
      <c r="Z24" s="8"/>
      <c r="AB24" s="8"/>
      <c r="AC24" s="8"/>
    </row>
    <row r="25" spans="1:29" ht="16.5" customHeight="1">
      <c r="A25" s="87">
        <v>1.2</v>
      </c>
      <c r="B25" s="87" t="s">
        <v>96</v>
      </c>
      <c r="C25" s="85">
        <f>SUM(C26,C30)</f>
        <v>7476</v>
      </c>
      <c r="D25" s="85">
        <f>SUM(D26,D30)</f>
        <v>0</v>
      </c>
      <c r="E25" s="108"/>
      <c r="J25" s="85">
        <f>SUM(J26,J30)</f>
        <v>4600</v>
      </c>
      <c r="K25" s="85">
        <f>SUM(K26,K30)</f>
        <v>0</v>
      </c>
      <c r="M25" s="410">
        <f>SUM(M26,M30)</f>
        <v>2.85</v>
      </c>
      <c r="N25" s="85">
        <f>SUM(N26,N30)</f>
        <v>0</v>
      </c>
      <c r="P25" s="85">
        <f>SUM(P26,P30)</f>
        <v>2.95</v>
      </c>
      <c r="Q25" s="85">
        <f>SUM(Q26,Q30)</f>
        <v>0</v>
      </c>
      <c r="S25" s="410">
        <f>SUM(S26,S30)</f>
        <v>2870</v>
      </c>
      <c r="T25" s="85">
        <f>SUM(T26,T30)</f>
        <v>0</v>
      </c>
      <c r="V25" s="410">
        <f>SUM(V26,V30)</f>
        <v>0</v>
      </c>
      <c r="W25" s="85">
        <f>SUM(W26,W30)</f>
        <v>0</v>
      </c>
      <c r="Y25" s="410">
        <f>SUM(Y26,Y30)</f>
        <v>0</v>
      </c>
      <c r="Z25" s="85">
        <f>SUM(Z26,Z30)</f>
        <v>0</v>
      </c>
      <c r="AB25" s="410">
        <f>SUM(AB26,AB30)</f>
        <v>0</v>
      </c>
      <c r="AC25" s="85">
        <f>SUM(AC26,AC30)</f>
        <v>0</v>
      </c>
    </row>
    <row r="26" spans="1:29" ht="16.5" customHeight="1">
      <c r="A26" s="88" t="s">
        <v>32</v>
      </c>
      <c r="B26" s="88" t="s">
        <v>313</v>
      </c>
      <c r="C26" s="107">
        <f>SUM(C27:C29)</f>
        <v>7470</v>
      </c>
      <c r="D26" s="107">
        <f>SUM(D27:D29)</f>
        <v>0</v>
      </c>
      <c r="E26" s="108"/>
      <c r="J26" s="107">
        <f>SUM(J27:J29)</f>
        <v>4600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0</v>
      </c>
      <c r="Q26" s="107">
        <f>SUM(Q27:Q29)</f>
        <v>0</v>
      </c>
      <c r="S26" s="107">
        <f>SUM(S27:S29)</f>
        <v>2870</v>
      </c>
      <c r="T26" s="107">
        <f>SUM(T27:T29)</f>
        <v>0</v>
      </c>
      <c r="V26" s="107">
        <f>SUM(V27:V29)</f>
        <v>0</v>
      </c>
      <c r="W26" s="107">
        <f>SUM(W27:W29)</f>
        <v>0</v>
      </c>
      <c r="Y26" s="107">
        <f>SUM(Y27:Y29)</f>
        <v>0</v>
      </c>
      <c r="Z26" s="107">
        <f>SUM(Z27:Z29)</f>
        <v>0</v>
      </c>
      <c r="AB26" s="107">
        <f>SUM(AB27:AB29)</f>
        <v>0</v>
      </c>
      <c r="AC26" s="107">
        <f>SUM(AC27:AC29)</f>
        <v>0</v>
      </c>
    </row>
    <row r="27" spans="1:29">
      <c r="A27" s="253" t="s">
        <v>98</v>
      </c>
      <c r="B27" s="253" t="s">
        <v>311</v>
      </c>
      <c r="C27" s="8">
        <v>7470</v>
      </c>
      <c r="D27" s="8"/>
      <c r="E27" s="108"/>
      <c r="G27" s="2">
        <f>J27+M27+P27+S27+V27+Y27+AB27</f>
        <v>7470</v>
      </c>
      <c r="J27" s="8">
        <v>4600</v>
      </c>
      <c r="K27" s="8"/>
      <c r="M27" s="8"/>
      <c r="N27" s="8"/>
      <c r="P27" s="8">
        <v>0</v>
      </c>
      <c r="Q27" s="8"/>
      <c r="S27" s="8">
        <v>2870</v>
      </c>
      <c r="T27" s="8"/>
      <c r="V27" s="8">
        <v>0</v>
      </c>
      <c r="W27" s="8"/>
      <c r="Y27" s="8"/>
      <c r="Z27" s="8"/>
      <c r="AB27" s="8"/>
      <c r="AC27" s="8"/>
    </row>
    <row r="28" spans="1:29">
      <c r="A28" s="253" t="s">
        <v>99</v>
      </c>
      <c r="B28" s="253" t="s">
        <v>314</v>
      </c>
      <c r="C28" s="8"/>
      <c r="D28" s="8"/>
      <c r="E28" s="108"/>
      <c r="J28" s="8"/>
      <c r="K28" s="8"/>
      <c r="M28" s="8"/>
      <c r="N28" s="8"/>
      <c r="P28" s="8"/>
      <c r="Q28" s="8"/>
      <c r="S28" s="8"/>
      <c r="T28" s="8"/>
      <c r="V28" s="8"/>
      <c r="W28" s="8"/>
      <c r="Y28" s="8"/>
      <c r="Z28" s="8"/>
      <c r="AB28" s="8"/>
      <c r="AC28" s="8"/>
    </row>
    <row r="29" spans="1:29">
      <c r="A29" s="253" t="s">
        <v>458</v>
      </c>
      <c r="B29" s="253" t="s">
        <v>312</v>
      </c>
      <c r="C29" s="8"/>
      <c r="D29" s="8"/>
      <c r="E29" s="108"/>
      <c r="J29" s="8"/>
      <c r="K29" s="8"/>
      <c r="M29" s="8"/>
      <c r="N29" s="8"/>
      <c r="P29" s="8"/>
      <c r="Q29" s="8"/>
      <c r="S29" s="8"/>
      <c r="T29" s="8"/>
      <c r="V29" s="8"/>
      <c r="W29" s="8"/>
      <c r="Y29" s="8"/>
      <c r="Z29" s="8"/>
      <c r="AB29" s="8"/>
      <c r="AC29" s="8"/>
    </row>
    <row r="30" spans="1:29">
      <c r="A30" s="88" t="s">
        <v>33</v>
      </c>
      <c r="B30" s="268" t="s">
        <v>454</v>
      </c>
      <c r="C30" s="8">
        <v>6</v>
      </c>
      <c r="D30" s="8"/>
      <c r="E30" s="108"/>
      <c r="G30" s="412">
        <f>J30+M30+P30+S30+V30+Y30+AB30</f>
        <v>5.8000000000000007</v>
      </c>
      <c r="J30" s="8"/>
      <c r="K30" s="8"/>
      <c r="M30" s="411">
        <v>2.85</v>
      </c>
      <c r="N30" s="8"/>
      <c r="P30" s="8">
        <v>2.95</v>
      </c>
      <c r="Q30" s="8"/>
      <c r="S30" s="411">
        <v>0</v>
      </c>
      <c r="T30" s="8"/>
      <c r="V30" s="411">
        <v>0</v>
      </c>
      <c r="W30" s="8"/>
      <c r="Y30" s="411">
        <v>0</v>
      </c>
      <c r="Z30" s="8"/>
      <c r="AB30" s="411">
        <v>0</v>
      </c>
      <c r="AC30" s="8"/>
    </row>
    <row r="31" spans="1:29">
      <c r="D31" s="26"/>
      <c r="E31" s="109"/>
      <c r="F31" s="26"/>
    </row>
    <row r="32" spans="1:29">
      <c r="A32" s="1"/>
      <c r="D32" s="26"/>
      <c r="E32" s="109"/>
      <c r="F32" s="26"/>
    </row>
    <row r="33" spans="1:10">
      <c r="D33" s="26"/>
      <c r="E33" s="109"/>
      <c r="F33" s="26"/>
    </row>
    <row r="34" spans="1:10">
      <c r="D34" s="26"/>
      <c r="E34" s="109"/>
      <c r="F34" s="26"/>
    </row>
    <row r="35" spans="1:10">
      <c r="A35" s="69" t="s">
        <v>107</v>
      </c>
      <c r="D35" s="26"/>
      <c r="E35" s="109"/>
      <c r="F35" s="26"/>
    </row>
    <row r="36" spans="1:10">
      <c r="D36" s="26"/>
      <c r="E36" s="110"/>
      <c r="F36" s="110"/>
      <c r="G36"/>
      <c r="H36"/>
      <c r="I36"/>
      <c r="J36"/>
    </row>
    <row r="37" spans="1:10">
      <c r="D37" s="111"/>
      <c r="E37" s="110"/>
      <c r="F37" s="110"/>
      <c r="G37"/>
      <c r="H37"/>
      <c r="I37"/>
      <c r="J37"/>
    </row>
    <row r="38" spans="1:10">
      <c r="A38"/>
      <c r="B38" s="69" t="s">
        <v>272</v>
      </c>
      <c r="D38" s="111"/>
      <c r="E38" s="110"/>
      <c r="F38" s="110"/>
      <c r="G38"/>
      <c r="H38"/>
      <c r="I38"/>
      <c r="J38"/>
    </row>
    <row r="39" spans="1:10">
      <c r="A39"/>
      <c r="B39" s="2" t="s">
        <v>271</v>
      </c>
      <c r="D39" s="111"/>
      <c r="E39" s="110"/>
      <c r="F39" s="110"/>
      <c r="G39"/>
      <c r="H39"/>
      <c r="I39"/>
      <c r="J39"/>
    </row>
    <row r="40" spans="1:10" customFormat="1" ht="12.75">
      <c r="B40" s="65" t="s">
        <v>140</v>
      </c>
      <c r="D40" s="110"/>
      <c r="E40" s="110"/>
      <c r="F40" s="110"/>
    </row>
    <row r="41" spans="1:10">
      <c r="D41" s="26"/>
      <c r="E41" s="109"/>
      <c r="F41" s="26"/>
    </row>
  </sheetData>
  <mergeCells count="9">
    <mergeCell ref="C1:D1"/>
    <mergeCell ref="J2:K2"/>
    <mergeCell ref="M2:N2"/>
    <mergeCell ref="P2:Q2"/>
    <mergeCell ref="S2:T2"/>
    <mergeCell ref="V2:W2"/>
    <mergeCell ref="Y2:Z2"/>
    <mergeCell ref="AB2:AC2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M12" sqref="M1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9" t="s">
        <v>306</v>
      </c>
      <c r="B1" s="140"/>
      <c r="C1" s="140"/>
      <c r="D1" s="140"/>
      <c r="E1" s="140"/>
      <c r="F1" s="78"/>
      <c r="G1" s="78"/>
      <c r="H1" s="78"/>
      <c r="I1" s="558" t="s">
        <v>110</v>
      </c>
      <c r="J1" s="558"/>
      <c r="K1" s="146"/>
    </row>
    <row r="2" spans="1:12" s="22" customFormat="1" ht="15">
      <c r="A2" s="105" t="s">
        <v>141</v>
      </c>
      <c r="B2" s="140"/>
      <c r="C2" s="140"/>
      <c r="D2" s="140"/>
      <c r="E2" s="140"/>
      <c r="F2" s="141"/>
      <c r="G2" s="142"/>
      <c r="H2" s="142"/>
      <c r="I2" s="529" t="s">
        <v>982</v>
      </c>
      <c r="J2" s="529"/>
      <c r="K2" s="146"/>
    </row>
    <row r="3" spans="1:12" s="22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5"/>
      <c r="K3" s="14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8"/>
      <c r="J4" s="76"/>
      <c r="K4" s="105"/>
      <c r="L4" s="22"/>
    </row>
    <row r="5" spans="1:12" s="2" customFormat="1" ht="15">
      <c r="A5" s="121" t="s">
        <v>512</v>
      </c>
      <c r="B5" s="122"/>
      <c r="C5" s="122"/>
      <c r="D5" s="122"/>
      <c r="E5" s="122"/>
      <c r="F5" s="58"/>
      <c r="G5" s="58"/>
      <c r="H5" s="58"/>
      <c r="I5" s="134"/>
      <c r="J5" s="58"/>
      <c r="K5" s="105"/>
    </row>
    <row r="6" spans="1:12" s="22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60" t="s">
        <v>221</v>
      </c>
      <c r="C7" s="560"/>
      <c r="D7" s="560" t="s">
        <v>294</v>
      </c>
      <c r="E7" s="560"/>
      <c r="F7" s="560" t="s">
        <v>295</v>
      </c>
      <c r="G7" s="560"/>
      <c r="H7" s="158" t="s">
        <v>281</v>
      </c>
      <c r="I7" s="560" t="s">
        <v>224</v>
      </c>
      <c r="J7" s="560"/>
      <c r="K7" s="147"/>
    </row>
    <row r="8" spans="1:12" ht="15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>
      <c r="A9" s="59" t="s">
        <v>117</v>
      </c>
      <c r="B9" s="82">
        <f>SUM(B10,B14,B17)</f>
        <v>1638</v>
      </c>
      <c r="C9" s="82">
        <f>SUM(C10,C14,C17)</f>
        <v>110563</v>
      </c>
      <c r="D9" s="82">
        <f t="shared" ref="D9:J9" si="0">SUM(D10,D14,D17)</f>
        <v>22</v>
      </c>
      <c r="E9" s="82">
        <f>SUM(E10,E14,E17)</f>
        <v>11163</v>
      </c>
      <c r="F9" s="82">
        <f t="shared" si="0"/>
        <v>0</v>
      </c>
      <c r="G9" s="82">
        <f>SUM(G10,G14,G17)</f>
        <v>0</v>
      </c>
      <c r="H9" s="82">
        <f>SUM(H10,H14,H17)</f>
        <v>36359.949999999997</v>
      </c>
      <c r="I9" s="82">
        <f>SUM(I10,I14,I17)</f>
        <v>1660</v>
      </c>
      <c r="J9" s="82">
        <f t="shared" si="0"/>
        <v>85366.05</v>
      </c>
      <c r="K9" s="147"/>
    </row>
    <row r="10" spans="1:12" ht="15">
      <c r="A10" s="60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>
      <c r="A12" s="60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>
      <c r="A14" s="60" t="s">
        <v>122</v>
      </c>
      <c r="B14" s="135">
        <f>SUM(B15:B16)</f>
        <v>1637</v>
      </c>
      <c r="C14" s="135">
        <f>SUM(C15:C16)</f>
        <v>109152</v>
      </c>
      <c r="D14" s="135">
        <f t="shared" ref="D14:J14" si="2">SUM(D15:D16)</f>
        <v>22</v>
      </c>
      <c r="E14" s="135">
        <f>SUM(E15:E16)</f>
        <v>11163</v>
      </c>
      <c r="F14" s="135">
        <f t="shared" si="2"/>
        <v>0</v>
      </c>
      <c r="G14" s="135">
        <f>SUM(G15:G16)</f>
        <v>0</v>
      </c>
      <c r="H14" s="135">
        <f>SUM(H15:H16)</f>
        <v>35889.53</v>
      </c>
      <c r="I14" s="135">
        <f>SUM(I15:I16)</f>
        <v>1659</v>
      </c>
      <c r="J14" s="135">
        <f t="shared" si="2"/>
        <v>84425.47</v>
      </c>
      <c r="K14" s="147"/>
    </row>
    <row r="15" spans="1:12" ht="15">
      <c r="A15" s="60" t="s">
        <v>123</v>
      </c>
      <c r="B15" s="25">
        <v>1</v>
      </c>
      <c r="C15" s="25">
        <v>39640</v>
      </c>
      <c r="D15" s="25"/>
      <c r="E15" s="25"/>
      <c r="F15" s="25"/>
      <c r="G15" s="25"/>
      <c r="H15" s="25">
        <v>13213.23</v>
      </c>
      <c r="I15" s="25">
        <f>B15+D15-F15</f>
        <v>1</v>
      </c>
      <c r="J15" s="25">
        <f>C15+E15-G15-H15</f>
        <v>26426.77</v>
      </c>
      <c r="K15" s="147"/>
    </row>
    <row r="16" spans="1:12" ht="15">
      <c r="A16" s="60" t="s">
        <v>124</v>
      </c>
      <c r="B16" s="25">
        <v>1636</v>
      </c>
      <c r="C16" s="25">
        <v>69512</v>
      </c>
      <c r="D16" s="25">
        <f>3+19</f>
        <v>22</v>
      </c>
      <c r="E16" s="25">
        <f>2650+8513</f>
        <v>11163</v>
      </c>
      <c r="F16" s="25"/>
      <c r="G16" s="25"/>
      <c r="H16" s="25">
        <v>22676.3</v>
      </c>
      <c r="I16" s="25">
        <f>B16+D16-F16</f>
        <v>1658</v>
      </c>
      <c r="J16" s="25">
        <f>C16+E16-G16-H16</f>
        <v>57998.7</v>
      </c>
      <c r="K16" s="147"/>
    </row>
    <row r="17" spans="1:11" ht="15">
      <c r="A17" s="60" t="s">
        <v>125</v>
      </c>
      <c r="B17" s="135">
        <f>SUM(B18:B19,B22,B23)</f>
        <v>1</v>
      </c>
      <c r="C17" s="135">
        <f>SUM(C18:C19,C22,C23)</f>
        <v>1411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470.42</v>
      </c>
      <c r="I17" s="135">
        <f>SUM(I18:I19,I22,I23)</f>
        <v>1</v>
      </c>
      <c r="J17" s="135">
        <f t="shared" si="3"/>
        <v>940.57999999999993</v>
      </c>
      <c r="K17" s="147"/>
    </row>
    <row r="18" spans="1:11" ht="15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>
      <c r="A19" s="60" t="s">
        <v>127</v>
      </c>
      <c r="B19" s="135">
        <f>SUM(B20:B21)</f>
        <v>1</v>
      </c>
      <c r="C19" s="135">
        <f>SUM(C20:C21)</f>
        <v>1411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470.42</v>
      </c>
      <c r="I19" s="135">
        <f>SUM(I20:I21)</f>
        <v>1</v>
      </c>
      <c r="J19" s="135">
        <f t="shared" si="4"/>
        <v>940.57999999999993</v>
      </c>
      <c r="K19" s="147"/>
    </row>
    <row r="20" spans="1:11" ht="15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>
      <c r="A21" s="60" t="s">
        <v>129</v>
      </c>
      <c r="B21" s="25">
        <v>1</v>
      </c>
      <c r="C21" s="25">
        <v>1411</v>
      </c>
      <c r="D21" s="25"/>
      <c r="E21" s="25"/>
      <c r="F21" s="25"/>
      <c r="G21" s="25"/>
      <c r="H21" s="25">
        <v>470.42</v>
      </c>
      <c r="I21" s="25">
        <f>B21+D21-F21</f>
        <v>1</v>
      </c>
      <c r="J21" s="25">
        <f>C21+E21-G21-H21</f>
        <v>940.57999999999993</v>
      </c>
      <c r="K21" s="147"/>
    </row>
    <row r="22" spans="1:11" ht="15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>
      <c r="A23" s="60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>
      <c r="A24" s="59" t="s">
        <v>132</v>
      </c>
      <c r="B24" s="82">
        <f>SUM(B25:B31)</f>
        <v>3248</v>
      </c>
      <c r="C24" s="82">
        <f t="shared" ref="C24:J24" si="5">SUM(C25:C31)</f>
        <v>6706</v>
      </c>
      <c r="D24" s="82">
        <f t="shared" si="5"/>
        <v>14306</v>
      </c>
      <c r="E24" s="82">
        <f t="shared" si="5"/>
        <v>45158</v>
      </c>
      <c r="F24" s="82">
        <f t="shared" si="5"/>
        <v>15306</v>
      </c>
      <c r="G24" s="82">
        <f t="shared" si="5"/>
        <v>47250.65</v>
      </c>
      <c r="H24" s="82">
        <f t="shared" si="5"/>
        <v>0</v>
      </c>
      <c r="I24" s="82">
        <f t="shared" si="5"/>
        <v>2248</v>
      </c>
      <c r="J24" s="82">
        <f t="shared" si="5"/>
        <v>4613.3499999999985</v>
      </c>
      <c r="K24" s="147"/>
    </row>
    <row r="25" spans="1:11" ht="15">
      <c r="A25" s="60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>
      <c r="A26" s="60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>
      <c r="A27" s="60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>
      <c r="A28" s="60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>
      <c r="A29" s="60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>
      <c r="A30" s="60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>
      <c r="A31" s="60" t="s">
        <v>265</v>
      </c>
      <c r="B31" s="25">
        <v>3248</v>
      </c>
      <c r="C31" s="25">
        <v>6706</v>
      </c>
      <c r="D31" s="25">
        <v>14306</v>
      </c>
      <c r="E31" s="25">
        <v>45158</v>
      </c>
      <c r="F31" s="25">
        <v>15306</v>
      </c>
      <c r="G31" s="25">
        <v>47250.65</v>
      </c>
      <c r="H31" s="25"/>
      <c r="I31" s="25">
        <f>B31+D31-F31</f>
        <v>2248</v>
      </c>
      <c r="J31" s="25">
        <f>C31+E31-G31</f>
        <v>4613.3499999999985</v>
      </c>
      <c r="K31" s="147"/>
    </row>
    <row r="32" spans="1:11" ht="15">
      <c r="A32" s="59" t="s">
        <v>133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7"/>
    </row>
    <row r="33" spans="1:11" ht="15">
      <c r="A33" s="60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>
      <c r="A34" s="60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>
      <c r="A35" s="60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>
      <c r="A36" s="59" t="s">
        <v>134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7"/>
    </row>
    <row r="37" spans="1:11" ht="15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>
      <c r="A39" s="60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0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269</v>
      </c>
      <c r="F49" s="12" t="s">
        <v>274</v>
      </c>
      <c r="G49" s="72"/>
      <c r="I49"/>
      <c r="J49"/>
    </row>
    <row r="50" spans="1:10" s="2" customFormat="1" ht="15">
      <c r="B50" s="65" t="s">
        <v>140</v>
      </c>
      <c r="F50" s="2" t="s">
        <v>270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>
      <c r="A1" s="139" t="s">
        <v>307</v>
      </c>
      <c r="B1" s="140"/>
      <c r="C1" s="140"/>
      <c r="D1" s="140"/>
      <c r="E1" s="140"/>
      <c r="F1" s="140"/>
      <c r="G1" s="146"/>
      <c r="H1" s="100" t="s">
        <v>199</v>
      </c>
      <c r="I1" s="146"/>
      <c r="J1" s="66"/>
      <c r="K1" s="66"/>
      <c r="L1" s="66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8"/>
      <c r="H2" s="529" t="s">
        <v>982</v>
      </c>
      <c r="I2" s="529"/>
      <c r="J2" s="66"/>
      <c r="K2" s="66"/>
      <c r="L2" s="66"/>
    </row>
    <row r="3" spans="1:12" s="22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40"/>
      <c r="F4" s="140"/>
      <c r="G4" s="140"/>
      <c r="H4" s="140"/>
      <c r="I4" s="146"/>
      <c r="J4" s="63"/>
      <c r="K4" s="63"/>
      <c r="L4" s="22"/>
    </row>
    <row r="5" spans="1:12" s="2" customFormat="1" ht="15">
      <c r="A5" s="121" t="str">
        <f>'ფორმა N2'!A5</f>
        <v>მ.პ.გ. ქართული ოცნება - დემოკრატიული საქართველო</v>
      </c>
      <c r="B5" s="122"/>
      <c r="C5" s="122"/>
      <c r="D5" s="122"/>
      <c r="E5" s="150"/>
      <c r="F5" s="151"/>
      <c r="G5" s="151"/>
      <c r="H5" s="151"/>
      <c r="I5" s="146"/>
      <c r="J5" s="63"/>
      <c r="K5" s="63"/>
      <c r="L5" s="12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3"/>
      <c r="K6" s="63"/>
      <c r="L6" s="63"/>
    </row>
    <row r="7" spans="1:12" ht="30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7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>
      <c r="A10" s="67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>
      <c r="A11" s="67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>
      <c r="A12" s="67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>
      <c r="A13" s="67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>
      <c r="A14" s="67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159"/>
      <c r="H15" s="25"/>
      <c r="I15" s="146"/>
      <c r="J15" s="63"/>
      <c r="K15" s="63"/>
      <c r="L15" s="63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159"/>
      <c r="H16" s="25"/>
      <c r="I16" s="146"/>
      <c r="J16" s="63"/>
      <c r="K16" s="63"/>
      <c r="L16" s="63"/>
    </row>
    <row r="17" spans="1:12" s="22" customFormat="1" ht="15">
      <c r="A17" s="67">
        <v>9</v>
      </c>
      <c r="B17" s="25"/>
      <c r="C17" s="25"/>
      <c r="D17" s="25"/>
      <c r="E17" s="25"/>
      <c r="F17" s="25"/>
      <c r="G17" s="159"/>
      <c r="H17" s="25"/>
      <c r="I17" s="146"/>
      <c r="J17" s="63"/>
      <c r="K17" s="63"/>
      <c r="L17" s="63"/>
    </row>
    <row r="18" spans="1:12" s="22" customFormat="1" ht="15">
      <c r="A18" s="67">
        <v>10</v>
      </c>
      <c r="B18" s="25"/>
      <c r="C18" s="25"/>
      <c r="D18" s="25"/>
      <c r="E18" s="25"/>
      <c r="F18" s="25"/>
      <c r="G18" s="159"/>
      <c r="H18" s="25"/>
      <c r="I18" s="146"/>
      <c r="J18" s="63"/>
      <c r="K18" s="63"/>
      <c r="L18" s="63"/>
    </row>
    <row r="19" spans="1:12" s="22" customFormat="1" ht="15">
      <c r="A19" s="67">
        <v>11</v>
      </c>
      <c r="B19" s="25"/>
      <c r="C19" s="25"/>
      <c r="D19" s="25"/>
      <c r="E19" s="25"/>
      <c r="F19" s="25"/>
      <c r="G19" s="159"/>
      <c r="H19" s="25"/>
      <c r="I19" s="146"/>
      <c r="J19" s="63"/>
      <c r="K19" s="63"/>
      <c r="L19" s="63"/>
    </row>
    <row r="20" spans="1:12" s="22" customFormat="1" ht="15">
      <c r="A20" s="67">
        <v>12</v>
      </c>
      <c r="B20" s="25"/>
      <c r="C20" s="25"/>
      <c r="D20" s="25"/>
      <c r="E20" s="25"/>
      <c r="F20" s="25"/>
      <c r="G20" s="159"/>
      <c r="H20" s="25"/>
      <c r="I20" s="146"/>
      <c r="J20" s="63"/>
      <c r="K20" s="63"/>
      <c r="L20" s="63"/>
    </row>
    <row r="21" spans="1:12" s="22" customFormat="1" ht="15">
      <c r="A21" s="67">
        <v>13</v>
      </c>
      <c r="B21" s="25"/>
      <c r="C21" s="25"/>
      <c r="D21" s="25"/>
      <c r="E21" s="25"/>
      <c r="F21" s="25"/>
      <c r="G21" s="159"/>
      <c r="H21" s="25"/>
      <c r="I21" s="146"/>
      <c r="J21" s="63"/>
      <c r="K21" s="63"/>
      <c r="L21" s="63"/>
    </row>
    <row r="22" spans="1:12" s="22" customFormat="1" ht="15">
      <c r="A22" s="67">
        <v>14</v>
      </c>
      <c r="B22" s="25"/>
      <c r="C22" s="25"/>
      <c r="D22" s="25"/>
      <c r="E22" s="25"/>
      <c r="F22" s="25"/>
      <c r="G22" s="159"/>
      <c r="H22" s="25"/>
      <c r="I22" s="146"/>
      <c r="J22" s="63"/>
      <c r="K22" s="63"/>
      <c r="L22" s="63"/>
    </row>
    <row r="23" spans="1:12" s="22" customFormat="1" ht="15">
      <c r="A23" s="67">
        <v>15</v>
      </c>
      <c r="B23" s="25"/>
      <c r="C23" s="25"/>
      <c r="D23" s="25"/>
      <c r="E23" s="25"/>
      <c r="F23" s="25"/>
      <c r="G23" s="159"/>
      <c r="H23" s="25"/>
      <c r="I23" s="146"/>
      <c r="J23" s="63"/>
      <c r="K23" s="63"/>
      <c r="L23" s="63"/>
    </row>
    <row r="24" spans="1:12" s="22" customFormat="1" ht="15">
      <c r="A24" s="67">
        <v>16</v>
      </c>
      <c r="B24" s="25"/>
      <c r="C24" s="25"/>
      <c r="D24" s="25"/>
      <c r="E24" s="25"/>
      <c r="F24" s="25"/>
      <c r="G24" s="159"/>
      <c r="H24" s="25"/>
      <c r="I24" s="146"/>
      <c r="J24" s="63"/>
      <c r="K24" s="63"/>
      <c r="L24" s="63"/>
    </row>
    <row r="25" spans="1:12" s="22" customFormat="1" ht="15">
      <c r="A25" s="67">
        <v>17</v>
      </c>
      <c r="B25" s="25"/>
      <c r="C25" s="25"/>
      <c r="D25" s="25"/>
      <c r="E25" s="25"/>
      <c r="F25" s="25"/>
      <c r="G25" s="159"/>
      <c r="H25" s="25"/>
      <c r="I25" s="146"/>
      <c r="J25" s="63"/>
      <c r="K25" s="63"/>
      <c r="L25" s="63"/>
    </row>
    <row r="26" spans="1:12" s="22" customFormat="1" ht="15">
      <c r="A26" s="67">
        <v>18</v>
      </c>
      <c r="B26" s="25"/>
      <c r="C26" s="25"/>
      <c r="D26" s="25"/>
      <c r="E26" s="25"/>
      <c r="F26" s="25"/>
      <c r="G26" s="159"/>
      <c r="H26" s="25"/>
      <c r="I26" s="146"/>
      <c r="J26" s="63"/>
      <c r="K26" s="63"/>
      <c r="L26" s="63"/>
    </row>
    <row r="27" spans="1:12" s="22" customFormat="1" ht="15">
      <c r="A27" s="67" t="s">
        <v>280</v>
      </c>
      <c r="B27" s="25"/>
      <c r="C27" s="25"/>
      <c r="D27" s="25"/>
      <c r="E27" s="25"/>
      <c r="F27" s="25"/>
      <c r="G27" s="159"/>
      <c r="H27" s="25"/>
      <c r="I27" s="146"/>
      <c r="J27" s="63"/>
      <c r="K27" s="63"/>
      <c r="L27" s="63"/>
    </row>
    <row r="28" spans="1:12" s="22" customFormat="1">
      <c r="J28" s="63"/>
      <c r="K28" s="63"/>
      <c r="L28" s="63"/>
    </row>
    <row r="29" spans="1:12" s="22" customFormat="1"/>
    <row r="30" spans="1:12" s="22" customFormat="1">
      <c r="A30" s="24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269</v>
      </c>
      <c r="E33" s="12" t="s">
        <v>274</v>
      </c>
      <c r="F33" s="72"/>
      <c r="G33"/>
      <c r="H33"/>
      <c r="I33"/>
    </row>
    <row r="34" spans="1:9" s="2" customFormat="1" ht="15">
      <c r="A34"/>
      <c r="C34" s="65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>
      <c r="A1" s="139" t="s">
        <v>308</v>
      </c>
      <c r="B1" s="140"/>
      <c r="C1" s="140"/>
      <c r="D1" s="140"/>
      <c r="E1" s="140"/>
      <c r="F1" s="140"/>
      <c r="G1" s="140"/>
      <c r="H1" s="146"/>
      <c r="I1" s="78" t="s">
        <v>199</v>
      </c>
      <c r="J1" s="153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529" t="s">
        <v>982</v>
      </c>
      <c r="J2" s="529"/>
    </row>
    <row r="3" spans="1:12" s="22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9"/>
      <c r="J4" s="104"/>
      <c r="L4" s="22"/>
    </row>
    <row r="5" spans="1:12" s="2" customFormat="1" ht="15">
      <c r="A5" s="121" t="s">
        <v>512</v>
      </c>
      <c r="B5" s="122"/>
      <c r="C5" s="122"/>
      <c r="D5" s="122"/>
      <c r="E5" s="150"/>
      <c r="F5" s="151"/>
      <c r="G5" s="151"/>
      <c r="H5" s="151"/>
      <c r="I5" s="150"/>
      <c r="J5" s="104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28.5">
      <c r="A9" s="67">
        <v>1</v>
      </c>
      <c r="B9" s="482" t="s">
        <v>759</v>
      </c>
      <c r="C9" s="483" t="s">
        <v>760</v>
      </c>
      <c r="D9" s="484" t="s">
        <v>761</v>
      </c>
      <c r="E9" s="484">
        <v>2012</v>
      </c>
      <c r="F9" s="484" t="s">
        <v>762</v>
      </c>
      <c r="G9" s="484">
        <v>66066.13</v>
      </c>
      <c r="H9" s="485" t="s">
        <v>763</v>
      </c>
      <c r="I9" s="486"/>
      <c r="J9" s="154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>
      <c r="A17" s="67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>
      <c r="A18" s="67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>
      <c r="A19" s="67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>
      <c r="A20" s="67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>
      <c r="A21" s="67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>
      <c r="A22" s="67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>
      <c r="A23" s="67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>
      <c r="A24" s="67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>
      <c r="A25" s="67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>
      <c r="A26" s="67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>
      <c r="A27" s="67" t="s">
        <v>280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>
      <c r="J28" s="63"/>
    </row>
    <row r="29" spans="1:10" s="22" customFormat="1"/>
    <row r="30" spans="1:10" s="22" customFormat="1">
      <c r="A30" s="24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269</v>
      </c>
      <c r="E33" s="12" t="s">
        <v>274</v>
      </c>
      <c r="F33" s="72"/>
      <c r="G33"/>
      <c r="H33"/>
      <c r="I33"/>
    </row>
    <row r="34" spans="1:10" s="2" customFormat="1" ht="15">
      <c r="A34"/>
      <c r="C34" s="65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3"/>
    </row>
    <row r="38" spans="1:10" s="22" customFormat="1">
      <c r="J38" s="63"/>
    </row>
    <row r="39" spans="1:10" s="22" customFormat="1">
      <c r="J39" s="63"/>
    </row>
    <row r="40" spans="1:10" s="22" customFormat="1">
      <c r="J40" s="63"/>
    </row>
    <row r="41" spans="1:10" s="22" customFormat="1">
      <c r="J41" s="63"/>
    </row>
    <row r="42" spans="1:10" s="22" customFormat="1">
      <c r="J42" s="63"/>
    </row>
    <row r="43" spans="1:10" s="22" customFormat="1">
      <c r="J43" s="63"/>
    </row>
    <row r="44" spans="1:10" s="22" customFormat="1">
      <c r="J44" s="63"/>
    </row>
    <row r="45" spans="1:10" s="22" customFormat="1">
      <c r="J45" s="63"/>
    </row>
    <row r="46" spans="1:10" s="22" customFormat="1">
      <c r="J46" s="63"/>
    </row>
    <row r="47" spans="1:10" s="22" customFormat="1">
      <c r="J47" s="63"/>
    </row>
    <row r="48" spans="1:10" s="22" customFormat="1">
      <c r="J48" s="63"/>
    </row>
    <row r="49" spans="10:10" s="22" customFormat="1">
      <c r="J49" s="63"/>
    </row>
    <row r="50" spans="10:10" s="22" customFormat="1">
      <c r="J50" s="63"/>
    </row>
    <row r="51" spans="10:10" s="22" customFormat="1">
      <c r="J51" s="63"/>
    </row>
    <row r="52" spans="10:10" s="22" customFormat="1">
      <c r="J52" s="63"/>
    </row>
    <row r="53" spans="10:10" s="22" customFormat="1">
      <c r="J53" s="63"/>
    </row>
    <row r="54" spans="10:10" s="22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328</v>
      </c>
      <c r="B1" s="197"/>
      <c r="C1" s="197"/>
      <c r="D1" s="197"/>
      <c r="E1" s="197"/>
      <c r="F1" s="78"/>
      <c r="G1" s="78" t="s">
        <v>110</v>
      </c>
      <c r="H1" s="200"/>
    </row>
    <row r="2" spans="1:8" s="199" customFormat="1" ht="15">
      <c r="A2" s="200" t="s">
        <v>319</v>
      </c>
      <c r="B2" s="197"/>
      <c r="C2" s="197"/>
      <c r="D2" s="197"/>
      <c r="E2" s="198"/>
      <c r="F2" s="198"/>
      <c r="G2" s="529" t="s">
        <v>982</v>
      </c>
      <c r="H2" s="529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5" t="s">
        <v>275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 t="s">
        <v>512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5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107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269</v>
      </c>
      <c r="F27" s="210" t="s">
        <v>321</v>
      </c>
      <c r="J27" s="211"/>
      <c r="K27" s="211"/>
    </row>
    <row r="28" spans="1:11" s="21" customFormat="1" ht="15">
      <c r="C28" s="213" t="s">
        <v>140</v>
      </c>
      <c r="F28" s="214" t="s">
        <v>270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22"/>
  <sheetViews>
    <sheetView view="pageBreakPreview" topLeftCell="A57" zoomScale="70" zoomScaleNormal="80" zoomScaleSheetLayoutView="70" workbookViewId="0">
      <selection activeCell="H113" sqref="H11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8" t="s">
        <v>110</v>
      </c>
    </row>
    <row r="2" spans="1:12" ht="15">
      <c r="A2" s="105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562" t="s">
        <v>982</v>
      </c>
      <c r="L2" s="562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0"/>
      <c r="J4" s="140"/>
      <c r="K4" s="149"/>
    </row>
    <row r="5" spans="1:12" s="188" customFormat="1" ht="15">
      <c r="A5" s="225" t="s">
        <v>512</v>
      </c>
      <c r="B5" s="80"/>
      <c r="C5" s="80"/>
      <c r="D5" s="80"/>
      <c r="E5" s="226"/>
      <c r="F5" s="227"/>
      <c r="G5" s="227"/>
      <c r="H5" s="227"/>
      <c r="I5" s="227"/>
      <c r="J5" s="227"/>
      <c r="K5" s="226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30">
      <c r="A9" s="136">
        <v>1</v>
      </c>
      <c r="B9" s="514" t="s">
        <v>986</v>
      </c>
      <c r="C9" s="515" t="s">
        <v>739</v>
      </c>
      <c r="D9" s="515" t="s">
        <v>987</v>
      </c>
      <c r="E9" s="515">
        <v>156.80000000000001</v>
      </c>
      <c r="F9" s="515">
        <v>800</v>
      </c>
      <c r="G9" s="515"/>
      <c r="H9" s="514"/>
      <c r="I9" s="514"/>
      <c r="J9" s="515" t="s">
        <v>988</v>
      </c>
      <c r="K9" s="514" t="s">
        <v>989</v>
      </c>
    </row>
    <row r="10" spans="1:12" ht="30">
      <c r="A10" s="136">
        <v>2</v>
      </c>
      <c r="B10" s="514" t="s">
        <v>990</v>
      </c>
      <c r="C10" s="515" t="s">
        <v>739</v>
      </c>
      <c r="D10" s="515" t="s">
        <v>987</v>
      </c>
      <c r="E10" s="516">
        <v>88.89</v>
      </c>
      <c r="F10" s="516">
        <v>1234.7</v>
      </c>
      <c r="G10" s="516"/>
      <c r="H10" s="517"/>
      <c r="I10" s="514"/>
      <c r="J10" s="518" t="s">
        <v>991</v>
      </c>
      <c r="K10" s="514" t="s">
        <v>992</v>
      </c>
    </row>
    <row r="11" spans="1:12" ht="30">
      <c r="A11" s="136">
        <v>3</v>
      </c>
      <c r="B11" s="514" t="s">
        <v>993</v>
      </c>
      <c r="C11" s="515" t="s">
        <v>739</v>
      </c>
      <c r="D11" s="515" t="s">
        <v>987</v>
      </c>
      <c r="E11" s="516">
        <v>70</v>
      </c>
      <c r="F11" s="516">
        <v>1200</v>
      </c>
      <c r="G11" s="516"/>
      <c r="H11" s="517"/>
      <c r="I11" s="514"/>
      <c r="J11" s="518" t="s">
        <v>994</v>
      </c>
      <c r="K11" s="514" t="s">
        <v>995</v>
      </c>
    </row>
    <row r="12" spans="1:12" ht="45">
      <c r="A12" s="136">
        <v>4</v>
      </c>
      <c r="B12" s="514" t="s">
        <v>996</v>
      </c>
      <c r="C12" s="515" t="s">
        <v>739</v>
      </c>
      <c r="D12" s="515" t="s">
        <v>987</v>
      </c>
      <c r="E12" s="515">
        <v>106</v>
      </c>
      <c r="F12" s="515">
        <v>800</v>
      </c>
      <c r="G12" s="515"/>
      <c r="H12" s="514"/>
      <c r="I12" s="514"/>
      <c r="J12" s="519" t="s">
        <v>997</v>
      </c>
      <c r="K12" s="514" t="s">
        <v>998</v>
      </c>
    </row>
    <row r="13" spans="1:12" ht="30">
      <c r="A13" s="136">
        <v>5</v>
      </c>
      <c r="B13" s="514" t="s">
        <v>999</v>
      </c>
      <c r="C13" s="515" t="s">
        <v>739</v>
      </c>
      <c r="D13" s="515" t="s">
        <v>987</v>
      </c>
      <c r="E13" s="516">
        <v>135.69999999999999</v>
      </c>
      <c r="F13" s="516">
        <v>625</v>
      </c>
      <c r="G13" s="516"/>
      <c r="H13" s="517"/>
      <c r="I13" s="514"/>
      <c r="J13" s="515">
        <v>26001002376</v>
      </c>
      <c r="K13" s="514" t="s">
        <v>1000</v>
      </c>
    </row>
    <row r="14" spans="1:12" ht="30">
      <c r="A14" s="136">
        <v>6</v>
      </c>
      <c r="B14" s="514" t="s">
        <v>1001</v>
      </c>
      <c r="C14" s="515" t="s">
        <v>739</v>
      </c>
      <c r="D14" s="515" t="s">
        <v>987</v>
      </c>
      <c r="E14" s="516">
        <v>70</v>
      </c>
      <c r="F14" s="516">
        <v>500</v>
      </c>
      <c r="G14" s="516"/>
      <c r="H14" s="517"/>
      <c r="I14" s="514"/>
      <c r="J14" s="516">
        <v>225063123</v>
      </c>
      <c r="K14" s="514" t="s">
        <v>1002</v>
      </c>
    </row>
    <row r="15" spans="1:12" ht="30">
      <c r="A15" s="136">
        <v>7</v>
      </c>
      <c r="B15" s="514" t="s">
        <v>1003</v>
      </c>
      <c r="C15" s="515" t="s">
        <v>739</v>
      </c>
      <c r="D15" s="515" t="s">
        <v>987</v>
      </c>
      <c r="E15" s="515">
        <v>219</v>
      </c>
      <c r="F15" s="515">
        <v>800</v>
      </c>
      <c r="G15" s="515"/>
      <c r="H15" s="514"/>
      <c r="I15" s="514"/>
      <c r="J15" s="519" t="s">
        <v>1004</v>
      </c>
      <c r="K15" s="514" t="s">
        <v>1005</v>
      </c>
    </row>
    <row r="16" spans="1:12" ht="30">
      <c r="A16" s="136">
        <v>8</v>
      </c>
      <c r="B16" s="514" t="s">
        <v>1006</v>
      </c>
      <c r="C16" s="515" t="s">
        <v>739</v>
      </c>
      <c r="D16" s="515" t="s">
        <v>987</v>
      </c>
      <c r="E16" s="516">
        <v>100.2</v>
      </c>
      <c r="F16" s="516">
        <v>625</v>
      </c>
      <c r="G16" s="516"/>
      <c r="H16" s="517"/>
      <c r="I16" s="514"/>
      <c r="J16" s="518" t="s">
        <v>1007</v>
      </c>
      <c r="K16" s="514" t="s">
        <v>1008</v>
      </c>
    </row>
    <row r="17" spans="1:11" ht="30">
      <c r="A17" s="563">
        <v>9</v>
      </c>
      <c r="B17" s="565" t="s">
        <v>1009</v>
      </c>
      <c r="C17" s="515" t="s">
        <v>739</v>
      </c>
      <c r="D17" s="515" t="s">
        <v>987</v>
      </c>
      <c r="E17" s="566">
        <v>87.1</v>
      </c>
      <c r="F17" s="516">
        <v>400</v>
      </c>
      <c r="G17" s="516"/>
      <c r="H17" s="517"/>
      <c r="I17" s="514"/>
      <c r="J17" s="518" t="s">
        <v>1010</v>
      </c>
      <c r="K17" s="514" t="s">
        <v>1011</v>
      </c>
    </row>
    <row r="18" spans="1:11" ht="30">
      <c r="A18" s="564"/>
      <c r="B18" s="565"/>
      <c r="C18" s="515" t="s">
        <v>739</v>
      </c>
      <c r="D18" s="515" t="s">
        <v>987</v>
      </c>
      <c r="E18" s="566"/>
      <c r="F18" s="516">
        <v>400</v>
      </c>
      <c r="G18" s="516"/>
      <c r="H18" s="517"/>
      <c r="I18" s="514"/>
      <c r="J18" s="518" t="s">
        <v>1012</v>
      </c>
      <c r="K18" s="514" t="s">
        <v>1013</v>
      </c>
    </row>
    <row r="19" spans="1:11" ht="45">
      <c r="A19" s="136">
        <v>10</v>
      </c>
      <c r="B19" s="514" t="s">
        <v>1014</v>
      </c>
      <c r="C19" s="515" t="s">
        <v>739</v>
      </c>
      <c r="D19" s="515" t="s">
        <v>987</v>
      </c>
      <c r="E19" s="516">
        <v>110</v>
      </c>
      <c r="F19" s="516">
        <v>800</v>
      </c>
      <c r="G19" s="516"/>
      <c r="H19" s="517"/>
      <c r="I19" s="514"/>
      <c r="J19" s="516">
        <v>47001000294</v>
      </c>
      <c r="K19" s="514" t="s">
        <v>1015</v>
      </c>
    </row>
    <row r="20" spans="1:11" ht="30">
      <c r="A20" s="563">
        <v>11</v>
      </c>
      <c r="B20" s="565" t="s">
        <v>1016</v>
      </c>
      <c r="C20" s="515" t="s">
        <v>739</v>
      </c>
      <c r="D20" s="515" t="s">
        <v>987</v>
      </c>
      <c r="E20" s="566">
        <v>140.9</v>
      </c>
      <c r="F20" s="516">
        <v>250</v>
      </c>
      <c r="G20" s="516"/>
      <c r="H20" s="517"/>
      <c r="I20" s="514"/>
      <c r="J20" s="516">
        <v>62007000585</v>
      </c>
      <c r="K20" s="514" t="s">
        <v>1017</v>
      </c>
    </row>
    <row r="21" spans="1:11" ht="30">
      <c r="A21" s="564"/>
      <c r="B21" s="565"/>
      <c r="C21" s="515" t="s">
        <v>739</v>
      </c>
      <c r="D21" s="515" t="s">
        <v>987</v>
      </c>
      <c r="E21" s="566"/>
      <c r="F21" s="516">
        <v>250</v>
      </c>
      <c r="G21" s="516"/>
      <c r="H21" s="517"/>
      <c r="I21" s="514"/>
      <c r="J21" s="518" t="s">
        <v>1018</v>
      </c>
      <c r="K21" s="514" t="s">
        <v>1019</v>
      </c>
    </row>
    <row r="22" spans="1:11" ht="30">
      <c r="A22" s="136">
        <v>12</v>
      </c>
      <c r="B22" s="514" t="s">
        <v>1020</v>
      </c>
      <c r="C22" s="515" t="s">
        <v>739</v>
      </c>
      <c r="D22" s="515" t="s">
        <v>987</v>
      </c>
      <c r="E22" s="516">
        <v>100</v>
      </c>
      <c r="F22" s="516">
        <v>625</v>
      </c>
      <c r="G22" s="516"/>
      <c r="H22" s="517"/>
      <c r="I22" s="514"/>
      <c r="J22" s="516">
        <v>230030613</v>
      </c>
      <c r="K22" s="514" t="s">
        <v>1021</v>
      </c>
    </row>
    <row r="23" spans="1:11" ht="30">
      <c r="A23" s="136">
        <v>13</v>
      </c>
      <c r="B23" s="514" t="s">
        <v>1022</v>
      </c>
      <c r="C23" s="515" t="s">
        <v>739</v>
      </c>
      <c r="D23" s="515" t="s">
        <v>987</v>
      </c>
      <c r="E23" s="515">
        <v>126.77</v>
      </c>
      <c r="F23" s="515">
        <v>3704.1</v>
      </c>
      <c r="G23" s="519" t="s">
        <v>977</v>
      </c>
      <c r="H23" s="514" t="s">
        <v>1023</v>
      </c>
      <c r="I23" s="514" t="s">
        <v>1024</v>
      </c>
      <c r="J23" s="519"/>
      <c r="K23" s="514"/>
    </row>
    <row r="24" spans="1:11" ht="30">
      <c r="A24" s="136">
        <v>14</v>
      </c>
      <c r="B24" s="514" t="s">
        <v>1025</v>
      </c>
      <c r="C24" s="515" t="s">
        <v>739</v>
      </c>
      <c r="D24" s="515" t="s">
        <v>987</v>
      </c>
      <c r="E24" s="516">
        <v>46</v>
      </c>
      <c r="F24" s="516">
        <v>375</v>
      </c>
      <c r="G24" s="516"/>
      <c r="H24" s="517"/>
      <c r="I24" s="514"/>
      <c r="J24" s="518" t="s">
        <v>971</v>
      </c>
      <c r="K24" s="514" t="s">
        <v>1026</v>
      </c>
    </row>
    <row r="25" spans="1:11" ht="30">
      <c r="A25" s="136">
        <v>15</v>
      </c>
      <c r="B25" s="514" t="s">
        <v>1027</v>
      </c>
      <c r="C25" s="515" t="s">
        <v>739</v>
      </c>
      <c r="D25" s="515" t="s">
        <v>987</v>
      </c>
      <c r="E25" s="516">
        <v>90</v>
      </c>
      <c r="F25" s="516">
        <v>500</v>
      </c>
      <c r="G25" s="516"/>
      <c r="H25" s="517"/>
      <c r="I25" s="514"/>
      <c r="J25" s="515">
        <v>53001007238</v>
      </c>
      <c r="K25" s="514" t="s">
        <v>1028</v>
      </c>
    </row>
    <row r="26" spans="1:11" ht="30">
      <c r="A26" s="136">
        <v>16</v>
      </c>
      <c r="B26" s="514" t="s">
        <v>1029</v>
      </c>
      <c r="C26" s="515" t="s">
        <v>739</v>
      </c>
      <c r="D26" s="515" t="s">
        <v>987</v>
      </c>
      <c r="E26" s="516">
        <v>200.5</v>
      </c>
      <c r="F26" s="516">
        <v>550</v>
      </c>
      <c r="G26" s="516"/>
      <c r="H26" s="517"/>
      <c r="I26" s="514"/>
      <c r="J26" s="518" t="s">
        <v>1030</v>
      </c>
      <c r="K26" s="514" t="s">
        <v>1031</v>
      </c>
    </row>
    <row r="27" spans="1:11" ht="30">
      <c r="A27" s="136">
        <v>17</v>
      </c>
      <c r="B27" s="514" t="s">
        <v>1032</v>
      </c>
      <c r="C27" s="515" t="s">
        <v>739</v>
      </c>
      <c r="D27" s="515" t="s">
        <v>987</v>
      </c>
      <c r="E27" s="516">
        <v>161</v>
      </c>
      <c r="F27" s="516">
        <v>625</v>
      </c>
      <c r="G27" s="516"/>
      <c r="H27" s="517"/>
      <c r="I27" s="514"/>
      <c r="J27" s="515">
        <v>61008000273</v>
      </c>
      <c r="K27" s="514" t="s">
        <v>1033</v>
      </c>
    </row>
    <row r="28" spans="1:11" ht="30">
      <c r="A28" s="136">
        <v>18</v>
      </c>
      <c r="B28" s="514" t="s">
        <v>1034</v>
      </c>
      <c r="C28" s="515" t="s">
        <v>739</v>
      </c>
      <c r="D28" s="515" t="s">
        <v>987</v>
      </c>
      <c r="E28" s="516">
        <v>72</v>
      </c>
      <c r="F28" s="516">
        <v>625</v>
      </c>
      <c r="G28" s="516"/>
      <c r="H28" s="517"/>
      <c r="I28" s="514"/>
      <c r="J28" s="518" t="s">
        <v>1035</v>
      </c>
      <c r="K28" s="514" t="s">
        <v>1036</v>
      </c>
    </row>
    <row r="29" spans="1:11" ht="30">
      <c r="A29" s="136">
        <v>19</v>
      </c>
      <c r="B29" s="514" t="s">
        <v>1037</v>
      </c>
      <c r="C29" s="515" t="s">
        <v>739</v>
      </c>
      <c r="D29" s="515" t="s">
        <v>987</v>
      </c>
      <c r="E29" s="516">
        <v>109.86</v>
      </c>
      <c r="F29" s="516">
        <v>2469.4</v>
      </c>
      <c r="G29" s="520" t="s">
        <v>1038</v>
      </c>
      <c r="H29" s="517" t="s">
        <v>1039</v>
      </c>
      <c r="I29" s="514" t="s">
        <v>1040</v>
      </c>
      <c r="J29" s="520"/>
      <c r="K29" s="514"/>
    </row>
    <row r="30" spans="1:11" ht="30">
      <c r="A30" s="136">
        <v>20</v>
      </c>
      <c r="B30" s="514" t="s">
        <v>1041</v>
      </c>
      <c r="C30" s="515" t="s">
        <v>739</v>
      </c>
      <c r="D30" s="515" t="s">
        <v>1042</v>
      </c>
      <c r="E30" s="516">
        <v>150</v>
      </c>
      <c r="F30" s="516">
        <v>300</v>
      </c>
      <c r="G30" s="516"/>
      <c r="H30" s="517"/>
      <c r="I30" s="514"/>
      <c r="J30" s="520" t="s">
        <v>1043</v>
      </c>
      <c r="K30" s="514" t="s">
        <v>1044</v>
      </c>
    </row>
    <row r="31" spans="1:11" ht="30">
      <c r="A31" s="136">
        <v>21</v>
      </c>
      <c r="B31" s="514" t="s">
        <v>1045</v>
      </c>
      <c r="C31" s="515" t="s">
        <v>739</v>
      </c>
      <c r="D31" s="515" t="s">
        <v>987</v>
      </c>
      <c r="E31" s="515">
        <v>45</v>
      </c>
      <c r="F31" s="515">
        <v>625</v>
      </c>
      <c r="G31" s="515"/>
      <c r="H31" s="514"/>
      <c r="I31" s="514"/>
      <c r="J31" s="515" t="s">
        <v>1046</v>
      </c>
      <c r="K31" s="514" t="s">
        <v>1047</v>
      </c>
    </row>
    <row r="32" spans="1:11" ht="30">
      <c r="A32" s="136">
        <v>22</v>
      </c>
      <c r="B32" s="514" t="s">
        <v>1048</v>
      </c>
      <c r="C32" s="515" t="s">
        <v>739</v>
      </c>
      <c r="D32" s="515" t="s">
        <v>987</v>
      </c>
      <c r="E32" s="516">
        <v>188.9</v>
      </c>
      <c r="F32" s="516">
        <v>1000</v>
      </c>
      <c r="G32" s="516"/>
      <c r="H32" s="517"/>
      <c r="I32" s="514"/>
      <c r="J32" s="520" t="s">
        <v>1049</v>
      </c>
      <c r="K32" s="514" t="s">
        <v>1050</v>
      </c>
    </row>
    <row r="33" spans="1:11" ht="30">
      <c r="A33" s="136">
        <v>23</v>
      </c>
      <c r="B33" s="514" t="s">
        <v>1051</v>
      </c>
      <c r="C33" s="515" t="s">
        <v>739</v>
      </c>
      <c r="D33" s="515" t="s">
        <v>987</v>
      </c>
      <c r="E33" s="516">
        <v>60</v>
      </c>
      <c r="F33" s="516">
        <v>625</v>
      </c>
      <c r="G33" s="516"/>
      <c r="H33" s="517"/>
      <c r="I33" s="514"/>
      <c r="J33" s="520" t="s">
        <v>1052</v>
      </c>
      <c r="K33" s="514" t="s">
        <v>1053</v>
      </c>
    </row>
    <row r="34" spans="1:11" ht="30">
      <c r="A34" s="136">
        <v>24</v>
      </c>
      <c r="B34" s="514" t="s">
        <v>1054</v>
      </c>
      <c r="C34" s="515" t="s">
        <v>739</v>
      </c>
      <c r="D34" s="515" t="s">
        <v>987</v>
      </c>
      <c r="E34" s="516">
        <v>190</v>
      </c>
      <c r="F34" s="516">
        <v>7039.79</v>
      </c>
      <c r="G34" s="516"/>
      <c r="H34" s="517"/>
      <c r="I34" s="514"/>
      <c r="J34" s="520" t="s">
        <v>1055</v>
      </c>
      <c r="K34" s="514" t="s">
        <v>1056</v>
      </c>
    </row>
    <row r="35" spans="1:11" ht="30">
      <c r="A35" s="136">
        <v>25</v>
      </c>
      <c r="B35" s="514" t="s">
        <v>1057</v>
      </c>
      <c r="C35" s="515" t="s">
        <v>739</v>
      </c>
      <c r="D35" s="515" t="s">
        <v>987</v>
      </c>
      <c r="E35" s="516">
        <v>50</v>
      </c>
      <c r="F35" s="516">
        <v>300</v>
      </c>
      <c r="G35" s="516"/>
      <c r="H35" s="517"/>
      <c r="I35" s="514"/>
      <c r="J35" s="520" t="s">
        <v>1058</v>
      </c>
      <c r="K35" s="514" t="s">
        <v>1059</v>
      </c>
    </row>
    <row r="36" spans="1:11" ht="30">
      <c r="A36" s="136">
        <v>26</v>
      </c>
      <c r="B36" s="514" t="s">
        <v>1060</v>
      </c>
      <c r="C36" s="515" t="s">
        <v>739</v>
      </c>
      <c r="D36" s="515" t="s">
        <v>1061</v>
      </c>
      <c r="E36" s="515">
        <v>93.1</v>
      </c>
      <c r="F36" s="515">
        <v>500</v>
      </c>
      <c r="G36" s="515">
        <v>36001032382</v>
      </c>
      <c r="H36" s="517" t="s">
        <v>1062</v>
      </c>
      <c r="I36" s="514" t="s">
        <v>1063</v>
      </c>
      <c r="J36" s="521"/>
      <c r="K36" s="522"/>
    </row>
    <row r="37" spans="1:11" ht="30">
      <c r="A37" s="563">
        <v>27</v>
      </c>
      <c r="B37" s="565" t="s">
        <v>1064</v>
      </c>
      <c r="C37" s="515" t="s">
        <v>739</v>
      </c>
      <c r="D37" s="515" t="s">
        <v>987</v>
      </c>
      <c r="E37" s="567">
        <v>130</v>
      </c>
      <c r="F37" s="515">
        <v>4394.5200000000004</v>
      </c>
      <c r="G37" s="519" t="s">
        <v>1065</v>
      </c>
      <c r="H37" s="517" t="s">
        <v>1066</v>
      </c>
      <c r="I37" s="514" t="s">
        <v>1067</v>
      </c>
      <c r="J37" s="521"/>
      <c r="K37" s="522"/>
    </row>
    <row r="38" spans="1:11" ht="30">
      <c r="A38" s="564"/>
      <c r="B38" s="565"/>
      <c r="C38" s="515" t="s">
        <v>739</v>
      </c>
      <c r="D38" s="515" t="s">
        <v>987</v>
      </c>
      <c r="E38" s="567"/>
      <c r="F38" s="515">
        <v>976.56</v>
      </c>
      <c r="G38" s="519" t="s">
        <v>1068</v>
      </c>
      <c r="H38" s="517" t="s">
        <v>1069</v>
      </c>
      <c r="I38" s="514" t="s">
        <v>1067</v>
      </c>
      <c r="J38" s="521"/>
      <c r="K38" s="522"/>
    </row>
    <row r="39" spans="1:11" ht="45">
      <c r="A39" s="136">
        <v>28</v>
      </c>
      <c r="B39" s="514" t="s">
        <v>1070</v>
      </c>
      <c r="C39" s="515" t="s">
        <v>739</v>
      </c>
      <c r="D39" s="515" t="s">
        <v>987</v>
      </c>
      <c r="E39" s="516">
        <v>82.9</v>
      </c>
      <c r="F39" s="515">
        <v>375</v>
      </c>
      <c r="G39" s="518" t="s">
        <v>1071</v>
      </c>
      <c r="H39" s="517" t="s">
        <v>1072</v>
      </c>
      <c r="I39" s="514" t="s">
        <v>1073</v>
      </c>
      <c r="J39" s="521"/>
      <c r="K39" s="522"/>
    </row>
    <row r="40" spans="1:11" ht="30">
      <c r="A40" s="136">
        <v>29</v>
      </c>
      <c r="B40" s="514" t="s">
        <v>1074</v>
      </c>
      <c r="C40" s="515" t="s">
        <v>739</v>
      </c>
      <c r="D40" s="515" t="s">
        <v>1061</v>
      </c>
      <c r="E40" s="516">
        <v>65</v>
      </c>
      <c r="F40" s="515">
        <v>1000</v>
      </c>
      <c r="G40" s="518" t="s">
        <v>1075</v>
      </c>
      <c r="H40" s="517" t="s">
        <v>1076</v>
      </c>
      <c r="I40" s="514" t="s">
        <v>1077</v>
      </c>
      <c r="J40" s="521"/>
      <c r="K40" s="522"/>
    </row>
    <row r="41" spans="1:11" ht="30">
      <c r="A41" s="136">
        <v>30</v>
      </c>
      <c r="B41" s="514" t="s">
        <v>1078</v>
      </c>
      <c r="C41" s="515" t="s">
        <v>739</v>
      </c>
      <c r="D41" s="515" t="s">
        <v>987</v>
      </c>
      <c r="E41" s="516">
        <v>81.55</v>
      </c>
      <c r="F41" s="515">
        <v>500</v>
      </c>
      <c r="G41" s="516">
        <v>24001004130</v>
      </c>
      <c r="H41" s="517" t="s">
        <v>689</v>
      </c>
      <c r="I41" s="514" t="s">
        <v>1079</v>
      </c>
      <c r="J41" s="521"/>
      <c r="K41" s="522"/>
    </row>
    <row r="42" spans="1:11" ht="30">
      <c r="A42" s="136">
        <v>31</v>
      </c>
      <c r="B42" s="514" t="s">
        <v>1080</v>
      </c>
      <c r="C42" s="515" t="s">
        <v>739</v>
      </c>
      <c r="D42" s="515" t="s">
        <v>987</v>
      </c>
      <c r="E42" s="516">
        <v>75.48</v>
      </c>
      <c r="F42" s="515">
        <v>500</v>
      </c>
      <c r="G42" s="518" t="s">
        <v>1081</v>
      </c>
      <c r="H42" s="517" t="s">
        <v>1082</v>
      </c>
      <c r="I42" s="514" t="s">
        <v>1083</v>
      </c>
      <c r="J42" s="521"/>
      <c r="K42" s="522"/>
    </row>
    <row r="43" spans="1:11" ht="45">
      <c r="A43" s="136">
        <v>32</v>
      </c>
      <c r="B43" s="514" t="s">
        <v>1084</v>
      </c>
      <c r="C43" s="515" t="s">
        <v>739</v>
      </c>
      <c r="D43" s="515" t="s">
        <v>987</v>
      </c>
      <c r="E43" s="516">
        <v>60.8</v>
      </c>
      <c r="F43" s="515">
        <v>375</v>
      </c>
      <c r="G43" s="518" t="s">
        <v>1085</v>
      </c>
      <c r="H43" s="517" t="s">
        <v>1086</v>
      </c>
      <c r="I43" s="514" t="s">
        <v>1087</v>
      </c>
      <c r="J43" s="521"/>
      <c r="K43" s="522"/>
    </row>
    <row r="44" spans="1:11" ht="30">
      <c r="A44" s="136">
        <v>33</v>
      </c>
      <c r="B44" s="514" t="s">
        <v>1088</v>
      </c>
      <c r="C44" s="515" t="s">
        <v>739</v>
      </c>
      <c r="D44" s="515" t="s">
        <v>987</v>
      </c>
      <c r="E44" s="516">
        <v>107</v>
      </c>
      <c r="F44" s="515">
        <v>750</v>
      </c>
      <c r="G44" s="516">
        <v>62005023736</v>
      </c>
      <c r="H44" s="517" t="s">
        <v>1089</v>
      </c>
      <c r="I44" s="514" t="s">
        <v>1090</v>
      </c>
      <c r="J44" s="521"/>
      <c r="K44" s="522"/>
    </row>
    <row r="45" spans="1:11" ht="30">
      <c r="A45" s="136">
        <v>34</v>
      </c>
      <c r="B45" s="514" t="s">
        <v>1091</v>
      </c>
      <c r="C45" s="515" t="s">
        <v>739</v>
      </c>
      <c r="D45" s="515" t="s">
        <v>987</v>
      </c>
      <c r="E45" s="516">
        <v>84</v>
      </c>
      <c r="F45" s="515">
        <v>875</v>
      </c>
      <c r="G45" s="518" t="s">
        <v>1092</v>
      </c>
      <c r="H45" s="517" t="s">
        <v>1093</v>
      </c>
      <c r="I45" s="514" t="s">
        <v>1094</v>
      </c>
      <c r="J45" s="521"/>
      <c r="K45" s="522"/>
    </row>
    <row r="46" spans="1:11" ht="30">
      <c r="A46" s="136">
        <v>35</v>
      </c>
      <c r="B46" s="514" t="s">
        <v>1095</v>
      </c>
      <c r="C46" s="515" t="s">
        <v>739</v>
      </c>
      <c r="D46" s="515" t="s">
        <v>987</v>
      </c>
      <c r="E46" s="516">
        <v>223</v>
      </c>
      <c r="F46" s="515">
        <v>450</v>
      </c>
      <c r="G46" s="518" t="s">
        <v>1096</v>
      </c>
      <c r="H46" s="517" t="s">
        <v>1097</v>
      </c>
      <c r="I46" s="514" t="s">
        <v>1098</v>
      </c>
      <c r="J46" s="521"/>
      <c r="K46" s="522"/>
    </row>
    <row r="47" spans="1:11" ht="30">
      <c r="A47" s="136">
        <v>36</v>
      </c>
      <c r="B47" s="514" t="s">
        <v>1099</v>
      </c>
      <c r="C47" s="515" t="s">
        <v>739</v>
      </c>
      <c r="D47" s="515" t="s">
        <v>987</v>
      </c>
      <c r="E47" s="515">
        <v>90</v>
      </c>
      <c r="F47" s="515">
        <v>437.5</v>
      </c>
      <c r="G47" s="519" t="s">
        <v>1100</v>
      </c>
      <c r="H47" s="517" t="s">
        <v>1101</v>
      </c>
      <c r="I47" s="514" t="s">
        <v>1102</v>
      </c>
      <c r="J47" s="521"/>
      <c r="K47" s="522"/>
    </row>
    <row r="48" spans="1:11" ht="30">
      <c r="A48" s="136">
        <v>37</v>
      </c>
      <c r="B48" s="514" t="s">
        <v>1103</v>
      </c>
      <c r="C48" s="515" t="s">
        <v>739</v>
      </c>
      <c r="D48" s="515" t="s">
        <v>987</v>
      </c>
      <c r="E48" s="516">
        <v>155</v>
      </c>
      <c r="F48" s="515">
        <v>350</v>
      </c>
      <c r="G48" s="516">
        <v>25001049879</v>
      </c>
      <c r="H48" s="517" t="s">
        <v>1076</v>
      </c>
      <c r="I48" s="514" t="s">
        <v>1104</v>
      </c>
      <c r="J48" s="521"/>
      <c r="K48" s="522"/>
    </row>
    <row r="49" spans="1:11" ht="45">
      <c r="A49" s="136">
        <v>38</v>
      </c>
      <c r="B49" s="514" t="s">
        <v>1105</v>
      </c>
      <c r="C49" s="515" t="s">
        <v>739</v>
      </c>
      <c r="D49" s="515" t="s">
        <v>987</v>
      </c>
      <c r="E49" s="516">
        <v>112.5</v>
      </c>
      <c r="F49" s="515">
        <v>625</v>
      </c>
      <c r="G49" s="516">
        <v>61002004053</v>
      </c>
      <c r="H49" s="517" t="s">
        <v>1106</v>
      </c>
      <c r="I49" s="514" t="s">
        <v>1107</v>
      </c>
      <c r="J49" s="521"/>
      <c r="K49" s="522"/>
    </row>
    <row r="50" spans="1:11" ht="30">
      <c r="A50" s="136">
        <v>39</v>
      </c>
      <c r="B50" s="514" t="s">
        <v>1108</v>
      </c>
      <c r="C50" s="515" t="s">
        <v>739</v>
      </c>
      <c r="D50" s="515" t="s">
        <v>987</v>
      </c>
      <c r="E50" s="516">
        <v>55</v>
      </c>
      <c r="F50" s="515">
        <v>400</v>
      </c>
      <c r="G50" s="516">
        <v>47001003904</v>
      </c>
      <c r="H50" s="517" t="s">
        <v>1109</v>
      </c>
      <c r="I50" s="514" t="s">
        <v>1110</v>
      </c>
      <c r="J50" s="521"/>
      <c r="K50" s="522"/>
    </row>
    <row r="51" spans="1:11" ht="30">
      <c r="A51" s="136">
        <v>40</v>
      </c>
      <c r="B51" s="514" t="s">
        <v>1111</v>
      </c>
      <c r="C51" s="515" t="s">
        <v>739</v>
      </c>
      <c r="D51" s="515" t="s">
        <v>987</v>
      </c>
      <c r="E51" s="516">
        <v>60</v>
      </c>
      <c r="F51" s="515">
        <v>250</v>
      </c>
      <c r="G51" s="516">
        <v>14001022774</v>
      </c>
      <c r="H51" s="517" t="s">
        <v>1112</v>
      </c>
      <c r="I51" s="514" t="s">
        <v>1113</v>
      </c>
      <c r="J51" s="521"/>
      <c r="K51" s="522"/>
    </row>
    <row r="52" spans="1:11" ht="30">
      <c r="A52" s="136">
        <v>41</v>
      </c>
      <c r="B52" s="514" t="s">
        <v>1114</v>
      </c>
      <c r="C52" s="515" t="s">
        <v>739</v>
      </c>
      <c r="D52" s="515" t="s">
        <v>987</v>
      </c>
      <c r="E52" s="516">
        <v>136</v>
      </c>
      <c r="F52" s="515">
        <v>525</v>
      </c>
      <c r="G52" s="515">
        <v>38001047179</v>
      </c>
      <c r="H52" s="517" t="s">
        <v>1115</v>
      </c>
      <c r="I52" s="514" t="s">
        <v>1116</v>
      </c>
      <c r="J52" s="521"/>
      <c r="K52" s="522"/>
    </row>
    <row r="53" spans="1:11" ht="30">
      <c r="A53" s="136">
        <v>42</v>
      </c>
      <c r="B53" s="514" t="s">
        <v>1117</v>
      </c>
      <c r="C53" s="515" t="s">
        <v>739</v>
      </c>
      <c r="D53" s="515" t="s">
        <v>987</v>
      </c>
      <c r="E53" s="516">
        <v>94.1</v>
      </c>
      <c r="F53" s="515">
        <v>500</v>
      </c>
      <c r="G53" s="516">
        <v>54001031206</v>
      </c>
      <c r="H53" s="517" t="s">
        <v>1118</v>
      </c>
      <c r="I53" s="514" t="s">
        <v>1119</v>
      </c>
      <c r="J53" s="521"/>
      <c r="K53" s="522"/>
    </row>
    <row r="54" spans="1:11" ht="30">
      <c r="A54" s="136">
        <v>43</v>
      </c>
      <c r="B54" s="514" t="s">
        <v>1120</v>
      </c>
      <c r="C54" s="515" t="s">
        <v>739</v>
      </c>
      <c r="D54" s="515" t="s">
        <v>987</v>
      </c>
      <c r="E54" s="516">
        <v>84.1</v>
      </c>
      <c r="F54" s="515">
        <v>625</v>
      </c>
      <c r="G54" s="518" t="s">
        <v>1121</v>
      </c>
      <c r="H54" s="517" t="s">
        <v>1122</v>
      </c>
      <c r="I54" s="514" t="s">
        <v>1123</v>
      </c>
      <c r="J54" s="521"/>
      <c r="K54" s="522"/>
    </row>
    <row r="55" spans="1:11" ht="30">
      <c r="A55" s="136">
        <v>44</v>
      </c>
      <c r="B55" s="514" t="s">
        <v>1124</v>
      </c>
      <c r="C55" s="515" t="s">
        <v>739</v>
      </c>
      <c r="D55" s="515" t="s">
        <v>987</v>
      </c>
      <c r="E55" s="516">
        <v>90</v>
      </c>
      <c r="F55" s="515">
        <v>700</v>
      </c>
      <c r="G55" s="518" t="s">
        <v>1125</v>
      </c>
      <c r="H55" s="517" t="s">
        <v>1126</v>
      </c>
      <c r="I55" s="514" t="s">
        <v>1127</v>
      </c>
      <c r="J55" s="521"/>
      <c r="K55" s="522"/>
    </row>
    <row r="56" spans="1:11" ht="30">
      <c r="A56" s="136">
        <v>45</v>
      </c>
      <c r="B56" s="514" t="s">
        <v>1128</v>
      </c>
      <c r="C56" s="515" t="s">
        <v>739</v>
      </c>
      <c r="D56" s="515" t="s">
        <v>987</v>
      </c>
      <c r="E56" s="516">
        <v>110</v>
      </c>
      <c r="F56" s="515">
        <v>737.5</v>
      </c>
      <c r="G56" s="516">
        <v>3760818</v>
      </c>
      <c r="H56" s="517" t="s">
        <v>1129</v>
      </c>
      <c r="I56" s="514" t="s">
        <v>1130</v>
      </c>
      <c r="J56" s="521"/>
      <c r="K56" s="522"/>
    </row>
    <row r="57" spans="1:11" ht="30">
      <c r="A57" s="136">
        <v>46</v>
      </c>
      <c r="B57" s="514" t="s">
        <v>1131</v>
      </c>
      <c r="C57" s="515" t="s">
        <v>739</v>
      </c>
      <c r="D57" s="515" t="s">
        <v>987</v>
      </c>
      <c r="E57" s="516">
        <v>130</v>
      </c>
      <c r="F57" s="515">
        <v>500</v>
      </c>
      <c r="G57" s="520" t="s">
        <v>1132</v>
      </c>
      <c r="H57" s="517" t="s">
        <v>1133</v>
      </c>
      <c r="I57" s="514" t="s">
        <v>1134</v>
      </c>
      <c r="J57" s="521"/>
      <c r="K57" s="522"/>
    </row>
    <row r="58" spans="1:11" ht="30">
      <c r="A58" s="136">
        <v>47</v>
      </c>
      <c r="B58" s="514" t="s">
        <v>1135</v>
      </c>
      <c r="C58" s="515" t="s">
        <v>739</v>
      </c>
      <c r="D58" s="515" t="s">
        <v>987</v>
      </c>
      <c r="E58" s="516">
        <v>54</v>
      </c>
      <c r="F58" s="515">
        <v>313</v>
      </c>
      <c r="G58" s="516">
        <v>49001006224</v>
      </c>
      <c r="H58" s="517" t="s">
        <v>1136</v>
      </c>
      <c r="I58" s="514" t="s">
        <v>1137</v>
      </c>
      <c r="J58" s="521"/>
      <c r="K58" s="522"/>
    </row>
    <row r="59" spans="1:11" ht="30">
      <c r="A59" s="136">
        <v>48</v>
      </c>
      <c r="B59" s="514" t="s">
        <v>1138</v>
      </c>
      <c r="C59" s="515" t="s">
        <v>739</v>
      </c>
      <c r="D59" s="515" t="s">
        <v>987</v>
      </c>
      <c r="E59" s="516">
        <v>80.3</v>
      </c>
      <c r="F59" s="515">
        <v>625</v>
      </c>
      <c r="G59" s="516">
        <v>33001022458</v>
      </c>
      <c r="H59" s="517" t="s">
        <v>1139</v>
      </c>
      <c r="I59" s="514" t="s">
        <v>1140</v>
      </c>
      <c r="J59" s="521"/>
      <c r="K59" s="522"/>
    </row>
    <row r="60" spans="1:11" ht="45">
      <c r="A60" s="136">
        <v>49</v>
      </c>
      <c r="B60" s="514" t="s">
        <v>1141</v>
      </c>
      <c r="C60" s="515" t="s">
        <v>739</v>
      </c>
      <c r="D60" s="515" t="s">
        <v>987</v>
      </c>
      <c r="E60" s="516">
        <v>60</v>
      </c>
      <c r="F60" s="515">
        <v>500</v>
      </c>
      <c r="G60" s="516">
        <v>29001003140</v>
      </c>
      <c r="H60" s="517" t="s">
        <v>1142</v>
      </c>
      <c r="I60" s="514" t="s">
        <v>1143</v>
      </c>
      <c r="J60" s="521"/>
      <c r="K60" s="522"/>
    </row>
    <row r="61" spans="1:11" ht="30">
      <c r="A61" s="136">
        <v>50</v>
      </c>
      <c r="B61" s="514" t="s">
        <v>1144</v>
      </c>
      <c r="C61" s="515" t="s">
        <v>739</v>
      </c>
      <c r="D61" s="515" t="s">
        <v>987</v>
      </c>
      <c r="E61" s="516">
        <v>50</v>
      </c>
      <c r="F61" s="515">
        <v>350</v>
      </c>
      <c r="G61" s="520" t="s">
        <v>981</v>
      </c>
      <c r="H61" s="517" t="s">
        <v>1145</v>
      </c>
      <c r="I61" s="514" t="s">
        <v>1146</v>
      </c>
      <c r="J61" s="521"/>
      <c r="K61" s="522"/>
    </row>
    <row r="62" spans="1:11" ht="30">
      <c r="A62" s="136">
        <v>51</v>
      </c>
      <c r="B62" s="514" t="s">
        <v>1147</v>
      </c>
      <c r="C62" s="515" t="s">
        <v>739</v>
      </c>
      <c r="D62" s="515" t="s">
        <v>987</v>
      </c>
      <c r="E62" s="516">
        <v>73</v>
      </c>
      <c r="F62" s="515">
        <v>500</v>
      </c>
      <c r="G62" s="518" t="s">
        <v>1148</v>
      </c>
      <c r="H62" s="517" t="s">
        <v>1149</v>
      </c>
      <c r="I62" s="514" t="s">
        <v>1150</v>
      </c>
      <c r="J62" s="521"/>
      <c r="K62" s="522"/>
    </row>
    <row r="63" spans="1:11" ht="30">
      <c r="A63" s="136">
        <v>52</v>
      </c>
      <c r="B63" s="514" t="s">
        <v>1151</v>
      </c>
      <c r="C63" s="515" t="s">
        <v>739</v>
      </c>
      <c r="D63" s="515" t="s">
        <v>987</v>
      </c>
      <c r="E63" s="516">
        <v>169.7</v>
      </c>
      <c r="F63" s="515">
        <v>625</v>
      </c>
      <c r="G63" s="520" t="s">
        <v>1152</v>
      </c>
      <c r="H63" s="517" t="s">
        <v>1086</v>
      </c>
      <c r="I63" s="514" t="s">
        <v>1153</v>
      </c>
      <c r="J63" s="521"/>
      <c r="K63" s="522"/>
    </row>
    <row r="64" spans="1:11" ht="30">
      <c r="A64" s="136">
        <v>53</v>
      </c>
      <c r="B64" s="514" t="s">
        <v>1154</v>
      </c>
      <c r="C64" s="515" t="s">
        <v>739</v>
      </c>
      <c r="D64" s="515" t="s">
        <v>987</v>
      </c>
      <c r="E64" s="515">
        <v>112.8</v>
      </c>
      <c r="F64" s="515">
        <v>2469.4</v>
      </c>
      <c r="G64" s="515" t="s">
        <v>1155</v>
      </c>
      <c r="H64" s="517" t="s">
        <v>1156</v>
      </c>
      <c r="I64" s="514" t="s">
        <v>1157</v>
      </c>
      <c r="J64" s="521"/>
      <c r="K64" s="522"/>
    </row>
    <row r="65" spans="1:11" ht="30">
      <c r="A65" s="136">
        <v>54</v>
      </c>
      <c r="B65" s="514" t="s">
        <v>1158</v>
      </c>
      <c r="C65" s="515" t="s">
        <v>739</v>
      </c>
      <c r="D65" s="515" t="s">
        <v>987</v>
      </c>
      <c r="E65" s="515">
        <v>41.25</v>
      </c>
      <c r="F65" s="515">
        <v>625</v>
      </c>
      <c r="G65" s="515">
        <v>60001129329</v>
      </c>
      <c r="H65" s="517" t="s">
        <v>1106</v>
      </c>
      <c r="I65" s="514" t="s">
        <v>1159</v>
      </c>
      <c r="J65" s="521"/>
      <c r="K65" s="522"/>
    </row>
    <row r="66" spans="1:11" ht="30">
      <c r="A66" s="136">
        <v>55</v>
      </c>
      <c r="B66" s="514" t="s">
        <v>1160</v>
      </c>
      <c r="C66" s="515" t="s">
        <v>739</v>
      </c>
      <c r="D66" s="515" t="s">
        <v>987</v>
      </c>
      <c r="E66" s="516">
        <v>180</v>
      </c>
      <c r="F66" s="515">
        <v>562.5</v>
      </c>
      <c r="G66" s="520" t="s">
        <v>979</v>
      </c>
      <c r="H66" s="517" t="s">
        <v>1161</v>
      </c>
      <c r="I66" s="514" t="s">
        <v>1162</v>
      </c>
      <c r="J66" s="521"/>
      <c r="K66" s="522"/>
    </row>
    <row r="67" spans="1:11" ht="30">
      <c r="A67" s="136">
        <v>56</v>
      </c>
      <c r="B67" s="514" t="s">
        <v>1163</v>
      </c>
      <c r="C67" s="515" t="s">
        <v>739</v>
      </c>
      <c r="D67" s="515" t="s">
        <v>1164</v>
      </c>
      <c r="E67" s="516">
        <v>99</v>
      </c>
      <c r="F67" s="515">
        <v>625</v>
      </c>
      <c r="G67" s="520" t="s">
        <v>1165</v>
      </c>
      <c r="H67" s="517" t="s">
        <v>1156</v>
      </c>
      <c r="I67" s="514" t="s">
        <v>1166</v>
      </c>
      <c r="J67" s="521"/>
      <c r="K67" s="522"/>
    </row>
    <row r="68" spans="1:11" ht="30">
      <c r="A68" s="136">
        <v>57</v>
      </c>
      <c r="B68" s="514" t="s">
        <v>1167</v>
      </c>
      <c r="C68" s="515" t="s">
        <v>739</v>
      </c>
      <c r="D68" s="515" t="s">
        <v>987</v>
      </c>
      <c r="E68" s="516">
        <v>90</v>
      </c>
      <c r="F68" s="515">
        <v>562.5</v>
      </c>
      <c r="G68" s="520" t="s">
        <v>1168</v>
      </c>
      <c r="H68" s="517" t="s">
        <v>1169</v>
      </c>
      <c r="I68" s="514" t="s">
        <v>1170</v>
      </c>
      <c r="J68" s="521"/>
      <c r="K68" s="522"/>
    </row>
    <row r="69" spans="1:11" ht="30">
      <c r="A69" s="136">
        <v>58</v>
      </c>
      <c r="B69" s="514" t="s">
        <v>1171</v>
      </c>
      <c r="C69" s="515" t="s">
        <v>739</v>
      </c>
      <c r="D69" s="515" t="s">
        <v>987</v>
      </c>
      <c r="E69" s="516">
        <v>76</v>
      </c>
      <c r="F69" s="515">
        <v>500</v>
      </c>
      <c r="G69" s="520" t="s">
        <v>1172</v>
      </c>
      <c r="H69" s="517" t="s">
        <v>1133</v>
      </c>
      <c r="I69" s="514" t="s">
        <v>1102</v>
      </c>
      <c r="J69" s="521"/>
      <c r="K69" s="522"/>
    </row>
    <row r="70" spans="1:11" ht="30">
      <c r="A70" s="136">
        <v>59</v>
      </c>
      <c r="B70" s="523" t="s">
        <v>1173</v>
      </c>
      <c r="C70" s="515" t="s">
        <v>739</v>
      </c>
      <c r="D70" s="515" t="s">
        <v>1174</v>
      </c>
      <c r="E70" s="516" t="s">
        <v>1175</v>
      </c>
      <c r="F70" s="520" t="s">
        <v>1176</v>
      </c>
      <c r="G70" s="520" t="s">
        <v>523</v>
      </c>
      <c r="H70" s="514" t="s">
        <v>1069</v>
      </c>
      <c r="I70" s="517" t="s">
        <v>1177</v>
      </c>
      <c r="J70" s="521"/>
      <c r="K70" s="522"/>
    </row>
    <row r="71" spans="1:11" ht="30">
      <c r="A71" s="136">
        <v>60</v>
      </c>
      <c r="B71" s="523" t="s">
        <v>1178</v>
      </c>
      <c r="C71" s="515" t="s">
        <v>739</v>
      </c>
      <c r="D71" s="515" t="s">
        <v>1179</v>
      </c>
      <c r="E71" s="516">
        <v>64.3</v>
      </c>
      <c r="F71" s="515" t="s">
        <v>1180</v>
      </c>
      <c r="G71" s="520" t="s">
        <v>1181</v>
      </c>
      <c r="H71" s="514" t="s">
        <v>1182</v>
      </c>
      <c r="I71" s="517" t="s">
        <v>1183</v>
      </c>
      <c r="J71" s="521"/>
      <c r="K71" s="522"/>
    </row>
    <row r="72" spans="1:11" ht="45">
      <c r="A72" s="136">
        <v>61</v>
      </c>
      <c r="B72" s="523" t="s">
        <v>1184</v>
      </c>
      <c r="C72" s="515" t="s">
        <v>739</v>
      </c>
      <c r="D72" s="515" t="s">
        <v>1185</v>
      </c>
      <c r="E72" s="516">
        <v>115.92</v>
      </c>
      <c r="F72" s="515">
        <v>2469.4</v>
      </c>
      <c r="G72" s="520"/>
      <c r="H72" s="514"/>
      <c r="I72" s="517"/>
      <c r="J72" s="520" t="s">
        <v>1186</v>
      </c>
      <c r="K72" s="522" t="s">
        <v>1187</v>
      </c>
    </row>
    <row r="73" spans="1:11" ht="60">
      <c r="A73" s="136">
        <v>62</v>
      </c>
      <c r="B73" s="523" t="s">
        <v>1188</v>
      </c>
      <c r="C73" s="515" t="s">
        <v>739</v>
      </c>
      <c r="D73" s="515" t="s">
        <v>1189</v>
      </c>
      <c r="E73" s="516">
        <v>89.42</v>
      </c>
      <c r="F73" s="515">
        <v>1852.05</v>
      </c>
      <c r="G73" s="520" t="s">
        <v>1190</v>
      </c>
      <c r="H73" s="514" t="s">
        <v>1106</v>
      </c>
      <c r="I73" s="517" t="s">
        <v>1191</v>
      </c>
      <c r="J73" s="520"/>
      <c r="K73" s="522"/>
    </row>
    <row r="74" spans="1:11" ht="30">
      <c r="A74" s="136">
        <v>63</v>
      </c>
      <c r="B74" s="523" t="s">
        <v>1192</v>
      </c>
      <c r="C74" s="515" t="s">
        <v>739</v>
      </c>
      <c r="D74" s="515" t="s">
        <v>1189</v>
      </c>
      <c r="E74" s="516">
        <v>250</v>
      </c>
      <c r="F74" s="515">
        <v>625</v>
      </c>
      <c r="G74" s="520" t="s">
        <v>1193</v>
      </c>
      <c r="H74" s="514" t="s">
        <v>1194</v>
      </c>
      <c r="I74" s="517" t="s">
        <v>1195</v>
      </c>
      <c r="J74" s="520"/>
      <c r="K74" s="522"/>
    </row>
    <row r="75" spans="1:11" ht="30">
      <c r="A75" s="136">
        <v>64</v>
      </c>
      <c r="B75" s="523" t="s">
        <v>1196</v>
      </c>
      <c r="C75" s="515" t="s">
        <v>739</v>
      </c>
      <c r="D75" s="515" t="s">
        <v>1197</v>
      </c>
      <c r="E75" s="516">
        <v>95</v>
      </c>
      <c r="F75" s="515">
        <v>550</v>
      </c>
      <c r="G75" s="520"/>
      <c r="H75" s="514"/>
      <c r="I75" s="517"/>
      <c r="J75" s="520" t="s">
        <v>1198</v>
      </c>
      <c r="K75" s="522" t="s">
        <v>1199</v>
      </c>
    </row>
    <row r="76" spans="1:11" ht="30">
      <c r="A76" s="136">
        <v>65</v>
      </c>
      <c r="B76" s="514" t="s">
        <v>1200</v>
      </c>
      <c r="C76" s="515" t="s">
        <v>739</v>
      </c>
      <c r="D76" s="515" t="s">
        <v>987</v>
      </c>
      <c r="E76" s="516">
        <v>63</v>
      </c>
      <c r="F76" s="516">
        <v>1975.52</v>
      </c>
      <c r="G76" s="516">
        <v>62001003330</v>
      </c>
      <c r="H76" s="517" t="s">
        <v>673</v>
      </c>
      <c r="I76" s="514" t="s">
        <v>1201</v>
      </c>
      <c r="J76" s="520"/>
      <c r="K76" s="522"/>
    </row>
    <row r="77" spans="1:11" ht="45">
      <c r="A77" s="136">
        <v>66</v>
      </c>
      <c r="B77" s="514" t="s">
        <v>1202</v>
      </c>
      <c r="C77" s="515" t="s">
        <v>739</v>
      </c>
      <c r="D77" s="515" t="s">
        <v>1203</v>
      </c>
      <c r="E77" s="515">
        <v>289.39999999999998</v>
      </c>
      <c r="F77" s="515">
        <v>2000</v>
      </c>
      <c r="G77" s="515"/>
      <c r="H77" s="524"/>
      <c r="I77" s="525"/>
      <c r="J77" s="526" t="s">
        <v>969</v>
      </c>
      <c r="K77" s="522" t="s">
        <v>968</v>
      </c>
    </row>
    <row r="78" spans="1:11" ht="45">
      <c r="A78" s="136">
        <v>67</v>
      </c>
      <c r="B78" s="514" t="s">
        <v>1204</v>
      </c>
      <c r="C78" s="515" t="s">
        <v>739</v>
      </c>
      <c r="D78" s="515" t="s">
        <v>1205</v>
      </c>
      <c r="E78" s="515">
        <v>100.4</v>
      </c>
      <c r="F78" s="515">
        <v>375</v>
      </c>
      <c r="G78" s="515">
        <v>27001007074</v>
      </c>
      <c r="H78" s="524" t="s">
        <v>1206</v>
      </c>
      <c r="I78" s="525" t="s">
        <v>1207</v>
      </c>
      <c r="J78" s="526"/>
      <c r="K78" s="522"/>
    </row>
    <row r="79" spans="1:11" ht="30">
      <c r="A79" s="136">
        <v>68</v>
      </c>
      <c r="B79" s="514" t="s">
        <v>1208</v>
      </c>
      <c r="C79" s="515" t="s">
        <v>739</v>
      </c>
      <c r="D79" s="515" t="s">
        <v>1209</v>
      </c>
      <c r="E79" s="515">
        <v>119.8</v>
      </c>
      <c r="F79" s="515">
        <v>800</v>
      </c>
      <c r="G79" s="515"/>
      <c r="H79" s="524"/>
      <c r="I79" s="525"/>
      <c r="J79" s="526" t="s">
        <v>1210</v>
      </c>
      <c r="K79" s="522" t="s">
        <v>1211</v>
      </c>
    </row>
    <row r="80" spans="1:11" ht="30">
      <c r="A80" s="136">
        <v>69</v>
      </c>
      <c r="B80" s="514" t="s">
        <v>1212</v>
      </c>
      <c r="C80" s="515" t="s">
        <v>739</v>
      </c>
      <c r="D80" s="515" t="s">
        <v>1205</v>
      </c>
      <c r="E80" s="515">
        <v>73.86</v>
      </c>
      <c r="F80" s="515">
        <v>1000</v>
      </c>
      <c r="G80" s="515">
        <v>12001001003</v>
      </c>
      <c r="H80" s="524" t="s">
        <v>1213</v>
      </c>
      <c r="I80" s="525" t="s">
        <v>1214</v>
      </c>
      <c r="J80" s="526"/>
      <c r="K80" s="522"/>
    </row>
    <row r="81" spans="1:11" ht="45">
      <c r="A81" s="136">
        <v>70</v>
      </c>
      <c r="B81" s="514" t="s">
        <v>1215</v>
      </c>
      <c r="C81" s="515" t="s">
        <v>739</v>
      </c>
      <c r="D81" s="515" t="s">
        <v>1042</v>
      </c>
      <c r="E81" s="515">
        <v>54</v>
      </c>
      <c r="F81" s="515">
        <v>2077.83</v>
      </c>
      <c r="G81" s="527" t="s">
        <v>1216</v>
      </c>
      <c r="H81" s="524" t="s">
        <v>1217</v>
      </c>
      <c r="I81" s="525" t="s">
        <v>1218</v>
      </c>
      <c r="J81" s="527"/>
      <c r="K81" s="522"/>
    </row>
    <row r="82" spans="1:11" ht="30">
      <c r="A82" s="136">
        <v>71</v>
      </c>
      <c r="B82" s="514" t="s">
        <v>1219</v>
      </c>
      <c r="C82" s="515" t="s">
        <v>739</v>
      </c>
      <c r="D82" s="515" t="s">
        <v>1220</v>
      </c>
      <c r="E82" s="515">
        <v>100</v>
      </c>
      <c r="F82" s="515">
        <v>350</v>
      </c>
      <c r="G82" s="520" t="s">
        <v>1221</v>
      </c>
      <c r="H82" s="524" t="s">
        <v>1222</v>
      </c>
      <c r="I82" s="525" t="s">
        <v>1223</v>
      </c>
      <c r="J82" s="528"/>
      <c r="K82" s="522"/>
    </row>
    <row r="83" spans="1:11" ht="30">
      <c r="A83" s="136">
        <v>72</v>
      </c>
      <c r="B83" s="514" t="s">
        <v>1224</v>
      </c>
      <c r="C83" s="515" t="s">
        <v>739</v>
      </c>
      <c r="D83" s="515" t="s">
        <v>1225</v>
      </c>
      <c r="E83" s="515">
        <v>70.099999999999994</v>
      </c>
      <c r="F83" s="515">
        <v>125</v>
      </c>
      <c r="G83" s="527" t="s">
        <v>532</v>
      </c>
      <c r="H83" s="524" t="s">
        <v>1226</v>
      </c>
      <c r="I83" s="525" t="s">
        <v>1227</v>
      </c>
      <c r="J83" s="110"/>
      <c r="K83" s="522"/>
    </row>
    <row r="84" spans="1:11" ht="30">
      <c r="A84" s="136">
        <v>73</v>
      </c>
      <c r="B84" s="514" t="s">
        <v>1228</v>
      </c>
      <c r="C84" s="515" t="s">
        <v>739</v>
      </c>
      <c r="D84" s="515" t="s">
        <v>1225</v>
      </c>
      <c r="E84" s="515">
        <v>60</v>
      </c>
      <c r="F84" s="515">
        <v>200</v>
      </c>
      <c r="G84" s="520" t="s">
        <v>529</v>
      </c>
      <c r="H84" s="524" t="s">
        <v>1229</v>
      </c>
      <c r="I84" s="525" t="s">
        <v>1230</v>
      </c>
      <c r="J84" s="528"/>
      <c r="K84" s="522"/>
    </row>
    <row r="85" spans="1:11" ht="30">
      <c r="A85" s="136">
        <v>74</v>
      </c>
      <c r="B85" s="514" t="s">
        <v>1231</v>
      </c>
      <c r="C85" s="515" t="s">
        <v>739</v>
      </c>
      <c r="D85" s="515" t="s">
        <v>1203</v>
      </c>
      <c r="E85" s="515">
        <v>93.09</v>
      </c>
      <c r="F85" s="515">
        <v>800</v>
      </c>
      <c r="G85" s="520"/>
      <c r="H85" s="524"/>
      <c r="I85" s="525"/>
      <c r="J85" s="527" t="s">
        <v>1232</v>
      </c>
      <c r="K85" s="522" t="s">
        <v>1233</v>
      </c>
    </row>
    <row r="86" spans="1:11" ht="45">
      <c r="A86" s="136">
        <v>75</v>
      </c>
      <c r="B86" s="514" t="s">
        <v>1234</v>
      </c>
      <c r="C86" s="515" t="s">
        <v>739</v>
      </c>
      <c r="D86" s="515" t="s">
        <v>1205</v>
      </c>
      <c r="E86" s="515">
        <v>49</v>
      </c>
      <c r="F86" s="515">
        <v>250</v>
      </c>
      <c r="G86" s="527" t="s">
        <v>1235</v>
      </c>
      <c r="H86" s="524" t="s">
        <v>1129</v>
      </c>
      <c r="I86" s="525" t="s">
        <v>1236</v>
      </c>
      <c r="J86" s="527"/>
      <c r="K86" s="522"/>
    </row>
    <row r="87" spans="1:11" ht="45">
      <c r="A87" s="136">
        <v>76</v>
      </c>
      <c r="B87" s="514" t="s">
        <v>1237</v>
      </c>
      <c r="C87" s="515" t="s">
        <v>739</v>
      </c>
      <c r="D87" s="515" t="s">
        <v>1205</v>
      </c>
      <c r="E87" s="515">
        <v>100</v>
      </c>
      <c r="F87" s="515">
        <v>500</v>
      </c>
      <c r="G87" s="527" t="s">
        <v>591</v>
      </c>
      <c r="H87" s="524" t="s">
        <v>698</v>
      </c>
      <c r="I87" s="525" t="s">
        <v>1238</v>
      </c>
      <c r="J87" s="527"/>
      <c r="K87" s="522"/>
    </row>
    <row r="88" spans="1:11" ht="45">
      <c r="A88" s="136">
        <v>77</v>
      </c>
      <c r="B88" s="514" t="s">
        <v>1239</v>
      </c>
      <c r="C88" s="515" t="s">
        <v>739</v>
      </c>
      <c r="D88" s="515" t="s">
        <v>1240</v>
      </c>
      <c r="E88" s="515">
        <v>63.5</v>
      </c>
      <c r="F88" s="515">
        <v>500</v>
      </c>
      <c r="G88" s="527" t="s">
        <v>1241</v>
      </c>
      <c r="H88" s="524" t="s">
        <v>1242</v>
      </c>
      <c r="I88" s="525" t="s">
        <v>1243</v>
      </c>
      <c r="J88" s="527"/>
      <c r="K88" s="522"/>
    </row>
    <row r="89" spans="1:11" ht="30">
      <c r="A89" s="136">
        <v>78</v>
      </c>
      <c r="B89" s="514" t="s">
        <v>1244</v>
      </c>
      <c r="C89" s="515" t="s">
        <v>739</v>
      </c>
      <c r="D89" s="515" t="s">
        <v>1245</v>
      </c>
      <c r="E89" s="515">
        <v>65.459999999999994</v>
      </c>
      <c r="F89" s="515">
        <v>625</v>
      </c>
      <c r="G89" s="520" t="s">
        <v>1246</v>
      </c>
      <c r="H89" s="524" t="s">
        <v>1206</v>
      </c>
      <c r="I89" s="525" t="s">
        <v>1247</v>
      </c>
      <c r="J89" s="528"/>
      <c r="K89" s="522"/>
    </row>
    <row r="90" spans="1:11" ht="75">
      <c r="A90" s="136">
        <v>79</v>
      </c>
      <c r="B90" s="514" t="s">
        <v>1248</v>
      </c>
      <c r="C90" s="515" t="s">
        <v>739</v>
      </c>
      <c r="D90" s="515" t="s">
        <v>1249</v>
      </c>
      <c r="E90" s="515">
        <v>70</v>
      </c>
      <c r="F90" s="515">
        <v>312.5</v>
      </c>
      <c r="G90" s="527">
        <v>27001006514</v>
      </c>
      <c r="H90" s="524" t="s">
        <v>1126</v>
      </c>
      <c r="I90" s="525" t="s">
        <v>1250</v>
      </c>
      <c r="J90" s="527"/>
      <c r="K90" s="522"/>
    </row>
    <row r="91" spans="1:11" ht="45">
      <c r="A91" s="136">
        <v>80</v>
      </c>
      <c r="B91" s="514" t="s">
        <v>1204</v>
      </c>
      <c r="C91" s="515" t="s">
        <v>739</v>
      </c>
      <c r="D91" s="515" t="s">
        <v>1205</v>
      </c>
      <c r="E91" s="515">
        <v>64.28</v>
      </c>
      <c r="F91" s="515">
        <v>375</v>
      </c>
      <c r="G91" s="515">
        <v>27001007074</v>
      </c>
      <c r="H91" s="524" t="s">
        <v>1206</v>
      </c>
      <c r="I91" s="525" t="s">
        <v>1207</v>
      </c>
      <c r="J91" s="526"/>
      <c r="K91" s="522"/>
    </row>
    <row r="92" spans="1:11" ht="30">
      <c r="A92" s="136">
        <v>81</v>
      </c>
      <c r="B92" s="514" t="s">
        <v>1251</v>
      </c>
      <c r="C92" s="515" t="s">
        <v>739</v>
      </c>
      <c r="D92" s="515" t="s">
        <v>1252</v>
      </c>
      <c r="E92" s="515">
        <v>50</v>
      </c>
      <c r="F92" s="515">
        <v>375</v>
      </c>
      <c r="G92" s="527" t="s">
        <v>1253</v>
      </c>
      <c r="H92" s="524" t="s">
        <v>1254</v>
      </c>
      <c r="I92" s="525" t="s">
        <v>1255</v>
      </c>
      <c r="J92" s="527"/>
      <c r="K92" s="522"/>
    </row>
    <row r="93" spans="1:11" ht="45">
      <c r="A93" s="136">
        <v>82</v>
      </c>
      <c r="B93" s="514" t="s">
        <v>1256</v>
      </c>
      <c r="C93" s="515" t="s">
        <v>739</v>
      </c>
      <c r="D93" s="515" t="s">
        <v>1179</v>
      </c>
      <c r="E93" s="515">
        <v>93.1</v>
      </c>
      <c r="F93" s="515">
        <v>500</v>
      </c>
      <c r="G93" s="515" t="s">
        <v>1257</v>
      </c>
      <c r="H93" s="524" t="s">
        <v>1076</v>
      </c>
      <c r="I93" s="525" t="s">
        <v>1258</v>
      </c>
      <c r="J93" s="528"/>
      <c r="K93" s="522"/>
    </row>
    <row r="94" spans="1:11" ht="45">
      <c r="A94" s="136">
        <v>83</v>
      </c>
      <c r="B94" s="514" t="s">
        <v>1259</v>
      </c>
      <c r="C94" s="515" t="s">
        <v>739</v>
      </c>
      <c r="D94" s="515" t="s">
        <v>1203</v>
      </c>
      <c r="E94" s="515">
        <v>116.6</v>
      </c>
      <c r="F94" s="515">
        <v>2600</v>
      </c>
      <c r="G94" s="520"/>
      <c r="H94" s="524"/>
      <c r="I94" s="525"/>
      <c r="J94" s="527" t="s">
        <v>1260</v>
      </c>
      <c r="K94" s="522" t="s">
        <v>1261</v>
      </c>
    </row>
    <row r="95" spans="1:11" ht="30">
      <c r="A95" s="136">
        <v>84</v>
      </c>
      <c r="B95" s="514" t="s">
        <v>1262</v>
      </c>
      <c r="C95" s="515" t="s">
        <v>739</v>
      </c>
      <c r="D95" s="515" t="s">
        <v>1203</v>
      </c>
      <c r="E95" s="515">
        <v>159</v>
      </c>
      <c r="F95" s="515">
        <v>800</v>
      </c>
      <c r="G95" s="527" t="s">
        <v>547</v>
      </c>
      <c r="H95" s="524" t="s">
        <v>1263</v>
      </c>
      <c r="I95" s="525" t="s">
        <v>1264</v>
      </c>
      <c r="J95" s="527"/>
      <c r="K95" s="522"/>
    </row>
    <row r="96" spans="1:11" ht="30">
      <c r="A96" s="136">
        <v>85</v>
      </c>
      <c r="B96" s="514" t="s">
        <v>1265</v>
      </c>
      <c r="C96" s="515" t="s">
        <v>739</v>
      </c>
      <c r="D96" s="515" t="s">
        <v>1266</v>
      </c>
      <c r="E96" s="515">
        <v>34</v>
      </c>
      <c r="F96" s="515">
        <v>600</v>
      </c>
      <c r="G96" s="520"/>
      <c r="H96" s="524"/>
      <c r="I96" s="525"/>
      <c r="J96" s="527" t="s">
        <v>1267</v>
      </c>
      <c r="K96" s="522" t="s">
        <v>1268</v>
      </c>
    </row>
    <row r="97" spans="1:11" ht="30">
      <c r="A97" s="136">
        <v>86</v>
      </c>
      <c r="B97" s="514" t="s">
        <v>1262</v>
      </c>
      <c r="C97" s="515" t="s">
        <v>739</v>
      </c>
      <c r="D97" s="515" t="s">
        <v>1269</v>
      </c>
      <c r="E97" s="515">
        <v>30</v>
      </c>
      <c r="F97" s="515">
        <v>520</v>
      </c>
      <c r="G97" s="527" t="s">
        <v>617</v>
      </c>
      <c r="H97" s="524" t="s">
        <v>1270</v>
      </c>
      <c r="I97" s="525" t="s">
        <v>1271</v>
      </c>
      <c r="J97" s="527"/>
      <c r="K97" s="522"/>
    </row>
    <row r="98" spans="1:11" ht="30">
      <c r="A98" s="136">
        <v>87</v>
      </c>
      <c r="B98" s="514" t="s">
        <v>1272</v>
      </c>
      <c r="C98" s="515" t="s">
        <v>739</v>
      </c>
      <c r="D98" s="515" t="s">
        <v>1269</v>
      </c>
      <c r="E98" s="515">
        <v>40</v>
      </c>
      <c r="F98" s="515">
        <v>520</v>
      </c>
      <c r="G98" s="527" t="s">
        <v>614</v>
      </c>
      <c r="H98" s="524" t="s">
        <v>1273</v>
      </c>
      <c r="I98" s="525" t="s">
        <v>1274</v>
      </c>
      <c r="J98" s="527"/>
      <c r="K98" s="522"/>
    </row>
    <row r="99" spans="1:11" ht="30">
      <c r="A99" s="136">
        <v>88</v>
      </c>
      <c r="B99" s="514" t="s">
        <v>1275</v>
      </c>
      <c r="C99" s="515" t="s">
        <v>739</v>
      </c>
      <c r="D99" s="515" t="s">
        <v>1185</v>
      </c>
      <c r="E99" s="515">
        <v>150</v>
      </c>
      <c r="F99" s="515">
        <v>300</v>
      </c>
      <c r="G99" s="520"/>
      <c r="H99" s="524"/>
      <c r="I99" s="525"/>
      <c r="J99" s="527">
        <v>200099534</v>
      </c>
      <c r="K99" s="522" t="s">
        <v>1276</v>
      </c>
    </row>
    <row r="100" spans="1:11" ht="30">
      <c r="A100" s="136">
        <v>89</v>
      </c>
      <c r="B100" s="514" t="s">
        <v>1074</v>
      </c>
      <c r="C100" s="515" t="s">
        <v>739</v>
      </c>
      <c r="D100" s="515" t="s">
        <v>1179</v>
      </c>
      <c r="E100" s="516">
        <v>65</v>
      </c>
      <c r="F100" s="515">
        <v>625</v>
      </c>
      <c r="G100" s="518" t="s">
        <v>1075</v>
      </c>
      <c r="H100" s="517" t="s">
        <v>1076</v>
      </c>
      <c r="I100" s="514" t="s">
        <v>1077</v>
      </c>
      <c r="J100" s="521"/>
      <c r="K100" s="522"/>
    </row>
    <row r="101" spans="1:11" ht="30">
      <c r="A101" s="136">
        <v>90</v>
      </c>
      <c r="B101" s="514" t="s">
        <v>1277</v>
      </c>
      <c r="C101" s="515" t="s">
        <v>1278</v>
      </c>
      <c r="D101" s="515" t="s">
        <v>1279</v>
      </c>
      <c r="E101" s="516">
        <v>348</v>
      </c>
      <c r="F101" s="515">
        <v>300</v>
      </c>
      <c r="G101" s="518"/>
      <c r="H101" s="517"/>
      <c r="I101" s="514"/>
      <c r="J101" s="527" t="s">
        <v>1280</v>
      </c>
      <c r="K101" s="522" t="s">
        <v>1281</v>
      </c>
    </row>
    <row r="102" spans="1:11" ht="60">
      <c r="A102" s="136">
        <v>91</v>
      </c>
      <c r="B102" s="514" t="s">
        <v>1282</v>
      </c>
      <c r="C102" s="515" t="s">
        <v>1278</v>
      </c>
      <c r="D102" s="515" t="s">
        <v>1279</v>
      </c>
      <c r="E102" s="516">
        <v>300</v>
      </c>
      <c r="F102" s="515">
        <v>300</v>
      </c>
      <c r="G102" s="518"/>
      <c r="H102" s="517"/>
      <c r="I102" s="514"/>
      <c r="J102" s="527" t="s">
        <v>1283</v>
      </c>
      <c r="K102" s="522" t="s">
        <v>1284</v>
      </c>
    </row>
    <row r="103" spans="1:11" ht="45">
      <c r="A103" s="136">
        <v>92</v>
      </c>
      <c r="B103" s="514" t="s">
        <v>1285</v>
      </c>
      <c r="C103" s="515" t="s">
        <v>1278</v>
      </c>
      <c r="D103" s="515" t="s">
        <v>1279</v>
      </c>
      <c r="E103" s="516">
        <v>195</v>
      </c>
      <c r="F103" s="515">
        <v>299</v>
      </c>
      <c r="G103" s="518"/>
      <c r="H103" s="517"/>
      <c r="I103" s="514"/>
      <c r="J103" s="527" t="s">
        <v>1286</v>
      </c>
      <c r="K103" s="522" t="s">
        <v>1287</v>
      </c>
    </row>
    <row r="104" spans="1:11" ht="45">
      <c r="A104" s="136">
        <v>93</v>
      </c>
      <c r="B104" s="514" t="s">
        <v>1288</v>
      </c>
      <c r="C104" s="515" t="s">
        <v>1278</v>
      </c>
      <c r="D104" s="515" t="s">
        <v>1279</v>
      </c>
      <c r="E104" s="516">
        <v>210</v>
      </c>
      <c r="F104" s="515">
        <v>250</v>
      </c>
      <c r="G104" s="518"/>
      <c r="H104" s="517"/>
      <c r="I104" s="514"/>
      <c r="J104" s="527" t="s">
        <v>1289</v>
      </c>
      <c r="K104" s="522" t="s">
        <v>1290</v>
      </c>
    </row>
    <row r="105" spans="1:11" ht="60">
      <c r="A105" s="136">
        <v>94</v>
      </c>
      <c r="B105" s="514" t="s">
        <v>1291</v>
      </c>
      <c r="C105" s="515" t="s">
        <v>1278</v>
      </c>
      <c r="D105" s="515" t="s">
        <v>1279</v>
      </c>
      <c r="E105" s="516">
        <v>627.70000000000005</v>
      </c>
      <c r="F105" s="515">
        <v>500</v>
      </c>
      <c r="G105" s="518"/>
      <c r="H105" s="517"/>
      <c r="I105" s="514"/>
      <c r="J105" s="527" t="s">
        <v>1292</v>
      </c>
      <c r="K105" s="522" t="s">
        <v>1293</v>
      </c>
    </row>
    <row r="106" spans="1:11" ht="45">
      <c r="A106" s="136">
        <v>95</v>
      </c>
      <c r="B106" s="514" t="s">
        <v>1294</v>
      </c>
      <c r="C106" s="515" t="s">
        <v>1278</v>
      </c>
      <c r="D106" s="515" t="s">
        <v>1279</v>
      </c>
      <c r="E106" s="516">
        <v>210.4</v>
      </c>
      <c r="F106" s="515">
        <v>200</v>
      </c>
      <c r="G106" s="527" t="s">
        <v>1295</v>
      </c>
      <c r="H106" s="517" t="s">
        <v>1296</v>
      </c>
      <c r="I106" s="514" t="s">
        <v>1297</v>
      </c>
      <c r="J106" s="527"/>
      <c r="K106" s="522"/>
    </row>
    <row r="107" spans="1:11" ht="45">
      <c r="A107" s="136">
        <v>96</v>
      </c>
      <c r="B107" s="514" t="s">
        <v>1298</v>
      </c>
      <c r="C107" s="515" t="s">
        <v>1278</v>
      </c>
      <c r="D107" s="515" t="s">
        <v>1279</v>
      </c>
      <c r="E107" s="516">
        <v>713</v>
      </c>
      <c r="F107" s="515">
        <v>60</v>
      </c>
      <c r="G107" s="518"/>
      <c r="H107" s="517"/>
      <c r="I107" s="514"/>
      <c r="J107" s="527" t="s">
        <v>1299</v>
      </c>
      <c r="K107" s="522" t="s">
        <v>1300</v>
      </c>
    </row>
    <row r="108" spans="1:11" ht="45">
      <c r="A108" s="136">
        <v>97</v>
      </c>
      <c r="B108" s="514" t="s">
        <v>1301</v>
      </c>
      <c r="C108" s="515" t="s">
        <v>1278</v>
      </c>
      <c r="D108" s="515" t="s">
        <v>1279</v>
      </c>
      <c r="E108" s="516">
        <v>160</v>
      </c>
      <c r="F108" s="515">
        <v>200</v>
      </c>
      <c r="G108" s="518"/>
      <c r="H108" s="517"/>
      <c r="I108" s="514"/>
      <c r="J108" s="527" t="s">
        <v>1302</v>
      </c>
      <c r="K108" s="522" t="s">
        <v>1303</v>
      </c>
    </row>
    <row r="109" spans="1:11" ht="45">
      <c r="A109" s="136">
        <v>98</v>
      </c>
      <c r="B109" s="514" t="s">
        <v>1304</v>
      </c>
      <c r="C109" s="515" t="s">
        <v>1278</v>
      </c>
      <c r="D109" s="515" t="s">
        <v>1279</v>
      </c>
      <c r="E109" s="516">
        <v>370</v>
      </c>
      <c r="F109" s="515">
        <v>170</v>
      </c>
      <c r="G109" s="518"/>
      <c r="H109" s="517"/>
      <c r="I109" s="514"/>
      <c r="J109" s="527" t="s">
        <v>1305</v>
      </c>
      <c r="K109" s="522" t="s">
        <v>1306</v>
      </c>
    </row>
    <row r="110" spans="1:11" ht="60">
      <c r="A110" s="136">
        <v>99</v>
      </c>
      <c r="B110" s="514" t="s">
        <v>1307</v>
      </c>
      <c r="C110" s="515" t="s">
        <v>1278</v>
      </c>
      <c r="D110" s="515" t="s">
        <v>1279</v>
      </c>
      <c r="E110" s="516">
        <v>550</v>
      </c>
      <c r="F110" s="515">
        <v>500</v>
      </c>
      <c r="G110" s="518"/>
      <c r="H110" s="517"/>
      <c r="I110" s="514"/>
      <c r="J110" s="527" t="s">
        <v>1308</v>
      </c>
      <c r="K110" s="522" t="s">
        <v>1309</v>
      </c>
    </row>
    <row r="111" spans="1:11" ht="60">
      <c r="A111" s="136">
        <v>100</v>
      </c>
      <c r="B111" s="514" t="s">
        <v>1310</v>
      </c>
      <c r="C111" s="515" t="s">
        <v>1278</v>
      </c>
      <c r="D111" s="515" t="s">
        <v>1279</v>
      </c>
      <c r="E111" s="516">
        <v>867</v>
      </c>
      <c r="F111" s="515">
        <v>500</v>
      </c>
      <c r="G111" s="518"/>
      <c r="H111" s="517"/>
      <c r="I111" s="514"/>
      <c r="J111" s="527" t="s">
        <v>1311</v>
      </c>
      <c r="K111" s="522" t="s">
        <v>1312</v>
      </c>
    </row>
    <row r="112" spans="1:11" ht="30">
      <c r="A112" s="136">
        <v>101</v>
      </c>
      <c r="B112" s="514" t="s">
        <v>1313</v>
      </c>
      <c r="C112" s="515" t="s">
        <v>1278</v>
      </c>
      <c r="D112" s="515" t="s">
        <v>1279</v>
      </c>
      <c r="E112" s="516">
        <v>200</v>
      </c>
      <c r="F112" s="515">
        <v>150</v>
      </c>
      <c r="G112" s="518"/>
      <c r="H112" s="517"/>
      <c r="I112" s="514"/>
      <c r="J112" s="527" t="s">
        <v>1314</v>
      </c>
      <c r="K112" s="522" t="s">
        <v>1315</v>
      </c>
    </row>
    <row r="113" spans="1:11" ht="30">
      <c r="A113" s="136">
        <v>102</v>
      </c>
      <c r="B113" s="514" t="s">
        <v>1316</v>
      </c>
      <c r="C113" s="515" t="s">
        <v>739</v>
      </c>
      <c r="D113" s="515" t="s">
        <v>1279</v>
      </c>
      <c r="E113" s="515"/>
      <c r="F113" s="515">
        <v>200</v>
      </c>
      <c r="G113" s="520"/>
      <c r="H113" s="524"/>
      <c r="I113" s="525"/>
      <c r="J113" s="528">
        <v>205291021</v>
      </c>
      <c r="K113" s="522" t="s">
        <v>1317</v>
      </c>
    </row>
    <row r="114" spans="1:11" ht="15">
      <c r="A114" s="67" t="s">
        <v>280</v>
      </c>
      <c r="B114" s="25"/>
      <c r="C114" s="25"/>
      <c r="D114" s="25"/>
      <c r="E114" s="25"/>
      <c r="F114" s="25"/>
      <c r="G114" s="25"/>
      <c r="H114" s="223"/>
      <c r="I114" s="223"/>
      <c r="J114" s="223"/>
      <c r="K114" s="25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4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 ht="15">
      <c r="A118" s="2"/>
      <c r="B118" s="71" t="s">
        <v>107</v>
      </c>
      <c r="C118" s="2"/>
      <c r="D118" s="2"/>
      <c r="E118" s="5"/>
      <c r="F118" s="2"/>
      <c r="G118" s="2"/>
      <c r="H118" s="2"/>
      <c r="I118" s="2"/>
      <c r="J118" s="2"/>
      <c r="K118" s="2"/>
    </row>
    <row r="119" spans="1:11" ht="15">
      <c r="A119" s="2"/>
      <c r="B119" s="2"/>
      <c r="C119" s="561"/>
      <c r="D119" s="561"/>
      <c r="F119" s="70"/>
      <c r="G119" s="73"/>
    </row>
    <row r="120" spans="1:11" ht="15">
      <c r="B120" s="2"/>
      <c r="C120" s="69" t="s">
        <v>269</v>
      </c>
      <c r="D120" s="2"/>
      <c r="F120" s="12" t="s">
        <v>274</v>
      </c>
    </row>
    <row r="121" spans="1:11" ht="15">
      <c r="B121" s="2"/>
      <c r="C121" s="2"/>
      <c r="D121" s="2"/>
      <c r="F121" s="2" t="s">
        <v>270</v>
      </c>
    </row>
    <row r="122" spans="1:11" ht="15">
      <c r="B122" s="2"/>
      <c r="C122" s="65" t="s">
        <v>140</v>
      </c>
    </row>
  </sheetData>
  <mergeCells count="11">
    <mergeCell ref="C119:D119"/>
    <mergeCell ref="K2:L2"/>
    <mergeCell ref="A17:A18"/>
    <mergeCell ref="B17:B18"/>
    <mergeCell ref="E17:E18"/>
    <mergeCell ref="A20:A21"/>
    <mergeCell ref="B20:B21"/>
    <mergeCell ref="E20:E21"/>
    <mergeCell ref="A37:A38"/>
    <mergeCell ref="B37:B38"/>
    <mergeCell ref="E37:E38"/>
  </mergeCells>
  <pageMargins left="0.17" right="0.17" top="0.75" bottom="0.75" header="0.3" footer="0.3"/>
  <pageSetup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view="pageBreakPreview" zoomScale="70" zoomScaleNormal="100" zoomScaleSheetLayoutView="70" workbookViewId="0">
      <selection activeCell="L2" sqref="L2:M2"/>
    </sheetView>
  </sheetViews>
  <sheetFormatPr defaultRowHeight="12.75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8" t="s">
        <v>110</v>
      </c>
    </row>
    <row r="2" spans="1:13" customFormat="1" ht="15">
      <c r="A2" s="105" t="s">
        <v>141</v>
      </c>
      <c r="B2" s="105"/>
      <c r="C2" s="140"/>
      <c r="D2" s="140"/>
      <c r="E2" s="140"/>
      <c r="F2" s="140"/>
      <c r="G2" s="140"/>
      <c r="H2" s="140"/>
      <c r="I2" s="140"/>
      <c r="J2" s="140"/>
      <c r="K2" s="146"/>
      <c r="L2" s="562" t="s">
        <v>982</v>
      </c>
      <c r="M2" s="562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8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9"/>
      <c r="G4" s="140"/>
      <c r="H4" s="140"/>
      <c r="I4" s="140"/>
      <c r="J4" s="140"/>
      <c r="K4" s="140"/>
      <c r="L4" s="140"/>
    </row>
    <row r="5" spans="1:13" ht="15">
      <c r="A5" s="225" t="s">
        <v>512</v>
      </c>
      <c r="B5" s="225"/>
      <c r="C5" s="80"/>
      <c r="D5" s="80"/>
      <c r="E5" s="80"/>
      <c r="F5" s="226"/>
      <c r="G5" s="227"/>
      <c r="H5" s="227"/>
      <c r="I5" s="227"/>
      <c r="J5" s="227"/>
      <c r="K5" s="227"/>
      <c r="L5" s="226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7">
        <v>1</v>
      </c>
      <c r="B9" s="487" t="s">
        <v>764</v>
      </c>
      <c r="C9" s="488" t="s">
        <v>765</v>
      </c>
      <c r="D9" s="489" t="s">
        <v>766</v>
      </c>
      <c r="E9" s="489" t="s">
        <v>767</v>
      </c>
      <c r="F9" s="490" t="s">
        <v>768</v>
      </c>
      <c r="G9" s="568">
        <v>2150</v>
      </c>
      <c r="H9" s="486"/>
      <c r="I9" s="491"/>
      <c r="J9" s="491"/>
      <c r="K9" s="568">
        <v>438107987</v>
      </c>
      <c r="L9" s="568" t="s">
        <v>769</v>
      </c>
    </row>
    <row r="10" spans="1:13" customFormat="1" ht="15">
      <c r="A10" s="67">
        <v>2</v>
      </c>
      <c r="B10" s="487" t="s">
        <v>764</v>
      </c>
      <c r="C10" s="488" t="s">
        <v>765</v>
      </c>
      <c r="D10" s="489" t="s">
        <v>766</v>
      </c>
      <c r="E10" s="489" t="s">
        <v>770</v>
      </c>
      <c r="F10" s="490" t="s">
        <v>771</v>
      </c>
      <c r="G10" s="569"/>
      <c r="H10" s="486"/>
      <c r="I10" s="491"/>
      <c r="J10" s="491"/>
      <c r="K10" s="569"/>
      <c r="L10" s="569"/>
    </row>
    <row r="11" spans="1:13" customFormat="1" ht="15">
      <c r="A11" s="67">
        <v>3</v>
      </c>
      <c r="B11" s="487" t="s">
        <v>764</v>
      </c>
      <c r="C11" s="488" t="s">
        <v>772</v>
      </c>
      <c r="D11" s="489" t="s">
        <v>766</v>
      </c>
      <c r="E11" s="492" t="s">
        <v>773</v>
      </c>
      <c r="F11" s="493" t="s">
        <v>774</v>
      </c>
      <c r="G11" s="569"/>
      <c r="H11" s="486"/>
      <c r="I11" s="491"/>
      <c r="J11" s="491"/>
      <c r="K11" s="569"/>
      <c r="L11" s="569"/>
    </row>
    <row r="12" spans="1:13" customFormat="1" ht="15">
      <c r="A12" s="67">
        <v>4</v>
      </c>
      <c r="B12" s="487" t="s">
        <v>764</v>
      </c>
      <c r="C12" s="488" t="s">
        <v>772</v>
      </c>
      <c r="D12" s="489" t="s">
        <v>766</v>
      </c>
      <c r="E12" s="492" t="s">
        <v>767</v>
      </c>
      <c r="F12" s="493" t="s">
        <v>775</v>
      </c>
      <c r="G12" s="569"/>
      <c r="H12" s="486"/>
      <c r="I12" s="491"/>
      <c r="J12" s="491"/>
      <c r="K12" s="569"/>
      <c r="L12" s="569"/>
    </row>
    <row r="13" spans="1:13" customFormat="1" ht="15">
      <c r="A13" s="67">
        <v>5</v>
      </c>
      <c r="B13" s="487" t="s">
        <v>764</v>
      </c>
      <c r="C13" s="488" t="s">
        <v>772</v>
      </c>
      <c r="D13" s="489" t="s">
        <v>766</v>
      </c>
      <c r="E13" s="492" t="s">
        <v>770</v>
      </c>
      <c r="F13" s="493" t="s">
        <v>776</v>
      </c>
      <c r="G13" s="569"/>
      <c r="H13" s="486"/>
      <c r="I13" s="491"/>
      <c r="J13" s="491"/>
      <c r="K13" s="569"/>
      <c r="L13" s="569"/>
    </row>
    <row r="14" spans="1:13" customFormat="1" ht="15">
      <c r="A14" s="67">
        <v>6</v>
      </c>
      <c r="B14" s="487" t="s">
        <v>764</v>
      </c>
      <c r="C14" s="488" t="s">
        <v>772</v>
      </c>
      <c r="D14" s="489" t="s">
        <v>766</v>
      </c>
      <c r="E14" s="492" t="s">
        <v>777</v>
      </c>
      <c r="F14" s="493" t="s">
        <v>778</v>
      </c>
      <c r="G14" s="569"/>
      <c r="H14" s="486"/>
      <c r="I14" s="491"/>
      <c r="J14" s="491"/>
      <c r="K14" s="569"/>
      <c r="L14" s="569"/>
    </row>
    <row r="15" spans="1:13" customFormat="1" ht="15">
      <c r="A15" s="67">
        <v>7</v>
      </c>
      <c r="B15" s="487" t="s">
        <v>764</v>
      </c>
      <c r="C15" s="488" t="s">
        <v>772</v>
      </c>
      <c r="D15" s="489" t="s">
        <v>766</v>
      </c>
      <c r="E15" s="492" t="s">
        <v>779</v>
      </c>
      <c r="F15" s="493" t="s">
        <v>780</v>
      </c>
      <c r="G15" s="569"/>
      <c r="H15" s="486"/>
      <c r="I15" s="491"/>
      <c r="J15" s="491"/>
      <c r="K15" s="569"/>
      <c r="L15" s="569"/>
    </row>
    <row r="16" spans="1:13" customFormat="1" ht="15">
      <c r="A16" s="67">
        <v>8</v>
      </c>
      <c r="B16" s="487" t="s">
        <v>764</v>
      </c>
      <c r="C16" s="488" t="s">
        <v>772</v>
      </c>
      <c r="D16" s="489" t="s">
        <v>766</v>
      </c>
      <c r="E16" s="492" t="s">
        <v>781</v>
      </c>
      <c r="F16" s="493" t="s">
        <v>782</v>
      </c>
      <c r="G16" s="569"/>
      <c r="H16" s="486"/>
      <c r="I16" s="491"/>
      <c r="J16" s="491"/>
      <c r="K16" s="569"/>
      <c r="L16" s="569"/>
    </row>
    <row r="17" spans="1:12" customFormat="1" ht="15">
      <c r="A17" s="67">
        <v>9</v>
      </c>
      <c r="B17" s="487" t="s">
        <v>764</v>
      </c>
      <c r="C17" s="488" t="s">
        <v>772</v>
      </c>
      <c r="D17" s="489" t="s">
        <v>766</v>
      </c>
      <c r="E17" s="492" t="s">
        <v>777</v>
      </c>
      <c r="F17" s="493" t="s">
        <v>783</v>
      </c>
      <c r="G17" s="569"/>
      <c r="H17" s="486"/>
      <c r="I17" s="491"/>
      <c r="J17" s="491"/>
      <c r="K17" s="569"/>
      <c r="L17" s="569"/>
    </row>
    <row r="18" spans="1:12" customFormat="1" ht="15">
      <c r="A18" s="67">
        <v>10</v>
      </c>
      <c r="B18" s="487" t="s">
        <v>764</v>
      </c>
      <c r="C18" s="488" t="s">
        <v>772</v>
      </c>
      <c r="D18" s="489" t="s">
        <v>766</v>
      </c>
      <c r="E18" s="492" t="s">
        <v>784</v>
      </c>
      <c r="F18" s="493" t="s">
        <v>785</v>
      </c>
      <c r="G18" s="569"/>
      <c r="H18" s="486"/>
      <c r="I18" s="491"/>
      <c r="J18" s="491"/>
      <c r="K18" s="569"/>
      <c r="L18" s="569"/>
    </row>
    <row r="19" spans="1:12" customFormat="1" ht="15">
      <c r="A19" s="67">
        <v>11</v>
      </c>
      <c r="B19" s="487" t="s">
        <v>764</v>
      </c>
      <c r="C19" s="488" t="s">
        <v>772</v>
      </c>
      <c r="D19" s="489" t="s">
        <v>766</v>
      </c>
      <c r="E19" s="492" t="s">
        <v>784</v>
      </c>
      <c r="F19" s="493" t="s">
        <v>786</v>
      </c>
      <c r="G19" s="569"/>
      <c r="H19" s="486"/>
      <c r="I19" s="491"/>
      <c r="J19" s="491"/>
      <c r="K19" s="569"/>
      <c r="L19" s="569"/>
    </row>
    <row r="20" spans="1:12" customFormat="1" ht="15">
      <c r="A20" s="67">
        <v>12</v>
      </c>
      <c r="B20" s="487" t="s">
        <v>764</v>
      </c>
      <c r="C20" s="488" t="s">
        <v>772</v>
      </c>
      <c r="D20" s="489" t="s">
        <v>766</v>
      </c>
      <c r="E20" s="492" t="s">
        <v>784</v>
      </c>
      <c r="F20" s="493" t="s">
        <v>787</v>
      </c>
      <c r="G20" s="569"/>
      <c r="H20" s="486"/>
      <c r="I20" s="491"/>
      <c r="J20" s="491"/>
      <c r="K20" s="569"/>
      <c r="L20" s="569"/>
    </row>
    <row r="21" spans="1:12" customFormat="1" ht="15">
      <c r="A21" s="67">
        <v>13</v>
      </c>
      <c r="B21" s="487" t="s">
        <v>764</v>
      </c>
      <c r="C21" s="488" t="s">
        <v>772</v>
      </c>
      <c r="D21" s="489" t="s">
        <v>766</v>
      </c>
      <c r="E21" s="492" t="s">
        <v>773</v>
      </c>
      <c r="F21" s="493" t="s">
        <v>788</v>
      </c>
      <c r="G21" s="569"/>
      <c r="H21" s="486"/>
      <c r="I21" s="491"/>
      <c r="J21" s="491"/>
      <c r="K21" s="569"/>
      <c r="L21" s="569"/>
    </row>
    <row r="22" spans="1:12" customFormat="1" ht="15">
      <c r="A22" s="67">
        <v>14</v>
      </c>
      <c r="B22" s="487" t="s">
        <v>764</v>
      </c>
      <c r="C22" s="488" t="s">
        <v>789</v>
      </c>
      <c r="D22" s="489" t="s">
        <v>790</v>
      </c>
      <c r="E22" s="492" t="s">
        <v>791</v>
      </c>
      <c r="F22" s="493" t="s">
        <v>792</v>
      </c>
      <c r="G22" s="569"/>
      <c r="H22" s="486"/>
      <c r="I22" s="491"/>
      <c r="J22" s="491"/>
      <c r="K22" s="569"/>
      <c r="L22" s="569"/>
    </row>
    <row r="23" spans="1:12" customFormat="1" ht="15">
      <c r="A23" s="67">
        <v>15</v>
      </c>
      <c r="B23" s="487" t="s">
        <v>764</v>
      </c>
      <c r="C23" s="488" t="s">
        <v>789</v>
      </c>
      <c r="D23" s="489" t="s">
        <v>790</v>
      </c>
      <c r="E23" s="492" t="s">
        <v>791</v>
      </c>
      <c r="F23" s="493" t="s">
        <v>793</v>
      </c>
      <c r="G23" s="569"/>
      <c r="H23" s="486"/>
      <c r="I23" s="491"/>
      <c r="J23" s="491"/>
      <c r="K23" s="569"/>
      <c r="L23" s="569"/>
    </row>
    <row r="24" spans="1:12" customFormat="1" ht="15">
      <c r="A24" s="67">
        <v>16</v>
      </c>
      <c r="B24" s="487" t="s">
        <v>764</v>
      </c>
      <c r="C24" s="488" t="s">
        <v>789</v>
      </c>
      <c r="D24" s="489" t="s">
        <v>790</v>
      </c>
      <c r="E24" s="492" t="s">
        <v>794</v>
      </c>
      <c r="F24" s="493" t="s">
        <v>795</v>
      </c>
      <c r="G24" s="569"/>
      <c r="H24" s="486"/>
      <c r="I24" s="491"/>
      <c r="J24" s="491"/>
      <c r="K24" s="569"/>
      <c r="L24" s="569"/>
    </row>
    <row r="25" spans="1:12" customFormat="1" ht="15">
      <c r="A25" s="67">
        <v>17</v>
      </c>
      <c r="B25" s="487" t="s">
        <v>764</v>
      </c>
      <c r="C25" s="488" t="s">
        <v>789</v>
      </c>
      <c r="D25" s="489" t="s">
        <v>790</v>
      </c>
      <c r="E25" s="492" t="s">
        <v>796</v>
      </c>
      <c r="F25" s="493" t="s">
        <v>797</v>
      </c>
      <c r="G25" s="569"/>
      <c r="H25" s="486"/>
      <c r="I25" s="491"/>
      <c r="J25" s="491"/>
      <c r="K25" s="569"/>
      <c r="L25" s="569"/>
    </row>
    <row r="26" spans="1:12" customFormat="1" ht="15">
      <c r="A26" s="67">
        <v>18</v>
      </c>
      <c r="B26" s="487" t="s">
        <v>764</v>
      </c>
      <c r="C26" s="488" t="s">
        <v>772</v>
      </c>
      <c r="D26" s="489" t="s">
        <v>766</v>
      </c>
      <c r="E26" s="489" t="s">
        <v>773</v>
      </c>
      <c r="F26" s="493" t="s">
        <v>798</v>
      </c>
      <c r="G26" s="570"/>
      <c r="H26" s="486"/>
      <c r="I26" s="491"/>
      <c r="J26" s="491"/>
      <c r="K26" s="570"/>
      <c r="L26" s="570"/>
    </row>
    <row r="27" spans="1:12" customFormat="1" ht="15">
      <c r="A27" s="67">
        <v>19</v>
      </c>
      <c r="B27" s="487" t="s">
        <v>799</v>
      </c>
      <c r="C27" s="488" t="s">
        <v>800</v>
      </c>
      <c r="D27" s="489" t="s">
        <v>801</v>
      </c>
      <c r="E27" s="489" t="s">
        <v>791</v>
      </c>
      <c r="F27" s="493" t="s">
        <v>802</v>
      </c>
      <c r="G27" s="494">
        <v>264</v>
      </c>
      <c r="H27" s="486"/>
      <c r="I27" s="491"/>
      <c r="J27" s="491"/>
      <c r="K27" s="495" t="s">
        <v>803</v>
      </c>
      <c r="L27" s="494" t="s">
        <v>804</v>
      </c>
    </row>
    <row r="28" spans="1:12" customFormat="1" ht="15">
      <c r="A28" s="67">
        <v>20</v>
      </c>
      <c r="B28" s="487" t="s">
        <v>799</v>
      </c>
      <c r="C28" s="488" t="s">
        <v>805</v>
      </c>
      <c r="D28" s="489" t="s">
        <v>806</v>
      </c>
      <c r="E28" s="489" t="s">
        <v>767</v>
      </c>
      <c r="F28" s="493" t="s">
        <v>807</v>
      </c>
      <c r="G28" s="494">
        <v>312.5</v>
      </c>
      <c r="H28" s="486"/>
      <c r="I28" s="491"/>
      <c r="J28" s="491"/>
      <c r="K28" s="494">
        <v>36001011283</v>
      </c>
      <c r="L28" s="494" t="s">
        <v>808</v>
      </c>
    </row>
    <row r="29" spans="1:12" customFormat="1" ht="15">
      <c r="A29" s="67"/>
      <c r="B29" s="67"/>
      <c r="C29" s="25"/>
      <c r="D29" s="25"/>
      <c r="E29" s="25"/>
      <c r="F29" s="25"/>
      <c r="G29" s="25"/>
      <c r="H29" s="25"/>
      <c r="I29" s="223"/>
      <c r="J29" s="223"/>
      <c r="K29" s="223"/>
      <c r="L29" s="25"/>
    </row>
    <row r="30" spans="1:12" customFormat="1" ht="15">
      <c r="A30" s="67"/>
      <c r="B30" s="67"/>
      <c r="C30" s="25"/>
      <c r="D30" s="25"/>
      <c r="E30" s="25"/>
      <c r="F30" s="25"/>
      <c r="G30" s="25"/>
      <c r="H30" s="25"/>
      <c r="I30" s="223"/>
      <c r="J30" s="223"/>
      <c r="K30" s="223"/>
      <c r="L30" s="25"/>
    </row>
    <row r="31" spans="1:12" customFormat="1" ht="15">
      <c r="A31" s="67" t="s">
        <v>280</v>
      </c>
      <c r="B31" s="67"/>
      <c r="C31" s="25"/>
      <c r="D31" s="25"/>
      <c r="E31" s="25"/>
      <c r="F31" s="25"/>
      <c r="G31" s="25"/>
      <c r="H31" s="25"/>
      <c r="I31" s="223"/>
      <c r="J31" s="223"/>
      <c r="K31" s="223"/>
      <c r="L31" s="25"/>
    </row>
    <row r="32" spans="1:12">
      <c r="A32" s="228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</row>
    <row r="33" spans="1:12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</row>
    <row r="34" spans="1:12">
      <c r="A34" s="229"/>
      <c r="B34" s="229"/>
      <c r="C34" s="228"/>
      <c r="D34" s="228"/>
      <c r="E34" s="228"/>
      <c r="F34" s="228"/>
      <c r="G34" s="228"/>
      <c r="H34" s="228"/>
      <c r="I34" s="228"/>
      <c r="J34" s="228"/>
      <c r="K34" s="228"/>
      <c r="L34" s="228"/>
    </row>
    <row r="35" spans="1:12" ht="15">
      <c r="A35" s="187"/>
      <c r="B35" s="187"/>
      <c r="C35" s="189" t="s">
        <v>107</v>
      </c>
      <c r="D35" s="187"/>
      <c r="E35" s="187"/>
      <c r="F35" s="190"/>
      <c r="G35" s="187"/>
      <c r="H35" s="187"/>
      <c r="I35" s="187"/>
      <c r="J35" s="187"/>
      <c r="K35" s="187"/>
      <c r="L35" s="187"/>
    </row>
    <row r="36" spans="1:12" ht="15">
      <c r="A36" s="187"/>
      <c r="B36" s="187"/>
      <c r="C36" s="187"/>
      <c r="D36" s="191"/>
      <c r="E36" s="187"/>
      <c r="G36" s="191"/>
      <c r="H36" s="234"/>
    </row>
    <row r="37" spans="1:12" ht="15">
      <c r="C37" s="187"/>
      <c r="D37" s="193" t="s">
        <v>269</v>
      </c>
      <c r="E37" s="187"/>
      <c r="G37" s="194" t="s">
        <v>274</v>
      </c>
    </row>
    <row r="38" spans="1:12" ht="15">
      <c r="C38" s="187"/>
      <c r="D38" s="195" t="s">
        <v>140</v>
      </c>
      <c r="E38" s="187"/>
      <c r="G38" s="187" t="s">
        <v>270</v>
      </c>
    </row>
    <row r="39" spans="1:12" ht="15">
      <c r="C39" s="187"/>
      <c r="D39" s="195"/>
    </row>
  </sheetData>
  <mergeCells count="4">
    <mergeCell ref="L2:M2"/>
    <mergeCell ref="G9:G26"/>
    <mergeCell ref="K9:K26"/>
    <mergeCell ref="L9:L26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9" t="s">
        <v>466</v>
      </c>
      <c r="B1" s="140"/>
      <c r="C1" s="140"/>
      <c r="D1" s="140"/>
      <c r="E1" s="140"/>
      <c r="F1" s="140"/>
      <c r="G1" s="140"/>
      <c r="H1" s="146"/>
      <c r="I1" s="78" t="s">
        <v>110</v>
      </c>
    </row>
    <row r="2" spans="1:13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562" t="s">
        <v>982</v>
      </c>
      <c r="J2" s="562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8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40"/>
      <c r="E4" s="140"/>
      <c r="F4" s="140"/>
      <c r="G4" s="140"/>
      <c r="H4" s="140"/>
      <c r="I4" s="149"/>
    </row>
    <row r="5" spans="1:13" ht="15">
      <c r="A5" s="225" t="s">
        <v>512</v>
      </c>
      <c r="B5" s="80"/>
      <c r="C5" s="80"/>
      <c r="D5" s="227"/>
      <c r="E5" s="227"/>
      <c r="F5" s="227"/>
      <c r="G5" s="227"/>
      <c r="H5" s="227"/>
      <c r="I5" s="226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7">
        <v>1</v>
      </c>
      <c r="B9" s="25"/>
      <c r="C9" s="25"/>
      <c r="D9" s="25"/>
      <c r="E9" s="25"/>
      <c r="F9" s="223"/>
      <c r="G9" s="223"/>
      <c r="H9" s="223"/>
      <c r="I9" s="25"/>
    </row>
    <row r="10" spans="1:13" customFormat="1" ht="15">
      <c r="A10" s="67">
        <v>2</v>
      </c>
      <c r="B10" s="25"/>
      <c r="C10" s="25"/>
      <c r="D10" s="25"/>
      <c r="E10" s="25"/>
      <c r="F10" s="223"/>
      <c r="G10" s="223"/>
      <c r="H10" s="223"/>
      <c r="I10" s="25"/>
    </row>
    <row r="11" spans="1:13" customFormat="1" ht="15">
      <c r="A11" s="67">
        <v>3</v>
      </c>
      <c r="B11" s="25"/>
      <c r="C11" s="25"/>
      <c r="D11" s="25"/>
      <c r="E11" s="25"/>
      <c r="F11" s="223"/>
      <c r="G11" s="223"/>
      <c r="H11" s="223"/>
      <c r="I11" s="25"/>
    </row>
    <row r="12" spans="1:13" customFormat="1" ht="15">
      <c r="A12" s="67">
        <v>4</v>
      </c>
      <c r="B12" s="25"/>
      <c r="C12" s="25"/>
      <c r="D12" s="25"/>
      <c r="E12" s="25"/>
      <c r="F12" s="223"/>
      <c r="G12" s="223"/>
      <c r="H12" s="223"/>
      <c r="I12" s="25"/>
    </row>
    <row r="13" spans="1:13" customFormat="1" ht="15">
      <c r="A13" s="67">
        <v>5</v>
      </c>
      <c r="B13" s="25"/>
      <c r="C13" s="25"/>
      <c r="D13" s="25"/>
      <c r="E13" s="25"/>
      <c r="F13" s="223"/>
      <c r="G13" s="223"/>
      <c r="H13" s="223"/>
      <c r="I13" s="25"/>
    </row>
    <row r="14" spans="1:13" customFormat="1" ht="15">
      <c r="A14" s="67">
        <v>6</v>
      </c>
      <c r="B14" s="25"/>
      <c r="C14" s="25"/>
      <c r="D14" s="25"/>
      <c r="E14" s="25"/>
      <c r="F14" s="223"/>
      <c r="G14" s="223"/>
      <c r="H14" s="223"/>
      <c r="I14" s="25"/>
    </row>
    <row r="15" spans="1:13" customFormat="1" ht="15">
      <c r="A15" s="67">
        <v>7</v>
      </c>
      <c r="B15" s="25"/>
      <c r="C15" s="25"/>
      <c r="D15" s="25"/>
      <c r="E15" s="25"/>
      <c r="F15" s="223"/>
      <c r="G15" s="223"/>
      <c r="H15" s="223"/>
      <c r="I15" s="25"/>
    </row>
    <row r="16" spans="1:13" customFormat="1" ht="15">
      <c r="A16" s="67">
        <v>8</v>
      </c>
      <c r="B16" s="25"/>
      <c r="C16" s="25"/>
      <c r="D16" s="25"/>
      <c r="E16" s="25"/>
      <c r="F16" s="223"/>
      <c r="G16" s="223"/>
      <c r="H16" s="223"/>
      <c r="I16" s="25"/>
    </row>
    <row r="17" spans="1:9" customFormat="1" ht="15">
      <c r="A17" s="67">
        <v>9</v>
      </c>
      <c r="B17" s="25"/>
      <c r="C17" s="25"/>
      <c r="D17" s="25"/>
      <c r="E17" s="25"/>
      <c r="F17" s="223"/>
      <c r="G17" s="223"/>
      <c r="H17" s="223"/>
      <c r="I17" s="25"/>
    </row>
    <row r="18" spans="1:9" customFormat="1" ht="15">
      <c r="A18" s="67">
        <v>10</v>
      </c>
      <c r="B18" s="25"/>
      <c r="C18" s="25"/>
      <c r="D18" s="25"/>
      <c r="E18" s="25"/>
      <c r="F18" s="223"/>
      <c r="G18" s="223"/>
      <c r="H18" s="223"/>
      <c r="I18" s="25"/>
    </row>
    <row r="19" spans="1:9" customFormat="1" ht="15">
      <c r="A19" s="67">
        <v>11</v>
      </c>
      <c r="B19" s="25"/>
      <c r="C19" s="25"/>
      <c r="D19" s="25"/>
      <c r="E19" s="25"/>
      <c r="F19" s="223"/>
      <c r="G19" s="223"/>
      <c r="H19" s="223"/>
      <c r="I19" s="25"/>
    </row>
    <row r="20" spans="1:9" customFormat="1" ht="15">
      <c r="A20" s="67">
        <v>12</v>
      </c>
      <c r="B20" s="25"/>
      <c r="C20" s="25"/>
      <c r="D20" s="25"/>
      <c r="E20" s="25"/>
      <c r="F20" s="223"/>
      <c r="G20" s="223"/>
      <c r="H20" s="223"/>
      <c r="I20" s="25"/>
    </row>
    <row r="21" spans="1:9" customFormat="1" ht="15">
      <c r="A21" s="67">
        <v>13</v>
      </c>
      <c r="B21" s="25"/>
      <c r="C21" s="25"/>
      <c r="D21" s="25"/>
      <c r="E21" s="25"/>
      <c r="F21" s="223"/>
      <c r="G21" s="223"/>
      <c r="H21" s="223"/>
      <c r="I21" s="25"/>
    </row>
    <row r="22" spans="1:9" customFormat="1" ht="15">
      <c r="A22" s="67">
        <v>14</v>
      </c>
      <c r="B22" s="25"/>
      <c r="C22" s="25"/>
      <c r="D22" s="25"/>
      <c r="E22" s="25"/>
      <c r="F22" s="223"/>
      <c r="G22" s="223"/>
      <c r="H22" s="223"/>
      <c r="I22" s="25"/>
    </row>
    <row r="23" spans="1:9" customFormat="1" ht="15">
      <c r="A23" s="67">
        <v>15</v>
      </c>
      <c r="B23" s="25"/>
      <c r="C23" s="25"/>
      <c r="D23" s="25"/>
      <c r="E23" s="25"/>
      <c r="F23" s="223"/>
      <c r="G23" s="223"/>
      <c r="H23" s="223"/>
      <c r="I23" s="25"/>
    </row>
    <row r="24" spans="1:9" customFormat="1" ht="15">
      <c r="A24" s="67">
        <v>16</v>
      </c>
      <c r="B24" s="25"/>
      <c r="C24" s="25"/>
      <c r="D24" s="25"/>
      <c r="E24" s="25"/>
      <c r="F24" s="223"/>
      <c r="G24" s="223"/>
      <c r="H24" s="223"/>
      <c r="I24" s="25"/>
    </row>
    <row r="25" spans="1:9" customFormat="1" ht="15">
      <c r="A25" s="67">
        <v>17</v>
      </c>
      <c r="B25" s="25"/>
      <c r="C25" s="25"/>
      <c r="D25" s="25"/>
      <c r="E25" s="25"/>
      <c r="F25" s="223"/>
      <c r="G25" s="223"/>
      <c r="H25" s="223"/>
      <c r="I25" s="25"/>
    </row>
    <row r="26" spans="1:9" customFormat="1" ht="15">
      <c r="A26" s="67">
        <v>18</v>
      </c>
      <c r="B26" s="25"/>
      <c r="C26" s="25"/>
      <c r="D26" s="25"/>
      <c r="E26" s="25"/>
      <c r="F26" s="223"/>
      <c r="G26" s="223"/>
      <c r="H26" s="223"/>
      <c r="I26" s="25"/>
    </row>
    <row r="27" spans="1:9" customFormat="1" ht="15">
      <c r="A27" s="67" t="s">
        <v>280</v>
      </c>
      <c r="B27" s="25"/>
      <c r="C27" s="25"/>
      <c r="D27" s="25"/>
      <c r="E27" s="25"/>
      <c r="F27" s="223"/>
      <c r="G27" s="223"/>
      <c r="H27" s="223"/>
      <c r="I27" s="25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4"/>
    </row>
    <row r="33" spans="2:6" ht="15">
      <c r="B33" s="187"/>
      <c r="C33" s="193" t="s">
        <v>269</v>
      </c>
      <c r="D33" s="187"/>
      <c r="F33" s="194" t="s">
        <v>274</v>
      </c>
    </row>
    <row r="34" spans="2:6" ht="15">
      <c r="B34" s="187"/>
      <c r="C34" s="195" t="s">
        <v>140</v>
      </c>
      <c r="D34" s="187"/>
      <c r="F34" s="187" t="s">
        <v>270</v>
      </c>
    </row>
    <row r="35" spans="2:6" ht="15">
      <c r="B35" s="187"/>
      <c r="C35" s="195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09"/>
  <sheetViews>
    <sheetView view="pageBreakPreview" topLeftCell="A82" zoomScale="70" zoomScaleNormal="100" zoomScaleSheetLayoutView="70" workbookViewId="0">
      <selection activeCell="I2" sqref="I2:J2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4" t="s">
        <v>407</v>
      </c>
      <c r="B1" s="76"/>
      <c r="C1" s="76"/>
      <c r="D1" s="76"/>
      <c r="E1" s="76"/>
      <c r="F1" s="76"/>
      <c r="G1" s="76"/>
      <c r="H1" s="76"/>
      <c r="I1" s="167" t="s">
        <v>199</v>
      </c>
      <c r="J1" s="168"/>
    </row>
    <row r="2" spans="1:10">
      <c r="A2" s="76" t="s">
        <v>141</v>
      </c>
      <c r="B2" s="76"/>
      <c r="C2" s="76"/>
      <c r="D2" s="76"/>
      <c r="E2" s="76"/>
      <c r="F2" s="76"/>
      <c r="G2" s="76"/>
      <c r="H2" s="76"/>
      <c r="I2" s="562" t="s">
        <v>982</v>
      </c>
      <c r="J2" s="562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8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5" t="s">
        <v>512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9" t="s">
        <v>64</v>
      </c>
      <c r="B8" s="169" t="s">
        <v>379</v>
      </c>
      <c r="C8" s="170" t="s">
        <v>441</v>
      </c>
      <c r="D8" s="170" t="s">
        <v>442</v>
      </c>
      <c r="E8" s="170" t="s">
        <v>380</v>
      </c>
      <c r="F8" s="170" t="s">
        <v>399</v>
      </c>
      <c r="G8" s="170" t="s">
        <v>400</v>
      </c>
      <c r="H8" s="170" t="s">
        <v>446</v>
      </c>
      <c r="I8" s="170" t="s">
        <v>401</v>
      </c>
      <c r="J8" s="105"/>
    </row>
    <row r="9" spans="1:10" ht="63.75" customHeight="1">
      <c r="A9" s="169">
        <v>1</v>
      </c>
      <c r="B9" s="496">
        <v>41759</v>
      </c>
      <c r="C9" s="497" t="s">
        <v>809</v>
      </c>
      <c r="D9" s="498">
        <v>205283637</v>
      </c>
      <c r="E9" s="499" t="s">
        <v>810</v>
      </c>
      <c r="F9" s="499">
        <v>84312.34</v>
      </c>
      <c r="G9" s="499">
        <v>84312.34</v>
      </c>
      <c r="H9" s="499">
        <v>0</v>
      </c>
      <c r="I9" s="499">
        <v>84312.34</v>
      </c>
      <c r="J9" s="105"/>
    </row>
    <row r="10" spans="1:10" ht="63.75" customHeight="1">
      <c r="A10" s="169">
        <v>2</v>
      </c>
      <c r="B10" s="496">
        <v>41131</v>
      </c>
      <c r="C10" s="497" t="s">
        <v>811</v>
      </c>
      <c r="D10" s="498"/>
      <c r="E10" s="499" t="s">
        <v>812</v>
      </c>
      <c r="F10" s="499">
        <v>41437.199999999997</v>
      </c>
      <c r="G10" s="499">
        <v>41437.199999999997</v>
      </c>
      <c r="H10" s="500">
        <v>0</v>
      </c>
      <c r="I10" s="499">
        <v>41437.199999999997</v>
      </c>
      <c r="J10" s="105"/>
    </row>
    <row r="11" spans="1:10" ht="63.75" customHeight="1">
      <c r="A11" s="169">
        <v>3</v>
      </c>
      <c r="B11" s="496">
        <v>41139</v>
      </c>
      <c r="C11" s="497" t="s">
        <v>813</v>
      </c>
      <c r="D11" s="498">
        <v>205282905</v>
      </c>
      <c r="E11" s="501" t="s">
        <v>814</v>
      </c>
      <c r="F11" s="499">
        <v>141390</v>
      </c>
      <c r="G11" s="499">
        <v>141390</v>
      </c>
      <c r="H11" s="500">
        <v>0</v>
      </c>
      <c r="I11" s="499">
        <v>141390</v>
      </c>
      <c r="J11" s="105"/>
    </row>
    <row r="12" spans="1:10" ht="63.75" customHeight="1">
      <c r="A12" s="169">
        <v>4</v>
      </c>
      <c r="B12" s="496">
        <v>41084</v>
      </c>
      <c r="C12" s="497" t="s">
        <v>815</v>
      </c>
      <c r="D12" s="498">
        <v>60001104537</v>
      </c>
      <c r="E12" s="499" t="s">
        <v>816</v>
      </c>
      <c r="F12" s="502">
        <v>162.5</v>
      </c>
      <c r="G12" s="502">
        <v>162.5</v>
      </c>
      <c r="H12" s="500">
        <v>0</v>
      </c>
      <c r="I12" s="502">
        <v>162.5</v>
      </c>
      <c r="J12" s="105"/>
    </row>
    <row r="13" spans="1:10" ht="63.75" customHeight="1">
      <c r="A13" s="169">
        <v>5</v>
      </c>
      <c r="B13" s="496">
        <v>41083</v>
      </c>
      <c r="C13" s="497" t="s">
        <v>817</v>
      </c>
      <c r="D13" s="498">
        <v>16001002430</v>
      </c>
      <c r="E13" s="499" t="s">
        <v>816</v>
      </c>
      <c r="F13" s="502">
        <v>100</v>
      </c>
      <c r="G13" s="502">
        <v>100</v>
      </c>
      <c r="H13" s="500">
        <v>0</v>
      </c>
      <c r="I13" s="502">
        <v>100</v>
      </c>
      <c r="J13" s="105"/>
    </row>
    <row r="14" spans="1:10" ht="63.75" customHeight="1">
      <c r="A14" s="169">
        <v>6</v>
      </c>
      <c r="B14" s="496">
        <v>41083</v>
      </c>
      <c r="C14" s="497" t="s">
        <v>818</v>
      </c>
      <c r="D14" s="498">
        <v>16201033680</v>
      </c>
      <c r="E14" s="499" t="s">
        <v>816</v>
      </c>
      <c r="F14" s="502">
        <v>100</v>
      </c>
      <c r="G14" s="502">
        <v>100</v>
      </c>
      <c r="H14" s="500">
        <v>0</v>
      </c>
      <c r="I14" s="502">
        <v>100</v>
      </c>
      <c r="J14" s="105"/>
    </row>
    <row r="15" spans="1:10" ht="63.75" customHeight="1">
      <c r="A15" s="169">
        <v>7</v>
      </c>
      <c r="B15" s="496">
        <v>41084</v>
      </c>
      <c r="C15" s="497" t="s">
        <v>819</v>
      </c>
      <c r="D15" s="498">
        <v>61006053900</v>
      </c>
      <c r="E15" s="499" t="s">
        <v>816</v>
      </c>
      <c r="F15" s="502">
        <v>162.5</v>
      </c>
      <c r="G15" s="502">
        <v>162.5</v>
      </c>
      <c r="H15" s="503">
        <v>0</v>
      </c>
      <c r="I15" s="502">
        <v>162.5</v>
      </c>
      <c r="J15" s="105"/>
    </row>
    <row r="16" spans="1:10" ht="63.75" customHeight="1">
      <c r="A16" s="169">
        <v>8</v>
      </c>
      <c r="B16" s="496">
        <v>41083</v>
      </c>
      <c r="C16" s="497" t="s">
        <v>820</v>
      </c>
      <c r="D16" s="498">
        <v>61008001136</v>
      </c>
      <c r="E16" s="499" t="s">
        <v>816</v>
      </c>
      <c r="F16" s="502">
        <v>125</v>
      </c>
      <c r="G16" s="502">
        <v>125</v>
      </c>
      <c r="H16" s="500">
        <v>0</v>
      </c>
      <c r="I16" s="502">
        <v>125</v>
      </c>
      <c r="J16" s="105"/>
    </row>
    <row r="17" spans="1:10" ht="63.75" customHeight="1">
      <c r="A17" s="169">
        <v>9</v>
      </c>
      <c r="B17" s="496">
        <v>41084</v>
      </c>
      <c r="C17" s="497" t="s">
        <v>821</v>
      </c>
      <c r="D17" s="498">
        <v>61006068519</v>
      </c>
      <c r="E17" s="499" t="s">
        <v>816</v>
      </c>
      <c r="F17" s="502">
        <v>162.5</v>
      </c>
      <c r="G17" s="502">
        <v>162.5</v>
      </c>
      <c r="H17" s="500">
        <v>0</v>
      </c>
      <c r="I17" s="502">
        <v>162.5</v>
      </c>
      <c r="J17" s="105"/>
    </row>
    <row r="18" spans="1:10" ht="63.75" customHeight="1">
      <c r="A18" s="169">
        <v>10</v>
      </c>
      <c r="B18" s="496">
        <v>41083</v>
      </c>
      <c r="C18" s="497" t="s">
        <v>822</v>
      </c>
      <c r="D18" s="498">
        <v>61008001937</v>
      </c>
      <c r="E18" s="499" t="s">
        <v>816</v>
      </c>
      <c r="F18" s="502">
        <v>162.5</v>
      </c>
      <c r="G18" s="502">
        <v>162.5</v>
      </c>
      <c r="H18" s="503">
        <v>0</v>
      </c>
      <c r="I18" s="502">
        <v>162.5</v>
      </c>
      <c r="J18" s="105"/>
    </row>
    <row r="19" spans="1:10" ht="63.75" customHeight="1">
      <c r="A19" s="169">
        <v>11</v>
      </c>
      <c r="B19" s="496">
        <v>41084</v>
      </c>
      <c r="C19" s="497" t="s">
        <v>823</v>
      </c>
      <c r="D19" s="498">
        <v>61006047190</v>
      </c>
      <c r="E19" s="499" t="s">
        <v>816</v>
      </c>
      <c r="F19" s="502">
        <v>162.5</v>
      </c>
      <c r="G19" s="502">
        <v>162.5</v>
      </c>
      <c r="H19" s="500">
        <v>0</v>
      </c>
      <c r="I19" s="502">
        <v>162.5</v>
      </c>
      <c r="J19" s="105"/>
    </row>
    <row r="20" spans="1:10" ht="63.75" customHeight="1">
      <c r="A20" s="169">
        <v>12</v>
      </c>
      <c r="B20" s="496">
        <v>41083</v>
      </c>
      <c r="C20" s="497" t="s">
        <v>824</v>
      </c>
      <c r="D20" s="498">
        <v>61006053166</v>
      </c>
      <c r="E20" s="499" t="s">
        <v>816</v>
      </c>
      <c r="F20" s="502">
        <v>162.5</v>
      </c>
      <c r="G20" s="502">
        <v>162.5</v>
      </c>
      <c r="H20" s="500">
        <v>0</v>
      </c>
      <c r="I20" s="502">
        <v>162.5</v>
      </c>
      <c r="J20" s="105"/>
    </row>
    <row r="21" spans="1:10" ht="63.75" customHeight="1">
      <c r="A21" s="169">
        <v>13</v>
      </c>
      <c r="B21" s="496">
        <v>41084</v>
      </c>
      <c r="C21" s="497" t="s">
        <v>825</v>
      </c>
      <c r="D21" s="498" t="s">
        <v>826</v>
      </c>
      <c r="E21" s="499" t="s">
        <v>816</v>
      </c>
      <c r="F21" s="502">
        <v>125</v>
      </c>
      <c r="G21" s="502">
        <v>125</v>
      </c>
      <c r="H21" s="500">
        <v>0</v>
      </c>
      <c r="I21" s="502">
        <v>125</v>
      </c>
      <c r="J21" s="105"/>
    </row>
    <row r="22" spans="1:10" ht="63.75" customHeight="1">
      <c r="A22" s="169">
        <v>14</v>
      </c>
      <c r="B22" s="496">
        <v>41084</v>
      </c>
      <c r="C22" s="497" t="s">
        <v>827</v>
      </c>
      <c r="D22" s="498" t="s">
        <v>828</v>
      </c>
      <c r="E22" s="499" t="s">
        <v>816</v>
      </c>
      <c r="F22" s="502">
        <v>162.5</v>
      </c>
      <c r="G22" s="502">
        <v>162.5</v>
      </c>
      <c r="H22" s="500">
        <v>0</v>
      </c>
      <c r="I22" s="502">
        <v>162.5</v>
      </c>
      <c r="J22" s="105"/>
    </row>
    <row r="23" spans="1:10" ht="63.75" customHeight="1">
      <c r="A23" s="169">
        <v>15</v>
      </c>
      <c r="B23" s="496">
        <v>41084</v>
      </c>
      <c r="C23" s="497" t="s">
        <v>829</v>
      </c>
      <c r="D23" s="498" t="s">
        <v>830</v>
      </c>
      <c r="E23" s="499" t="s">
        <v>816</v>
      </c>
      <c r="F23" s="502">
        <v>162.5</v>
      </c>
      <c r="G23" s="502">
        <v>162.5</v>
      </c>
      <c r="H23" s="500">
        <v>0</v>
      </c>
      <c r="I23" s="502">
        <v>162.5</v>
      </c>
      <c r="J23" s="105"/>
    </row>
    <row r="24" spans="1:10" ht="63.75" customHeight="1">
      <c r="A24" s="169">
        <v>16</v>
      </c>
      <c r="B24" s="496">
        <v>41083</v>
      </c>
      <c r="C24" s="497" t="s">
        <v>831</v>
      </c>
      <c r="D24" s="498" t="s">
        <v>832</v>
      </c>
      <c r="E24" s="499" t="s">
        <v>816</v>
      </c>
      <c r="F24" s="502">
        <v>100</v>
      </c>
      <c r="G24" s="502">
        <v>100</v>
      </c>
      <c r="H24" s="500">
        <v>0</v>
      </c>
      <c r="I24" s="502">
        <v>100</v>
      </c>
      <c r="J24" s="105"/>
    </row>
    <row r="25" spans="1:10" ht="63.75" customHeight="1">
      <c r="A25" s="169">
        <v>17</v>
      </c>
      <c r="B25" s="496">
        <v>41083</v>
      </c>
      <c r="C25" s="497" t="s">
        <v>833</v>
      </c>
      <c r="D25" s="498" t="s">
        <v>834</v>
      </c>
      <c r="E25" s="499" t="s">
        <v>816</v>
      </c>
      <c r="F25" s="502">
        <v>162.5</v>
      </c>
      <c r="G25" s="502">
        <v>162.5</v>
      </c>
      <c r="H25" s="503">
        <v>0</v>
      </c>
      <c r="I25" s="502">
        <v>162.5</v>
      </c>
      <c r="J25" s="105"/>
    </row>
    <row r="26" spans="1:10" ht="63.75" customHeight="1">
      <c r="A26" s="169">
        <v>18</v>
      </c>
      <c r="B26" s="496">
        <v>41085</v>
      </c>
      <c r="C26" s="497" t="s">
        <v>835</v>
      </c>
      <c r="D26" s="498" t="s">
        <v>836</v>
      </c>
      <c r="E26" s="499" t="s">
        <v>816</v>
      </c>
      <c r="F26" s="502">
        <v>100</v>
      </c>
      <c r="G26" s="502">
        <v>100</v>
      </c>
      <c r="H26" s="503">
        <v>0</v>
      </c>
      <c r="I26" s="502">
        <v>100</v>
      </c>
      <c r="J26" s="105"/>
    </row>
    <row r="27" spans="1:10" ht="63.75" customHeight="1">
      <c r="A27" s="169">
        <v>19</v>
      </c>
      <c r="B27" s="496">
        <v>41088</v>
      </c>
      <c r="C27" s="497" t="s">
        <v>837</v>
      </c>
      <c r="D27" s="498" t="s">
        <v>838</v>
      </c>
      <c r="E27" s="499" t="s">
        <v>816</v>
      </c>
      <c r="F27" s="502">
        <v>100</v>
      </c>
      <c r="G27" s="502">
        <v>100</v>
      </c>
      <c r="H27" s="503">
        <v>0</v>
      </c>
      <c r="I27" s="502">
        <v>100</v>
      </c>
      <c r="J27" s="105"/>
    </row>
    <row r="28" spans="1:10" ht="63.75" customHeight="1">
      <c r="A28" s="169">
        <v>20</v>
      </c>
      <c r="B28" s="496">
        <v>41083</v>
      </c>
      <c r="C28" s="497" t="s">
        <v>839</v>
      </c>
      <c r="D28" s="498" t="s">
        <v>840</v>
      </c>
      <c r="E28" s="499" t="s">
        <v>816</v>
      </c>
      <c r="F28" s="502">
        <v>162.5</v>
      </c>
      <c r="G28" s="502">
        <v>162.5</v>
      </c>
      <c r="H28" s="500">
        <v>0</v>
      </c>
      <c r="I28" s="502">
        <v>162.5</v>
      </c>
      <c r="J28" s="105"/>
    </row>
    <row r="29" spans="1:10" ht="63.75" customHeight="1">
      <c r="A29" s="169">
        <v>21</v>
      </c>
      <c r="B29" s="496">
        <v>41083</v>
      </c>
      <c r="C29" s="497" t="s">
        <v>841</v>
      </c>
      <c r="D29" s="498" t="s">
        <v>842</v>
      </c>
      <c r="E29" s="499" t="s">
        <v>816</v>
      </c>
      <c r="F29" s="502">
        <v>125</v>
      </c>
      <c r="G29" s="502">
        <v>125</v>
      </c>
      <c r="H29" s="500">
        <v>0</v>
      </c>
      <c r="I29" s="502">
        <v>125</v>
      </c>
      <c r="J29" s="105"/>
    </row>
    <row r="30" spans="1:10" ht="63.75" customHeight="1">
      <c r="A30" s="169">
        <v>22</v>
      </c>
      <c r="B30" s="496">
        <v>41083</v>
      </c>
      <c r="C30" s="497" t="s">
        <v>843</v>
      </c>
      <c r="D30" s="498" t="s">
        <v>844</v>
      </c>
      <c r="E30" s="499" t="s">
        <v>816</v>
      </c>
      <c r="F30" s="502">
        <v>162.5</v>
      </c>
      <c r="G30" s="502">
        <v>162.5</v>
      </c>
      <c r="H30" s="500">
        <v>0</v>
      </c>
      <c r="I30" s="502">
        <v>162.5</v>
      </c>
      <c r="J30" s="105"/>
    </row>
    <row r="31" spans="1:10" ht="63.75" customHeight="1">
      <c r="A31" s="169">
        <v>23</v>
      </c>
      <c r="B31" s="496">
        <v>41084</v>
      </c>
      <c r="C31" s="497" t="s">
        <v>845</v>
      </c>
      <c r="D31" s="498" t="s">
        <v>846</v>
      </c>
      <c r="E31" s="499" t="s">
        <v>816</v>
      </c>
      <c r="F31" s="502">
        <v>162.5</v>
      </c>
      <c r="G31" s="502">
        <v>162.5</v>
      </c>
      <c r="H31" s="500">
        <v>0</v>
      </c>
      <c r="I31" s="502">
        <v>162.5</v>
      </c>
      <c r="J31" s="105"/>
    </row>
    <row r="32" spans="1:10" ht="63.75" customHeight="1">
      <c r="A32" s="169">
        <v>24</v>
      </c>
      <c r="B32" s="496">
        <v>41084</v>
      </c>
      <c r="C32" s="497" t="s">
        <v>847</v>
      </c>
      <c r="D32" s="498" t="s">
        <v>848</v>
      </c>
      <c r="E32" s="499" t="s">
        <v>816</v>
      </c>
      <c r="F32" s="502">
        <v>162.5</v>
      </c>
      <c r="G32" s="502">
        <v>162.5</v>
      </c>
      <c r="H32" s="500">
        <v>0</v>
      </c>
      <c r="I32" s="502">
        <v>162.5</v>
      </c>
      <c r="J32" s="105"/>
    </row>
    <row r="33" spans="1:10" ht="63.75" customHeight="1">
      <c r="A33" s="169">
        <v>25</v>
      </c>
      <c r="B33" s="496">
        <v>41083</v>
      </c>
      <c r="C33" s="497" t="s">
        <v>849</v>
      </c>
      <c r="D33" s="498" t="s">
        <v>850</v>
      </c>
      <c r="E33" s="499" t="s">
        <v>816</v>
      </c>
      <c r="F33" s="502">
        <v>162.5</v>
      </c>
      <c r="G33" s="502">
        <v>162.5</v>
      </c>
      <c r="H33" s="500">
        <v>0</v>
      </c>
      <c r="I33" s="502">
        <v>162.5</v>
      </c>
      <c r="J33" s="105"/>
    </row>
    <row r="34" spans="1:10" ht="63.75" customHeight="1">
      <c r="A34" s="169">
        <v>26</v>
      </c>
      <c r="B34" s="496">
        <v>41083</v>
      </c>
      <c r="C34" s="497" t="s">
        <v>851</v>
      </c>
      <c r="D34" s="498" t="s">
        <v>852</v>
      </c>
      <c r="E34" s="499" t="s">
        <v>816</v>
      </c>
      <c r="F34" s="502">
        <v>125</v>
      </c>
      <c r="G34" s="502">
        <v>125</v>
      </c>
      <c r="H34" s="500">
        <v>0</v>
      </c>
      <c r="I34" s="502">
        <v>125</v>
      </c>
      <c r="J34" s="105"/>
    </row>
    <row r="35" spans="1:10" ht="63.75" customHeight="1">
      <c r="A35" s="169">
        <v>27</v>
      </c>
      <c r="B35" s="496">
        <v>41084</v>
      </c>
      <c r="C35" s="497" t="s">
        <v>853</v>
      </c>
      <c r="D35" s="498" t="s">
        <v>854</v>
      </c>
      <c r="E35" s="499" t="s">
        <v>816</v>
      </c>
      <c r="F35" s="502">
        <v>125</v>
      </c>
      <c r="G35" s="502">
        <v>125</v>
      </c>
      <c r="H35" s="500">
        <v>0</v>
      </c>
      <c r="I35" s="502">
        <v>125</v>
      </c>
      <c r="J35" s="105"/>
    </row>
    <row r="36" spans="1:10" ht="63.75" customHeight="1">
      <c r="A36" s="169">
        <v>28</v>
      </c>
      <c r="B36" s="496">
        <v>41083</v>
      </c>
      <c r="C36" s="497" t="s">
        <v>855</v>
      </c>
      <c r="D36" s="498" t="s">
        <v>856</v>
      </c>
      <c r="E36" s="499" t="s">
        <v>816</v>
      </c>
      <c r="F36" s="502">
        <v>125</v>
      </c>
      <c r="G36" s="502">
        <v>125</v>
      </c>
      <c r="H36" s="500">
        <v>0</v>
      </c>
      <c r="I36" s="502">
        <v>125</v>
      </c>
      <c r="J36" s="105"/>
    </row>
    <row r="37" spans="1:10" ht="63.75" customHeight="1">
      <c r="A37" s="169">
        <v>29</v>
      </c>
      <c r="B37" s="496">
        <v>41084</v>
      </c>
      <c r="C37" s="497" t="s">
        <v>857</v>
      </c>
      <c r="D37" s="498" t="s">
        <v>858</v>
      </c>
      <c r="E37" s="499" t="s">
        <v>816</v>
      </c>
      <c r="F37" s="502">
        <v>125</v>
      </c>
      <c r="G37" s="502">
        <v>125</v>
      </c>
      <c r="H37" s="500">
        <v>0</v>
      </c>
      <c r="I37" s="502">
        <v>125</v>
      </c>
      <c r="J37" s="105"/>
    </row>
    <row r="38" spans="1:10" ht="63.75" customHeight="1">
      <c r="A38" s="169">
        <v>30</v>
      </c>
      <c r="B38" s="496">
        <v>41089</v>
      </c>
      <c r="C38" s="497" t="s">
        <v>859</v>
      </c>
      <c r="D38" s="498" t="s">
        <v>860</v>
      </c>
      <c r="E38" s="499" t="s">
        <v>816</v>
      </c>
      <c r="F38" s="502">
        <v>125</v>
      </c>
      <c r="G38" s="502">
        <v>125</v>
      </c>
      <c r="H38" s="500">
        <v>0</v>
      </c>
      <c r="I38" s="502">
        <v>125</v>
      </c>
      <c r="J38" s="105"/>
    </row>
    <row r="39" spans="1:10" ht="63.75" customHeight="1">
      <c r="A39" s="169">
        <v>31</v>
      </c>
      <c r="B39" s="496">
        <v>41065</v>
      </c>
      <c r="C39" s="497" t="s">
        <v>861</v>
      </c>
      <c r="D39" s="498" t="s">
        <v>862</v>
      </c>
      <c r="E39" s="499" t="s">
        <v>816</v>
      </c>
      <c r="F39" s="502">
        <v>100</v>
      </c>
      <c r="G39" s="502">
        <v>100</v>
      </c>
      <c r="H39" s="503">
        <v>0</v>
      </c>
      <c r="I39" s="502">
        <v>100</v>
      </c>
      <c r="J39" s="105"/>
    </row>
    <row r="40" spans="1:10" ht="63.75" customHeight="1">
      <c r="A40" s="169">
        <v>32</v>
      </c>
      <c r="B40" s="496">
        <v>41065</v>
      </c>
      <c r="C40" s="497" t="s">
        <v>863</v>
      </c>
      <c r="D40" s="498" t="s">
        <v>864</v>
      </c>
      <c r="E40" s="499" t="s">
        <v>816</v>
      </c>
      <c r="F40" s="502">
        <v>125</v>
      </c>
      <c r="G40" s="502">
        <v>125</v>
      </c>
      <c r="H40" s="500">
        <v>0</v>
      </c>
      <c r="I40" s="502">
        <v>125</v>
      </c>
      <c r="J40" s="105"/>
    </row>
    <row r="41" spans="1:10" ht="63.75" customHeight="1">
      <c r="A41" s="169">
        <v>33</v>
      </c>
      <c r="B41" s="496">
        <v>41065</v>
      </c>
      <c r="C41" s="497" t="s">
        <v>865</v>
      </c>
      <c r="D41" s="498" t="s">
        <v>866</v>
      </c>
      <c r="E41" s="499" t="s">
        <v>816</v>
      </c>
      <c r="F41" s="502">
        <v>162.5</v>
      </c>
      <c r="G41" s="502">
        <v>162.5</v>
      </c>
      <c r="H41" s="500">
        <v>0</v>
      </c>
      <c r="I41" s="502">
        <v>162.5</v>
      </c>
      <c r="J41" s="105"/>
    </row>
    <row r="42" spans="1:10" ht="63.75" customHeight="1">
      <c r="A42" s="169">
        <v>34</v>
      </c>
      <c r="B42" s="496">
        <v>41065</v>
      </c>
      <c r="C42" s="497" t="s">
        <v>867</v>
      </c>
      <c r="D42" s="498" t="s">
        <v>868</v>
      </c>
      <c r="E42" s="499" t="s">
        <v>816</v>
      </c>
      <c r="F42" s="502">
        <v>162.5</v>
      </c>
      <c r="G42" s="502">
        <v>162.5</v>
      </c>
      <c r="H42" s="500">
        <v>0</v>
      </c>
      <c r="I42" s="502">
        <v>162.5</v>
      </c>
      <c r="J42" s="105"/>
    </row>
    <row r="43" spans="1:10" ht="63.75" customHeight="1">
      <c r="A43" s="169">
        <v>35</v>
      </c>
      <c r="B43" s="496">
        <v>41065</v>
      </c>
      <c r="C43" s="497" t="s">
        <v>869</v>
      </c>
      <c r="D43" s="498" t="s">
        <v>870</v>
      </c>
      <c r="E43" s="499" t="s">
        <v>816</v>
      </c>
      <c r="F43" s="502">
        <v>162.5</v>
      </c>
      <c r="G43" s="502">
        <v>162.5</v>
      </c>
      <c r="H43" s="500">
        <v>0</v>
      </c>
      <c r="I43" s="502">
        <v>162.5</v>
      </c>
      <c r="J43" s="105"/>
    </row>
    <row r="44" spans="1:10" ht="63.75" customHeight="1">
      <c r="A44" s="169">
        <v>36</v>
      </c>
      <c r="B44" s="496">
        <v>41065</v>
      </c>
      <c r="C44" s="497" t="s">
        <v>871</v>
      </c>
      <c r="D44" s="498" t="s">
        <v>872</v>
      </c>
      <c r="E44" s="499" t="s">
        <v>816</v>
      </c>
      <c r="F44" s="502">
        <v>162.5</v>
      </c>
      <c r="G44" s="502">
        <v>162.5</v>
      </c>
      <c r="H44" s="500">
        <v>0</v>
      </c>
      <c r="I44" s="502">
        <v>162.5</v>
      </c>
      <c r="J44" s="105"/>
    </row>
    <row r="45" spans="1:10" ht="63.75" customHeight="1">
      <c r="A45" s="169">
        <v>37</v>
      </c>
      <c r="B45" s="496">
        <v>41065</v>
      </c>
      <c r="C45" s="497" t="s">
        <v>873</v>
      </c>
      <c r="D45" s="498" t="s">
        <v>874</v>
      </c>
      <c r="E45" s="499" t="s">
        <v>816</v>
      </c>
      <c r="F45" s="502">
        <v>125</v>
      </c>
      <c r="G45" s="502">
        <v>125</v>
      </c>
      <c r="H45" s="500">
        <v>0</v>
      </c>
      <c r="I45" s="502">
        <v>125</v>
      </c>
      <c r="J45" s="105"/>
    </row>
    <row r="46" spans="1:10" ht="63.75" customHeight="1">
      <c r="A46" s="169">
        <v>38</v>
      </c>
      <c r="B46" s="496">
        <v>41122</v>
      </c>
      <c r="C46" s="497" t="s">
        <v>875</v>
      </c>
      <c r="D46" s="498" t="s">
        <v>876</v>
      </c>
      <c r="E46" s="499" t="s">
        <v>877</v>
      </c>
      <c r="F46" s="502">
        <v>250</v>
      </c>
      <c r="G46" s="502">
        <v>250</v>
      </c>
      <c r="H46" s="500">
        <v>0</v>
      </c>
      <c r="I46" s="502">
        <v>250</v>
      </c>
      <c r="J46" s="105"/>
    </row>
    <row r="47" spans="1:10" ht="63.75" customHeight="1">
      <c r="A47" s="169">
        <v>39</v>
      </c>
      <c r="B47" s="496">
        <v>41122</v>
      </c>
      <c r="C47" s="497" t="s">
        <v>878</v>
      </c>
      <c r="D47" s="498" t="s">
        <v>879</v>
      </c>
      <c r="E47" s="499" t="s">
        <v>877</v>
      </c>
      <c r="F47" s="502">
        <v>375</v>
      </c>
      <c r="G47" s="502">
        <v>375</v>
      </c>
      <c r="H47" s="500">
        <v>0</v>
      </c>
      <c r="I47" s="502">
        <v>375</v>
      </c>
      <c r="J47" s="105"/>
    </row>
    <row r="48" spans="1:10" ht="63.75" customHeight="1">
      <c r="A48" s="169">
        <v>40</v>
      </c>
      <c r="B48" s="496">
        <v>41136</v>
      </c>
      <c r="C48" s="497" t="s">
        <v>880</v>
      </c>
      <c r="D48" s="498" t="s">
        <v>881</v>
      </c>
      <c r="E48" s="499" t="s">
        <v>877</v>
      </c>
      <c r="F48" s="502">
        <v>3125</v>
      </c>
      <c r="G48" s="502">
        <v>3125</v>
      </c>
      <c r="H48" s="500">
        <v>0</v>
      </c>
      <c r="I48" s="502">
        <v>3125</v>
      </c>
      <c r="J48" s="105"/>
    </row>
    <row r="49" spans="1:10" ht="63.75" customHeight="1">
      <c r="A49" s="169">
        <v>41</v>
      </c>
      <c r="B49" s="496">
        <v>41136</v>
      </c>
      <c r="C49" s="497" t="s">
        <v>882</v>
      </c>
      <c r="D49" s="498" t="s">
        <v>883</v>
      </c>
      <c r="E49" s="499" t="s">
        <v>877</v>
      </c>
      <c r="F49" s="502">
        <v>500</v>
      </c>
      <c r="G49" s="502">
        <v>500</v>
      </c>
      <c r="H49" s="500">
        <v>0</v>
      </c>
      <c r="I49" s="502">
        <v>500</v>
      </c>
      <c r="J49" s="105"/>
    </row>
    <row r="50" spans="1:10" ht="63.75" customHeight="1">
      <c r="A50" s="169">
        <v>42</v>
      </c>
      <c r="B50" s="496">
        <v>41136</v>
      </c>
      <c r="C50" s="497" t="s">
        <v>884</v>
      </c>
      <c r="D50" s="498" t="s">
        <v>885</v>
      </c>
      <c r="E50" s="499" t="s">
        <v>877</v>
      </c>
      <c r="F50" s="502">
        <v>520.83000000000004</v>
      </c>
      <c r="G50" s="502">
        <v>520.83000000000004</v>
      </c>
      <c r="H50" s="504">
        <v>0</v>
      </c>
      <c r="I50" s="502">
        <v>520.83000000000004</v>
      </c>
      <c r="J50" s="105"/>
    </row>
    <row r="51" spans="1:10" ht="63.75" customHeight="1">
      <c r="A51" s="169">
        <v>43</v>
      </c>
      <c r="B51" s="496">
        <v>41136</v>
      </c>
      <c r="C51" s="497" t="s">
        <v>886</v>
      </c>
      <c r="D51" s="498" t="s">
        <v>887</v>
      </c>
      <c r="E51" s="499" t="s">
        <v>877</v>
      </c>
      <c r="F51" s="502">
        <v>1375</v>
      </c>
      <c r="G51" s="502">
        <v>1375</v>
      </c>
      <c r="H51" s="505">
        <v>0</v>
      </c>
      <c r="I51" s="502">
        <v>1375</v>
      </c>
      <c r="J51" s="105"/>
    </row>
    <row r="52" spans="1:10" ht="63.75" customHeight="1">
      <c r="A52" s="169">
        <v>44</v>
      </c>
      <c r="B52" s="496">
        <v>41136</v>
      </c>
      <c r="C52" s="497" t="s">
        <v>888</v>
      </c>
      <c r="D52" s="498" t="s">
        <v>889</v>
      </c>
      <c r="E52" s="499" t="s">
        <v>877</v>
      </c>
      <c r="F52" s="502">
        <v>1375</v>
      </c>
      <c r="G52" s="502">
        <v>1375</v>
      </c>
      <c r="H52" s="505">
        <v>0</v>
      </c>
      <c r="I52" s="502">
        <v>1375</v>
      </c>
      <c r="J52" s="105"/>
    </row>
    <row r="53" spans="1:10" ht="63.75" customHeight="1">
      <c r="A53" s="169">
        <v>45</v>
      </c>
      <c r="B53" s="496">
        <v>41145</v>
      </c>
      <c r="C53" s="497" t="s">
        <v>890</v>
      </c>
      <c r="D53" s="498">
        <v>404897215</v>
      </c>
      <c r="E53" s="499" t="s">
        <v>891</v>
      </c>
      <c r="F53" s="499">
        <v>110</v>
      </c>
      <c r="G53" s="499">
        <v>110</v>
      </c>
      <c r="H53" s="505">
        <v>0</v>
      </c>
      <c r="I53" s="499">
        <v>110</v>
      </c>
      <c r="J53" s="105"/>
    </row>
    <row r="54" spans="1:10" ht="63.75" customHeight="1">
      <c r="A54" s="169">
        <v>46</v>
      </c>
      <c r="B54" s="496">
        <v>41157</v>
      </c>
      <c r="C54" s="497" t="s">
        <v>892</v>
      </c>
      <c r="D54" s="498"/>
      <c r="E54" s="499" t="s">
        <v>893</v>
      </c>
      <c r="F54" s="499">
        <v>544069.96</v>
      </c>
      <c r="G54" s="499">
        <v>544069.96</v>
      </c>
      <c r="H54" s="505">
        <v>0</v>
      </c>
      <c r="I54" s="499">
        <v>544069.96</v>
      </c>
      <c r="J54" s="105"/>
    </row>
    <row r="55" spans="1:10" ht="63.75" customHeight="1">
      <c r="A55" s="169">
        <v>47</v>
      </c>
      <c r="B55" s="496">
        <v>41136</v>
      </c>
      <c r="C55" s="497" t="s">
        <v>894</v>
      </c>
      <c r="D55" s="498" t="s">
        <v>895</v>
      </c>
      <c r="E55" s="499" t="s">
        <v>739</v>
      </c>
      <c r="F55" s="499">
        <v>0.3</v>
      </c>
      <c r="G55" s="499">
        <v>0.3</v>
      </c>
      <c r="H55" s="505">
        <v>0</v>
      </c>
      <c r="I55" s="499">
        <v>0.3</v>
      </c>
      <c r="J55" s="105"/>
    </row>
    <row r="56" spans="1:10" ht="63.75" customHeight="1">
      <c r="A56" s="169">
        <v>48</v>
      </c>
      <c r="B56" s="496">
        <v>41134</v>
      </c>
      <c r="C56" s="497" t="s">
        <v>896</v>
      </c>
      <c r="D56" s="498" t="s">
        <v>897</v>
      </c>
      <c r="E56" s="499" t="s">
        <v>739</v>
      </c>
      <c r="F56" s="499">
        <v>1412.48</v>
      </c>
      <c r="G56" s="499">
        <v>1412.48</v>
      </c>
      <c r="H56" s="505">
        <v>0</v>
      </c>
      <c r="I56" s="499">
        <v>1412.48</v>
      </c>
      <c r="J56" s="105"/>
    </row>
    <row r="57" spans="1:10" ht="63.75" customHeight="1">
      <c r="A57" s="169">
        <v>49</v>
      </c>
      <c r="B57" s="496">
        <v>41130</v>
      </c>
      <c r="C57" s="497" t="s">
        <v>898</v>
      </c>
      <c r="D57" s="498" t="s">
        <v>899</v>
      </c>
      <c r="E57" s="499" t="s">
        <v>739</v>
      </c>
      <c r="F57" s="499">
        <v>541.53</v>
      </c>
      <c r="G57" s="499">
        <v>541.53</v>
      </c>
      <c r="H57" s="505">
        <v>0</v>
      </c>
      <c r="I57" s="499">
        <v>541.53</v>
      </c>
      <c r="J57" s="105"/>
    </row>
    <row r="58" spans="1:10" ht="63.75" customHeight="1">
      <c r="A58" s="169">
        <v>50</v>
      </c>
      <c r="B58" s="496">
        <v>41182</v>
      </c>
      <c r="C58" s="497" t="s">
        <v>900</v>
      </c>
      <c r="D58" s="498" t="s">
        <v>901</v>
      </c>
      <c r="E58" s="499" t="s">
        <v>739</v>
      </c>
      <c r="F58" s="499">
        <v>887.5</v>
      </c>
      <c r="G58" s="499">
        <v>887.5</v>
      </c>
      <c r="H58" s="505">
        <v>0</v>
      </c>
      <c r="I58" s="499">
        <v>887.5</v>
      </c>
      <c r="J58" s="105"/>
    </row>
    <row r="59" spans="1:10" ht="63.75" customHeight="1">
      <c r="A59" s="169">
        <v>51</v>
      </c>
      <c r="B59" s="496">
        <v>41177</v>
      </c>
      <c r="C59" s="497" t="s">
        <v>902</v>
      </c>
      <c r="D59" s="498"/>
      <c r="E59" s="499" t="s">
        <v>903</v>
      </c>
      <c r="F59" s="499">
        <v>373676.21</v>
      </c>
      <c r="G59" s="499">
        <v>373676.21</v>
      </c>
      <c r="H59" s="505">
        <v>0</v>
      </c>
      <c r="I59" s="499">
        <v>373676.21</v>
      </c>
      <c r="J59" s="105"/>
    </row>
    <row r="60" spans="1:10" ht="63.75" customHeight="1">
      <c r="A60" s="169">
        <v>52</v>
      </c>
      <c r="B60" s="496">
        <v>41172</v>
      </c>
      <c r="C60" s="497" t="s">
        <v>904</v>
      </c>
      <c r="D60" s="498" t="s">
        <v>905</v>
      </c>
      <c r="E60" s="499" t="s">
        <v>710</v>
      </c>
      <c r="F60" s="499">
        <v>19950</v>
      </c>
      <c r="G60" s="499">
        <v>19950</v>
      </c>
      <c r="H60" s="505">
        <v>0</v>
      </c>
      <c r="I60" s="499">
        <v>19950</v>
      </c>
      <c r="J60" s="105"/>
    </row>
    <row r="61" spans="1:10" ht="63.75" customHeight="1">
      <c r="A61" s="169">
        <v>53</v>
      </c>
      <c r="B61" s="496">
        <v>41170</v>
      </c>
      <c r="C61" s="497" t="s">
        <v>906</v>
      </c>
      <c r="D61" s="498" t="s">
        <v>907</v>
      </c>
      <c r="E61" s="499" t="s">
        <v>908</v>
      </c>
      <c r="F61" s="499">
        <v>625</v>
      </c>
      <c r="G61" s="499">
        <v>625</v>
      </c>
      <c r="H61" s="505">
        <v>0</v>
      </c>
      <c r="I61" s="499">
        <v>625</v>
      </c>
      <c r="J61" s="105"/>
    </row>
    <row r="62" spans="1:10" ht="63.75" customHeight="1">
      <c r="A62" s="169">
        <v>54</v>
      </c>
      <c r="B62" s="496">
        <v>41176</v>
      </c>
      <c r="C62" s="497" t="s">
        <v>909</v>
      </c>
      <c r="D62" s="498" t="s">
        <v>910</v>
      </c>
      <c r="E62" s="499" t="s">
        <v>908</v>
      </c>
      <c r="F62" s="499">
        <v>187.5</v>
      </c>
      <c r="G62" s="499">
        <v>187.5</v>
      </c>
      <c r="H62" s="505">
        <v>0</v>
      </c>
      <c r="I62" s="499">
        <v>187.5</v>
      </c>
      <c r="J62" s="105"/>
    </row>
    <row r="63" spans="1:10" ht="63.75" customHeight="1">
      <c r="A63" s="169">
        <v>55</v>
      </c>
      <c r="B63" s="496">
        <v>41759</v>
      </c>
      <c r="C63" s="497" t="s">
        <v>911</v>
      </c>
      <c r="D63" s="498" t="s">
        <v>912</v>
      </c>
      <c r="E63" s="499" t="s">
        <v>913</v>
      </c>
      <c r="F63" s="506">
        <v>28327.84</v>
      </c>
      <c r="G63" s="506">
        <v>28327.84</v>
      </c>
      <c r="H63" s="499">
        <v>0</v>
      </c>
      <c r="I63" s="506">
        <v>28327.84</v>
      </c>
      <c r="J63" s="105"/>
    </row>
    <row r="64" spans="1:10" ht="63.75" customHeight="1">
      <c r="A64" s="169">
        <v>56</v>
      </c>
      <c r="B64" s="496">
        <v>41182</v>
      </c>
      <c r="C64" s="497" t="s">
        <v>914</v>
      </c>
      <c r="D64" s="498" t="s">
        <v>915</v>
      </c>
      <c r="E64" s="499" t="s">
        <v>739</v>
      </c>
      <c r="F64" s="499">
        <v>846.78</v>
      </c>
      <c r="G64" s="499">
        <v>846.78</v>
      </c>
      <c r="H64" s="505">
        <v>0</v>
      </c>
      <c r="I64" s="499">
        <v>846.78</v>
      </c>
      <c r="J64" s="105"/>
    </row>
    <row r="65" spans="1:10" ht="63.75" customHeight="1">
      <c r="A65" s="169">
        <v>57</v>
      </c>
      <c r="B65" s="496">
        <v>41182</v>
      </c>
      <c r="C65" s="497" t="s">
        <v>916</v>
      </c>
      <c r="D65" s="498" t="s">
        <v>917</v>
      </c>
      <c r="E65" s="499" t="s">
        <v>739</v>
      </c>
      <c r="F65" s="499">
        <v>2916.65</v>
      </c>
      <c r="G65" s="499">
        <v>2916.65</v>
      </c>
      <c r="H65" s="505">
        <v>0</v>
      </c>
      <c r="I65" s="499">
        <v>2916.65</v>
      </c>
      <c r="J65" s="105"/>
    </row>
    <row r="66" spans="1:10" ht="63.75" customHeight="1">
      <c r="A66" s="169">
        <v>58</v>
      </c>
      <c r="B66" s="496">
        <v>41182</v>
      </c>
      <c r="C66" s="497" t="s">
        <v>918</v>
      </c>
      <c r="D66" s="498" t="s">
        <v>919</v>
      </c>
      <c r="E66" s="499" t="s">
        <v>739</v>
      </c>
      <c r="F66" s="499">
        <v>500</v>
      </c>
      <c r="G66" s="499">
        <v>500</v>
      </c>
      <c r="H66" s="505">
        <v>0</v>
      </c>
      <c r="I66" s="499">
        <v>500</v>
      </c>
      <c r="J66" s="105"/>
    </row>
    <row r="67" spans="1:10" ht="63.75" customHeight="1">
      <c r="A67" s="169">
        <v>59</v>
      </c>
      <c r="B67" s="496">
        <v>41182</v>
      </c>
      <c r="C67" s="497" t="s">
        <v>920</v>
      </c>
      <c r="D67" s="498" t="s">
        <v>921</v>
      </c>
      <c r="E67" s="499" t="s">
        <v>739</v>
      </c>
      <c r="F67" s="499">
        <v>625</v>
      </c>
      <c r="G67" s="499">
        <v>625</v>
      </c>
      <c r="H67" s="505">
        <v>0</v>
      </c>
      <c r="I67" s="499">
        <v>625</v>
      </c>
      <c r="J67" s="105"/>
    </row>
    <row r="68" spans="1:10" ht="63.75" customHeight="1">
      <c r="A68" s="169">
        <v>60</v>
      </c>
      <c r="B68" s="496">
        <v>41187</v>
      </c>
      <c r="C68" s="497" t="s">
        <v>922</v>
      </c>
      <c r="D68" s="498"/>
      <c r="E68" s="498" t="s">
        <v>923</v>
      </c>
      <c r="F68" s="499">
        <v>52478.12</v>
      </c>
      <c r="G68" s="499">
        <v>52478.12</v>
      </c>
      <c r="H68" s="505">
        <v>0</v>
      </c>
      <c r="I68" s="499">
        <v>52478.12</v>
      </c>
      <c r="J68" s="105"/>
    </row>
    <row r="69" spans="1:10" ht="63.75" customHeight="1">
      <c r="A69" s="169">
        <v>61</v>
      </c>
      <c r="B69" s="496">
        <v>41153</v>
      </c>
      <c r="C69" s="507" t="s">
        <v>924</v>
      </c>
      <c r="D69" s="508" t="s">
        <v>925</v>
      </c>
      <c r="E69" s="499" t="s">
        <v>739</v>
      </c>
      <c r="F69" s="509">
        <v>747.33</v>
      </c>
      <c r="G69" s="509">
        <v>747.33</v>
      </c>
      <c r="H69" s="510">
        <v>0</v>
      </c>
      <c r="I69" s="509">
        <v>747.33</v>
      </c>
      <c r="J69" s="105"/>
    </row>
    <row r="70" spans="1:10" ht="63.75" customHeight="1">
      <c r="A70" s="169">
        <v>62</v>
      </c>
      <c r="B70" s="496">
        <v>41059</v>
      </c>
      <c r="C70" s="507" t="s">
        <v>926</v>
      </c>
      <c r="D70" s="508" t="s">
        <v>927</v>
      </c>
      <c r="E70" s="511" t="s">
        <v>928</v>
      </c>
      <c r="F70" s="509">
        <v>65</v>
      </c>
      <c r="G70" s="509">
        <v>65</v>
      </c>
      <c r="H70" s="510">
        <v>0</v>
      </c>
      <c r="I70" s="509">
        <v>65</v>
      </c>
      <c r="J70" s="105"/>
    </row>
    <row r="71" spans="1:10" ht="63.75" customHeight="1">
      <c r="A71" s="169">
        <v>63</v>
      </c>
      <c r="B71" s="496">
        <v>41783</v>
      </c>
      <c r="C71" s="497" t="s">
        <v>929</v>
      </c>
      <c r="D71" s="498" t="s">
        <v>930</v>
      </c>
      <c r="E71" s="499" t="s">
        <v>931</v>
      </c>
      <c r="F71" s="509">
        <v>80104.399999999994</v>
      </c>
      <c r="G71" s="509">
        <v>80104.399999999994</v>
      </c>
      <c r="H71" s="499">
        <v>0</v>
      </c>
      <c r="I71" s="509">
        <v>80104.399999999994</v>
      </c>
      <c r="J71" s="105"/>
    </row>
    <row r="72" spans="1:10" ht="63.75" customHeight="1">
      <c r="A72" s="169">
        <v>64</v>
      </c>
      <c r="B72" s="496" t="s">
        <v>932</v>
      </c>
      <c r="C72" s="497" t="s">
        <v>933</v>
      </c>
      <c r="D72" s="497">
        <v>45001015655</v>
      </c>
      <c r="E72" s="499" t="s">
        <v>934</v>
      </c>
      <c r="F72" s="512">
        <v>104.18</v>
      </c>
      <c r="G72" s="512">
        <v>104.18</v>
      </c>
      <c r="H72" s="499">
        <v>0</v>
      </c>
      <c r="I72" s="512">
        <v>104.18</v>
      </c>
      <c r="J72" s="105"/>
    </row>
    <row r="73" spans="1:10" ht="63.75" customHeight="1">
      <c r="A73" s="169">
        <v>65</v>
      </c>
      <c r="B73" s="496" t="s">
        <v>935</v>
      </c>
      <c r="C73" s="497" t="s">
        <v>936</v>
      </c>
      <c r="D73" s="498" t="s">
        <v>937</v>
      </c>
      <c r="E73" s="499" t="s">
        <v>934</v>
      </c>
      <c r="F73" s="512">
        <v>0.35</v>
      </c>
      <c r="G73" s="512">
        <v>0.35</v>
      </c>
      <c r="H73" s="499">
        <v>0</v>
      </c>
      <c r="I73" s="512">
        <v>0.35</v>
      </c>
      <c r="J73" s="105"/>
    </row>
    <row r="74" spans="1:10" ht="63.75" customHeight="1">
      <c r="A74" s="169">
        <v>66</v>
      </c>
      <c r="B74" s="496" t="s">
        <v>938</v>
      </c>
      <c r="C74" s="497" t="s">
        <v>939</v>
      </c>
      <c r="D74" s="498" t="s">
        <v>940</v>
      </c>
      <c r="E74" s="499" t="s">
        <v>934</v>
      </c>
      <c r="F74" s="512">
        <v>500</v>
      </c>
      <c r="G74" s="512">
        <v>500</v>
      </c>
      <c r="H74" s="499">
        <v>0</v>
      </c>
      <c r="I74" s="512">
        <v>500</v>
      </c>
      <c r="J74" s="105"/>
    </row>
    <row r="75" spans="1:10" ht="63.75" customHeight="1">
      <c r="A75" s="169">
        <v>67</v>
      </c>
      <c r="B75" s="496" t="s">
        <v>938</v>
      </c>
      <c r="C75" s="497" t="s">
        <v>941</v>
      </c>
      <c r="D75" s="498" t="s">
        <v>942</v>
      </c>
      <c r="E75" s="499" t="s">
        <v>934</v>
      </c>
      <c r="F75" s="512">
        <v>625</v>
      </c>
      <c r="G75" s="512">
        <v>625</v>
      </c>
      <c r="H75" s="499">
        <v>0</v>
      </c>
      <c r="I75" s="512">
        <v>625</v>
      </c>
      <c r="J75" s="105"/>
    </row>
    <row r="76" spans="1:10" ht="63.75" customHeight="1">
      <c r="A76" s="169">
        <v>68</v>
      </c>
      <c r="B76" s="496" t="s">
        <v>938</v>
      </c>
      <c r="C76" s="497" t="s">
        <v>943</v>
      </c>
      <c r="D76" s="498" t="s">
        <v>944</v>
      </c>
      <c r="E76" s="499" t="s">
        <v>934</v>
      </c>
      <c r="F76" s="512">
        <v>226.43</v>
      </c>
      <c r="G76" s="512">
        <v>226.43</v>
      </c>
      <c r="H76" s="499">
        <v>0</v>
      </c>
      <c r="I76" s="512">
        <v>226.43</v>
      </c>
      <c r="J76" s="105"/>
    </row>
    <row r="77" spans="1:10" ht="63.75" customHeight="1">
      <c r="A77" s="169">
        <v>69</v>
      </c>
      <c r="B77" s="496" t="s">
        <v>938</v>
      </c>
      <c r="C77" s="497" t="s">
        <v>945</v>
      </c>
      <c r="D77" s="498" t="s">
        <v>946</v>
      </c>
      <c r="E77" s="499" t="s">
        <v>934</v>
      </c>
      <c r="F77" s="512">
        <v>563</v>
      </c>
      <c r="G77" s="512">
        <v>563</v>
      </c>
      <c r="H77" s="499">
        <v>0</v>
      </c>
      <c r="I77" s="512">
        <v>563</v>
      </c>
      <c r="J77" s="105"/>
    </row>
    <row r="78" spans="1:10" ht="63.75" customHeight="1">
      <c r="A78" s="169">
        <v>70</v>
      </c>
      <c r="B78" s="496" t="s">
        <v>938</v>
      </c>
      <c r="C78" s="497" t="s">
        <v>947</v>
      </c>
      <c r="D78" s="498" t="s">
        <v>948</v>
      </c>
      <c r="E78" s="499" t="s">
        <v>934</v>
      </c>
      <c r="F78" s="512">
        <v>801.23</v>
      </c>
      <c r="G78" s="512">
        <v>801.23</v>
      </c>
      <c r="H78" s="499">
        <v>0</v>
      </c>
      <c r="I78" s="512">
        <v>801.23</v>
      </c>
      <c r="J78" s="105"/>
    </row>
    <row r="79" spans="1:10" ht="63.75" customHeight="1">
      <c r="A79" s="169">
        <v>71</v>
      </c>
      <c r="B79" s="496" t="s">
        <v>938</v>
      </c>
      <c r="C79" s="497" t="s">
        <v>949</v>
      </c>
      <c r="D79" s="498" t="s">
        <v>950</v>
      </c>
      <c r="E79" s="499" t="s">
        <v>934</v>
      </c>
      <c r="F79" s="512">
        <v>500</v>
      </c>
      <c r="G79" s="512">
        <v>500</v>
      </c>
      <c r="H79" s="499">
        <v>0</v>
      </c>
      <c r="I79" s="512">
        <v>500</v>
      </c>
      <c r="J79" s="105"/>
    </row>
    <row r="80" spans="1:10" ht="63.75" customHeight="1">
      <c r="A80" s="169">
        <v>72</v>
      </c>
      <c r="B80" s="496" t="s">
        <v>938</v>
      </c>
      <c r="C80" s="497" t="s">
        <v>951</v>
      </c>
      <c r="D80" s="498" t="s">
        <v>952</v>
      </c>
      <c r="E80" s="499" t="s">
        <v>934</v>
      </c>
      <c r="F80" s="512">
        <v>1600</v>
      </c>
      <c r="G80" s="512">
        <v>1600</v>
      </c>
      <c r="H80" s="499">
        <v>0</v>
      </c>
      <c r="I80" s="512">
        <v>1600</v>
      </c>
      <c r="J80" s="105"/>
    </row>
    <row r="81" spans="1:10" ht="63.75" customHeight="1">
      <c r="A81" s="169">
        <v>73</v>
      </c>
      <c r="B81" s="496" t="s">
        <v>938</v>
      </c>
      <c r="C81" s="497" t="s">
        <v>953</v>
      </c>
      <c r="D81" s="498">
        <v>61002014645</v>
      </c>
      <c r="E81" s="499" t="s">
        <v>934</v>
      </c>
      <c r="F81" s="512">
        <v>522.54</v>
      </c>
      <c r="G81" s="512">
        <v>522.54</v>
      </c>
      <c r="H81" s="499">
        <v>0</v>
      </c>
      <c r="I81" s="512">
        <v>522.54</v>
      </c>
      <c r="J81" s="105"/>
    </row>
    <row r="82" spans="1:10" ht="63.75" customHeight="1">
      <c r="A82" s="169">
        <v>74</v>
      </c>
      <c r="B82" s="496" t="s">
        <v>938</v>
      </c>
      <c r="C82" s="497" t="s">
        <v>954</v>
      </c>
      <c r="D82" s="498" t="s">
        <v>955</v>
      </c>
      <c r="E82" s="499" t="s">
        <v>934</v>
      </c>
      <c r="F82" s="512">
        <v>873</v>
      </c>
      <c r="G82" s="512">
        <v>873</v>
      </c>
      <c r="H82" s="499">
        <v>0</v>
      </c>
      <c r="I82" s="512">
        <v>873</v>
      </c>
      <c r="J82" s="105"/>
    </row>
    <row r="83" spans="1:10" ht="63.75" customHeight="1">
      <c r="A83" s="169">
        <v>75</v>
      </c>
      <c r="B83" s="496" t="s">
        <v>938</v>
      </c>
      <c r="C83" s="497" t="s">
        <v>956</v>
      </c>
      <c r="D83" s="498" t="s">
        <v>957</v>
      </c>
      <c r="E83" s="499" t="s">
        <v>934</v>
      </c>
      <c r="F83" s="512">
        <v>870.9</v>
      </c>
      <c r="G83" s="512">
        <v>870.9</v>
      </c>
      <c r="H83" s="499">
        <v>0</v>
      </c>
      <c r="I83" s="512">
        <v>870.9</v>
      </c>
      <c r="J83" s="105"/>
    </row>
    <row r="84" spans="1:10" ht="63.75" customHeight="1">
      <c r="A84" s="169">
        <v>76</v>
      </c>
      <c r="B84" s="496" t="s">
        <v>938</v>
      </c>
      <c r="C84" s="497" t="s">
        <v>958</v>
      </c>
      <c r="D84" s="498" t="s">
        <v>959</v>
      </c>
      <c r="E84" s="499" t="s">
        <v>934</v>
      </c>
      <c r="F84" s="512">
        <v>500</v>
      </c>
      <c r="G84" s="512">
        <v>500</v>
      </c>
      <c r="H84" s="499">
        <v>0</v>
      </c>
      <c r="I84" s="512">
        <v>500</v>
      </c>
      <c r="J84" s="105"/>
    </row>
    <row r="85" spans="1:10" ht="63.75" customHeight="1">
      <c r="A85" s="169">
        <v>77</v>
      </c>
      <c r="B85" s="496" t="s">
        <v>938</v>
      </c>
      <c r="C85" s="497" t="s">
        <v>960</v>
      </c>
      <c r="D85" s="498" t="s">
        <v>961</v>
      </c>
      <c r="E85" s="499" t="s">
        <v>934</v>
      </c>
      <c r="F85" s="512">
        <v>200</v>
      </c>
      <c r="G85" s="512">
        <v>200</v>
      </c>
      <c r="H85" s="499">
        <v>0</v>
      </c>
      <c r="I85" s="512">
        <v>200</v>
      </c>
      <c r="J85" s="105"/>
    </row>
    <row r="86" spans="1:10" ht="63.75" customHeight="1">
      <c r="A86" s="169">
        <v>78</v>
      </c>
      <c r="B86" s="496">
        <v>42368</v>
      </c>
      <c r="C86" s="497" t="s">
        <v>962</v>
      </c>
      <c r="D86" s="498">
        <v>205258709</v>
      </c>
      <c r="E86" s="499" t="s">
        <v>963</v>
      </c>
      <c r="F86" s="513">
        <v>1488.31</v>
      </c>
      <c r="G86" s="513">
        <v>1488.31</v>
      </c>
      <c r="H86" s="513">
        <v>0</v>
      </c>
      <c r="I86" s="513">
        <v>1488.31</v>
      </c>
      <c r="J86" s="105"/>
    </row>
    <row r="87" spans="1:10" ht="63.75" customHeight="1">
      <c r="A87" s="169">
        <v>79</v>
      </c>
      <c r="B87" s="496">
        <v>42368</v>
      </c>
      <c r="C87" s="497" t="s">
        <v>964</v>
      </c>
      <c r="D87" s="498" t="s">
        <v>965</v>
      </c>
      <c r="E87" s="499" t="s">
        <v>963</v>
      </c>
      <c r="F87" s="513">
        <v>1100</v>
      </c>
      <c r="G87" s="513">
        <v>1100</v>
      </c>
      <c r="H87" s="513">
        <v>0</v>
      </c>
      <c r="I87" s="513">
        <v>1100</v>
      </c>
      <c r="J87" s="105"/>
    </row>
    <row r="88" spans="1:10" ht="63.75" customHeight="1">
      <c r="A88" s="169">
        <v>80</v>
      </c>
      <c r="B88" s="496">
        <v>42335</v>
      </c>
      <c r="C88" s="497" t="s">
        <v>966</v>
      </c>
      <c r="D88" s="498" t="s">
        <v>967</v>
      </c>
      <c r="E88" s="499" t="s">
        <v>739</v>
      </c>
      <c r="F88" s="513">
        <v>500</v>
      </c>
      <c r="G88" s="513">
        <v>500</v>
      </c>
      <c r="H88" s="513">
        <v>0</v>
      </c>
      <c r="I88" s="513">
        <v>500</v>
      </c>
      <c r="J88" s="105"/>
    </row>
    <row r="89" spans="1:10" ht="63.75" customHeight="1">
      <c r="A89" s="169">
        <v>81</v>
      </c>
      <c r="B89" s="496">
        <v>41823</v>
      </c>
      <c r="C89" s="497" t="s">
        <v>968</v>
      </c>
      <c r="D89" s="498" t="s">
        <v>969</v>
      </c>
      <c r="E89" s="499" t="s">
        <v>739</v>
      </c>
      <c r="F89" s="513">
        <v>1200</v>
      </c>
      <c r="G89" s="513">
        <v>1200</v>
      </c>
      <c r="H89" s="513">
        <v>0</v>
      </c>
      <c r="I89" s="513">
        <v>1200</v>
      </c>
      <c r="J89" s="105"/>
    </row>
    <row r="90" spans="1:10" ht="63.75" customHeight="1">
      <c r="A90" s="169">
        <v>82</v>
      </c>
      <c r="B90" s="496">
        <v>42335</v>
      </c>
      <c r="C90" s="497" t="s">
        <v>970</v>
      </c>
      <c r="D90" s="498" t="s">
        <v>971</v>
      </c>
      <c r="E90" s="499" t="s">
        <v>739</v>
      </c>
      <c r="F90" s="513">
        <v>375</v>
      </c>
      <c r="G90" s="513">
        <v>375</v>
      </c>
      <c r="H90" s="513">
        <v>0</v>
      </c>
      <c r="I90" s="513">
        <v>375</v>
      </c>
      <c r="J90" s="105"/>
    </row>
    <row r="91" spans="1:10" ht="63.75" customHeight="1">
      <c r="A91" s="169">
        <v>83</v>
      </c>
      <c r="B91" s="496">
        <v>42335</v>
      </c>
      <c r="C91" s="497" t="s">
        <v>972</v>
      </c>
      <c r="D91" s="498" t="s">
        <v>973</v>
      </c>
      <c r="E91" s="499" t="s">
        <v>739</v>
      </c>
      <c r="F91" s="513">
        <v>625</v>
      </c>
      <c r="G91" s="513">
        <v>625</v>
      </c>
      <c r="H91" s="513">
        <v>0</v>
      </c>
      <c r="I91" s="513">
        <v>625</v>
      </c>
      <c r="J91" s="105"/>
    </row>
    <row r="92" spans="1:10" ht="63.75" customHeight="1">
      <c r="A92" s="169">
        <v>84</v>
      </c>
      <c r="B92" s="496">
        <v>42335</v>
      </c>
      <c r="C92" s="497" t="s">
        <v>974</v>
      </c>
      <c r="D92" s="498" t="s">
        <v>975</v>
      </c>
      <c r="E92" s="499" t="s">
        <v>739</v>
      </c>
      <c r="F92" s="513">
        <v>400</v>
      </c>
      <c r="G92" s="513">
        <v>400</v>
      </c>
      <c r="H92" s="513">
        <v>0</v>
      </c>
      <c r="I92" s="513">
        <v>400</v>
      </c>
      <c r="J92" s="105"/>
    </row>
    <row r="93" spans="1:10" ht="63.75" customHeight="1">
      <c r="A93" s="169">
        <v>85</v>
      </c>
      <c r="B93" s="496">
        <v>42335</v>
      </c>
      <c r="C93" s="497" t="s">
        <v>976</v>
      </c>
      <c r="D93" s="498" t="s">
        <v>977</v>
      </c>
      <c r="E93" s="499" t="s">
        <v>739</v>
      </c>
      <c r="F93" s="513">
        <v>3608.1</v>
      </c>
      <c r="G93" s="513">
        <v>3608.1</v>
      </c>
      <c r="H93" s="513">
        <v>0</v>
      </c>
      <c r="I93" s="513">
        <v>3608.1</v>
      </c>
      <c r="J93" s="105"/>
    </row>
    <row r="94" spans="1:10" ht="63.75" customHeight="1">
      <c r="A94" s="169">
        <v>86</v>
      </c>
      <c r="B94" s="496">
        <v>42335</v>
      </c>
      <c r="C94" s="497" t="s">
        <v>978</v>
      </c>
      <c r="D94" s="498" t="s">
        <v>979</v>
      </c>
      <c r="E94" s="499" t="s">
        <v>739</v>
      </c>
      <c r="F94" s="513">
        <v>562.5</v>
      </c>
      <c r="G94" s="513">
        <v>562.5</v>
      </c>
      <c r="H94" s="513">
        <v>0</v>
      </c>
      <c r="I94" s="513">
        <v>562.5</v>
      </c>
      <c r="J94" s="105"/>
    </row>
    <row r="95" spans="1:10" ht="63.75" customHeight="1">
      <c r="A95" s="169">
        <v>87</v>
      </c>
      <c r="B95" s="496">
        <v>42335</v>
      </c>
      <c r="C95" s="497" t="s">
        <v>980</v>
      </c>
      <c r="D95" s="498" t="s">
        <v>981</v>
      </c>
      <c r="E95" s="499" t="s">
        <v>739</v>
      </c>
      <c r="F95" s="513">
        <v>350</v>
      </c>
      <c r="G95" s="513">
        <v>350</v>
      </c>
      <c r="H95" s="513">
        <v>0</v>
      </c>
      <c r="I95" s="513">
        <v>350</v>
      </c>
      <c r="J95" s="105"/>
    </row>
    <row r="96" spans="1:10">
      <c r="A96" s="172" t="s">
        <v>280</v>
      </c>
      <c r="B96" s="209"/>
      <c r="C96" s="180"/>
      <c r="D96" s="180"/>
      <c r="E96" s="179"/>
      <c r="F96" s="179"/>
      <c r="G96" s="282"/>
      <c r="H96" s="292" t="s">
        <v>434</v>
      </c>
      <c r="I96" s="283">
        <f>SUM(I9:I95)</f>
        <v>1405602.5100000002</v>
      </c>
      <c r="J96" s="105"/>
    </row>
    <row r="98" spans="1:12">
      <c r="A98" s="187" t="s">
        <v>467</v>
      </c>
    </row>
    <row r="100" spans="1:12">
      <c r="B100" s="189" t="s">
        <v>107</v>
      </c>
      <c r="F100" s="190"/>
    </row>
    <row r="101" spans="1:12">
      <c r="F101" s="188"/>
      <c r="I101" s="188"/>
      <c r="J101" s="188"/>
      <c r="K101" s="188"/>
      <c r="L101" s="188"/>
    </row>
    <row r="102" spans="1:12">
      <c r="C102" s="191"/>
      <c r="F102" s="191"/>
      <c r="G102" s="191"/>
      <c r="H102" s="194"/>
      <c r="I102" s="192"/>
      <c r="J102" s="188"/>
      <c r="K102" s="188"/>
      <c r="L102" s="188"/>
    </row>
    <row r="103" spans="1:12">
      <c r="A103" s="188"/>
      <c r="C103" s="193" t="s">
        <v>269</v>
      </c>
      <c r="F103" s="194" t="s">
        <v>274</v>
      </c>
      <c r="G103" s="193"/>
      <c r="H103" s="193"/>
      <c r="I103" s="192"/>
      <c r="J103" s="188"/>
      <c r="K103" s="188"/>
      <c r="L103" s="188"/>
    </row>
    <row r="104" spans="1:12">
      <c r="A104" s="188"/>
      <c r="C104" s="195" t="s">
        <v>140</v>
      </c>
      <c r="F104" s="187" t="s">
        <v>270</v>
      </c>
      <c r="I104" s="188"/>
      <c r="J104" s="188"/>
      <c r="K104" s="188"/>
      <c r="L104" s="188"/>
    </row>
    <row r="105" spans="1:12" s="188" customFormat="1">
      <c r="B105" s="187"/>
      <c r="C105" s="195"/>
      <c r="G105" s="195"/>
      <c r="H105" s="195"/>
    </row>
    <row r="106" spans="1:12" s="188" customFormat="1" ht="12.75"/>
    <row r="107" spans="1:12" s="188" customFormat="1" ht="12.75"/>
    <row r="108" spans="1:12" s="188" customFormat="1" ht="12.75"/>
    <row r="109" spans="1:12" s="188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21" right="0.2" top="0.75" bottom="0.75" header="0.3" footer="0.3"/>
  <pageSetup scale="6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Normal="100" zoomScaleSheetLayoutView="70" workbookViewId="0">
      <selection activeCell="R15" sqref="R15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469</v>
      </c>
      <c r="B1" s="197"/>
      <c r="C1" s="197"/>
      <c r="D1" s="197"/>
      <c r="E1" s="197"/>
      <c r="F1" s="197"/>
      <c r="G1" s="197"/>
      <c r="H1" s="197"/>
      <c r="I1" s="200"/>
      <c r="J1" s="269"/>
      <c r="K1" s="269"/>
      <c r="L1" s="269"/>
      <c r="M1" s="269" t="s">
        <v>423</v>
      </c>
      <c r="N1" s="200"/>
    </row>
    <row r="2" spans="1:14" ht="15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562" t="s">
        <v>982</v>
      </c>
      <c r="N2" s="562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5" t="s">
        <v>275</v>
      </c>
      <c r="B4" s="197"/>
      <c r="C4" s="197"/>
      <c r="D4" s="201"/>
      <c r="E4" s="270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/>
      <c r="B5" s="202" t="s">
        <v>512</v>
      </c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0"/>
    </row>
    <row r="7" spans="1:14" ht="51">
      <c r="A7" s="272" t="s">
        <v>64</v>
      </c>
      <c r="B7" s="273" t="s">
        <v>424</v>
      </c>
      <c r="C7" s="273" t="s">
        <v>425</v>
      </c>
      <c r="D7" s="274" t="s">
        <v>426</v>
      </c>
      <c r="E7" s="274" t="s">
        <v>276</v>
      </c>
      <c r="F7" s="274" t="s">
        <v>427</v>
      </c>
      <c r="G7" s="274" t="s">
        <v>428</v>
      </c>
      <c r="H7" s="273" t="s">
        <v>429</v>
      </c>
      <c r="I7" s="275" t="s">
        <v>430</v>
      </c>
      <c r="J7" s="275" t="s">
        <v>431</v>
      </c>
      <c r="K7" s="276" t="s">
        <v>432</v>
      </c>
      <c r="L7" s="276" t="s">
        <v>433</v>
      </c>
      <c r="M7" s="274" t="s">
        <v>423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>
      <c r="A9" s="208">
        <v>1</v>
      </c>
      <c r="B9" s="209"/>
      <c r="C9" s="277"/>
      <c r="D9" s="208"/>
      <c r="E9" s="208"/>
      <c r="F9" s="208"/>
      <c r="G9" s="208"/>
      <c r="H9" s="208"/>
      <c r="I9" s="208"/>
      <c r="J9" s="208"/>
      <c r="K9" s="208"/>
      <c r="L9" s="208"/>
      <c r="M9" s="278" t="str">
        <f t="shared" ref="M9:M33" si="0">IF(ISBLANK(B9),"",$M$2)</f>
        <v/>
      </c>
      <c r="N9" s="200"/>
    </row>
    <row r="10" spans="1:14" ht="15">
      <c r="A10" s="208">
        <v>2</v>
      </c>
      <c r="B10" s="209"/>
      <c r="C10" s="277"/>
      <c r="D10" s="208"/>
      <c r="E10" s="208"/>
      <c r="F10" s="208"/>
      <c r="G10" s="208"/>
      <c r="H10" s="208"/>
      <c r="I10" s="208"/>
      <c r="J10" s="208"/>
      <c r="K10" s="208"/>
      <c r="L10" s="208"/>
      <c r="M10" s="278" t="str">
        <f t="shared" si="0"/>
        <v/>
      </c>
      <c r="N10" s="200"/>
    </row>
    <row r="11" spans="1:14" ht="15">
      <c r="A11" s="208">
        <v>3</v>
      </c>
      <c r="B11" s="209"/>
      <c r="C11" s="277"/>
      <c r="D11" s="208"/>
      <c r="E11" s="208"/>
      <c r="F11" s="208"/>
      <c r="G11" s="208"/>
      <c r="H11" s="208"/>
      <c r="I11" s="208"/>
      <c r="J11" s="208"/>
      <c r="K11" s="208"/>
      <c r="L11" s="208"/>
      <c r="M11" s="278" t="str">
        <f t="shared" si="0"/>
        <v/>
      </c>
      <c r="N11" s="200"/>
    </row>
    <row r="12" spans="1:14" ht="15">
      <c r="A12" s="208">
        <v>4</v>
      </c>
      <c r="B12" s="209"/>
      <c r="C12" s="277"/>
      <c r="D12" s="208"/>
      <c r="E12" s="208"/>
      <c r="F12" s="208"/>
      <c r="G12" s="208"/>
      <c r="H12" s="208"/>
      <c r="I12" s="208"/>
      <c r="J12" s="208"/>
      <c r="K12" s="208"/>
      <c r="L12" s="208"/>
      <c r="M12" s="278" t="str">
        <f t="shared" si="0"/>
        <v/>
      </c>
      <c r="N12" s="200"/>
    </row>
    <row r="13" spans="1:14" ht="15">
      <c r="A13" s="208">
        <v>5</v>
      </c>
      <c r="B13" s="209"/>
      <c r="C13" s="277"/>
      <c r="D13" s="208"/>
      <c r="E13" s="208"/>
      <c r="F13" s="208"/>
      <c r="G13" s="208"/>
      <c r="H13" s="208"/>
      <c r="I13" s="208"/>
      <c r="J13" s="208"/>
      <c r="K13" s="208"/>
      <c r="L13" s="208"/>
      <c r="M13" s="278" t="str">
        <f t="shared" si="0"/>
        <v/>
      </c>
      <c r="N13" s="200"/>
    </row>
    <row r="14" spans="1:14" ht="15">
      <c r="A14" s="208">
        <v>6</v>
      </c>
      <c r="B14" s="209"/>
      <c r="C14" s="277"/>
      <c r="D14" s="208"/>
      <c r="E14" s="208"/>
      <c r="F14" s="208"/>
      <c r="G14" s="208"/>
      <c r="H14" s="208"/>
      <c r="I14" s="208"/>
      <c r="J14" s="208"/>
      <c r="K14" s="208"/>
      <c r="L14" s="208"/>
      <c r="M14" s="278" t="str">
        <f t="shared" si="0"/>
        <v/>
      </c>
      <c r="N14" s="200"/>
    </row>
    <row r="15" spans="1:14" ht="15">
      <c r="A15" s="208">
        <v>7</v>
      </c>
      <c r="B15" s="209"/>
      <c r="C15" s="277"/>
      <c r="D15" s="208"/>
      <c r="E15" s="208"/>
      <c r="F15" s="208"/>
      <c r="G15" s="208"/>
      <c r="H15" s="208"/>
      <c r="I15" s="208"/>
      <c r="J15" s="208"/>
      <c r="K15" s="208"/>
      <c r="L15" s="208"/>
      <c r="M15" s="278" t="str">
        <f t="shared" si="0"/>
        <v/>
      </c>
      <c r="N15" s="200"/>
    </row>
    <row r="16" spans="1:14" ht="15">
      <c r="A16" s="208">
        <v>8</v>
      </c>
      <c r="B16" s="209"/>
      <c r="C16" s="277"/>
      <c r="D16" s="208"/>
      <c r="E16" s="208"/>
      <c r="F16" s="208"/>
      <c r="G16" s="208"/>
      <c r="H16" s="208"/>
      <c r="I16" s="208"/>
      <c r="J16" s="208"/>
      <c r="K16" s="208"/>
      <c r="L16" s="208"/>
      <c r="M16" s="278" t="str">
        <f t="shared" si="0"/>
        <v/>
      </c>
      <c r="N16" s="200"/>
    </row>
    <row r="17" spans="1:14" ht="15">
      <c r="A17" s="208">
        <v>9</v>
      </c>
      <c r="B17" s="209"/>
      <c r="C17" s="277"/>
      <c r="D17" s="208"/>
      <c r="E17" s="208"/>
      <c r="F17" s="208"/>
      <c r="G17" s="208"/>
      <c r="H17" s="208"/>
      <c r="I17" s="208"/>
      <c r="J17" s="208"/>
      <c r="K17" s="208"/>
      <c r="L17" s="208"/>
      <c r="M17" s="278" t="str">
        <f t="shared" si="0"/>
        <v/>
      </c>
      <c r="N17" s="200"/>
    </row>
    <row r="18" spans="1:14" ht="15">
      <c r="A18" s="208">
        <v>10</v>
      </c>
      <c r="B18" s="209"/>
      <c r="C18" s="277"/>
      <c r="D18" s="208"/>
      <c r="E18" s="208"/>
      <c r="F18" s="208"/>
      <c r="G18" s="208"/>
      <c r="H18" s="208"/>
      <c r="I18" s="208"/>
      <c r="J18" s="208"/>
      <c r="K18" s="208"/>
      <c r="L18" s="208"/>
      <c r="M18" s="278" t="str">
        <f t="shared" si="0"/>
        <v/>
      </c>
      <c r="N18" s="200"/>
    </row>
    <row r="19" spans="1:14" ht="15">
      <c r="A19" s="208">
        <v>11</v>
      </c>
      <c r="B19" s="209"/>
      <c r="C19" s="277"/>
      <c r="D19" s="208"/>
      <c r="E19" s="208"/>
      <c r="F19" s="208"/>
      <c r="G19" s="208"/>
      <c r="H19" s="208"/>
      <c r="I19" s="208"/>
      <c r="J19" s="208"/>
      <c r="K19" s="208"/>
      <c r="L19" s="208"/>
      <c r="M19" s="278" t="str">
        <f t="shared" si="0"/>
        <v/>
      </c>
      <c r="N19" s="200"/>
    </row>
    <row r="20" spans="1:14" ht="15">
      <c r="A20" s="208">
        <v>12</v>
      </c>
      <c r="B20" s="209"/>
      <c r="C20" s="277"/>
      <c r="D20" s="208"/>
      <c r="E20" s="208"/>
      <c r="F20" s="208"/>
      <c r="G20" s="208"/>
      <c r="H20" s="208"/>
      <c r="I20" s="208"/>
      <c r="J20" s="208"/>
      <c r="K20" s="208"/>
      <c r="L20" s="208"/>
      <c r="M20" s="278" t="str">
        <f t="shared" si="0"/>
        <v/>
      </c>
      <c r="N20" s="200"/>
    </row>
    <row r="21" spans="1:14" ht="15">
      <c r="A21" s="208">
        <v>13</v>
      </c>
      <c r="B21" s="209"/>
      <c r="C21" s="277"/>
      <c r="D21" s="208"/>
      <c r="E21" s="208"/>
      <c r="F21" s="208"/>
      <c r="G21" s="208"/>
      <c r="H21" s="208"/>
      <c r="I21" s="208"/>
      <c r="J21" s="208"/>
      <c r="K21" s="208"/>
      <c r="L21" s="208"/>
      <c r="M21" s="278" t="str">
        <f t="shared" si="0"/>
        <v/>
      </c>
      <c r="N21" s="200"/>
    </row>
    <row r="22" spans="1:14" ht="15">
      <c r="A22" s="208">
        <v>14</v>
      </c>
      <c r="B22" s="209"/>
      <c r="C22" s="277"/>
      <c r="D22" s="208"/>
      <c r="E22" s="208"/>
      <c r="F22" s="208"/>
      <c r="G22" s="208"/>
      <c r="H22" s="208"/>
      <c r="I22" s="208"/>
      <c r="J22" s="208"/>
      <c r="K22" s="208"/>
      <c r="L22" s="208"/>
      <c r="M22" s="278" t="str">
        <f t="shared" si="0"/>
        <v/>
      </c>
      <c r="N22" s="200"/>
    </row>
    <row r="23" spans="1:14" ht="15">
      <c r="A23" s="208">
        <v>15</v>
      </c>
      <c r="B23" s="209"/>
      <c r="C23" s="277"/>
      <c r="D23" s="208"/>
      <c r="E23" s="208"/>
      <c r="F23" s="208"/>
      <c r="G23" s="208"/>
      <c r="H23" s="208"/>
      <c r="I23" s="208"/>
      <c r="J23" s="208"/>
      <c r="K23" s="208"/>
      <c r="L23" s="208"/>
      <c r="M23" s="278" t="str">
        <f t="shared" si="0"/>
        <v/>
      </c>
      <c r="N23" s="200"/>
    </row>
    <row r="24" spans="1:14" ht="15">
      <c r="A24" s="208">
        <v>16</v>
      </c>
      <c r="B24" s="209"/>
      <c r="C24" s="277"/>
      <c r="D24" s="208"/>
      <c r="E24" s="208"/>
      <c r="F24" s="208"/>
      <c r="G24" s="208"/>
      <c r="H24" s="208"/>
      <c r="I24" s="208"/>
      <c r="J24" s="208"/>
      <c r="K24" s="208"/>
      <c r="L24" s="208"/>
      <c r="M24" s="278" t="str">
        <f t="shared" si="0"/>
        <v/>
      </c>
      <c r="N24" s="200"/>
    </row>
    <row r="25" spans="1:14" ht="15">
      <c r="A25" s="208">
        <v>17</v>
      </c>
      <c r="B25" s="209"/>
      <c r="C25" s="277"/>
      <c r="D25" s="208"/>
      <c r="E25" s="208"/>
      <c r="F25" s="208"/>
      <c r="G25" s="208"/>
      <c r="H25" s="208"/>
      <c r="I25" s="208"/>
      <c r="J25" s="208"/>
      <c r="K25" s="208"/>
      <c r="L25" s="208"/>
      <c r="M25" s="278" t="str">
        <f t="shared" si="0"/>
        <v/>
      </c>
      <c r="N25" s="200"/>
    </row>
    <row r="26" spans="1:14" ht="15">
      <c r="A26" s="208">
        <v>18</v>
      </c>
      <c r="B26" s="209"/>
      <c r="C26" s="277"/>
      <c r="D26" s="208"/>
      <c r="E26" s="208"/>
      <c r="F26" s="208"/>
      <c r="G26" s="208"/>
      <c r="H26" s="208"/>
      <c r="I26" s="208"/>
      <c r="J26" s="208"/>
      <c r="K26" s="208"/>
      <c r="L26" s="208"/>
      <c r="M26" s="278" t="str">
        <f t="shared" si="0"/>
        <v/>
      </c>
      <c r="N26" s="200"/>
    </row>
    <row r="27" spans="1:14" ht="15">
      <c r="A27" s="208">
        <v>19</v>
      </c>
      <c r="B27" s="209"/>
      <c r="C27" s="277"/>
      <c r="D27" s="208"/>
      <c r="E27" s="208"/>
      <c r="F27" s="208"/>
      <c r="G27" s="208"/>
      <c r="H27" s="208"/>
      <c r="I27" s="208"/>
      <c r="J27" s="208"/>
      <c r="K27" s="208"/>
      <c r="L27" s="208"/>
      <c r="M27" s="278" t="str">
        <f t="shared" si="0"/>
        <v/>
      </c>
      <c r="N27" s="200"/>
    </row>
    <row r="28" spans="1:14" ht="15">
      <c r="A28" s="208">
        <v>20</v>
      </c>
      <c r="B28" s="209"/>
      <c r="C28" s="277"/>
      <c r="D28" s="208"/>
      <c r="E28" s="208"/>
      <c r="F28" s="208"/>
      <c r="G28" s="208"/>
      <c r="H28" s="208"/>
      <c r="I28" s="208"/>
      <c r="J28" s="208"/>
      <c r="K28" s="208"/>
      <c r="L28" s="208"/>
      <c r="M28" s="278" t="str">
        <f t="shared" si="0"/>
        <v/>
      </c>
      <c r="N28" s="200"/>
    </row>
    <row r="29" spans="1:14" ht="15">
      <c r="A29" s="208">
        <v>21</v>
      </c>
      <c r="B29" s="209"/>
      <c r="C29" s="277"/>
      <c r="D29" s="208"/>
      <c r="E29" s="208"/>
      <c r="F29" s="208"/>
      <c r="G29" s="208"/>
      <c r="H29" s="208"/>
      <c r="I29" s="208"/>
      <c r="J29" s="208"/>
      <c r="K29" s="208"/>
      <c r="L29" s="208"/>
      <c r="M29" s="278" t="str">
        <f t="shared" si="0"/>
        <v/>
      </c>
      <c r="N29" s="200"/>
    </row>
    <row r="30" spans="1:14" ht="15">
      <c r="A30" s="208">
        <v>22</v>
      </c>
      <c r="B30" s="209"/>
      <c r="C30" s="277"/>
      <c r="D30" s="208"/>
      <c r="E30" s="208"/>
      <c r="F30" s="208"/>
      <c r="G30" s="208"/>
      <c r="H30" s="208"/>
      <c r="I30" s="208"/>
      <c r="J30" s="208"/>
      <c r="K30" s="208"/>
      <c r="L30" s="208"/>
      <c r="M30" s="278" t="str">
        <f t="shared" si="0"/>
        <v/>
      </c>
      <c r="N30" s="200"/>
    </row>
    <row r="31" spans="1:14" ht="15">
      <c r="A31" s="208">
        <v>23</v>
      </c>
      <c r="B31" s="209"/>
      <c r="C31" s="277"/>
      <c r="D31" s="208"/>
      <c r="E31" s="208"/>
      <c r="F31" s="208"/>
      <c r="G31" s="208"/>
      <c r="H31" s="208"/>
      <c r="I31" s="208"/>
      <c r="J31" s="208"/>
      <c r="K31" s="208"/>
      <c r="L31" s="208"/>
      <c r="M31" s="278" t="str">
        <f t="shared" si="0"/>
        <v/>
      </c>
      <c r="N31" s="200"/>
    </row>
    <row r="32" spans="1:14" ht="15">
      <c r="A32" s="208">
        <v>24</v>
      </c>
      <c r="B32" s="209"/>
      <c r="C32" s="277"/>
      <c r="D32" s="208"/>
      <c r="E32" s="208"/>
      <c r="F32" s="208"/>
      <c r="G32" s="208"/>
      <c r="H32" s="208"/>
      <c r="I32" s="208"/>
      <c r="J32" s="208"/>
      <c r="K32" s="208"/>
      <c r="L32" s="208"/>
      <c r="M32" s="278" t="str">
        <f t="shared" si="0"/>
        <v/>
      </c>
      <c r="N32" s="200"/>
    </row>
    <row r="33" spans="1:14" ht="15">
      <c r="A33" s="279" t="s">
        <v>280</v>
      </c>
      <c r="B33" s="209"/>
      <c r="C33" s="277"/>
      <c r="D33" s="208"/>
      <c r="E33" s="208"/>
      <c r="F33" s="208"/>
      <c r="G33" s="208"/>
      <c r="H33" s="208"/>
      <c r="I33" s="208"/>
      <c r="J33" s="208"/>
      <c r="K33" s="208"/>
      <c r="L33" s="208"/>
      <c r="M33" s="278" t="str">
        <f t="shared" si="0"/>
        <v/>
      </c>
      <c r="N33" s="200"/>
    </row>
    <row r="34" spans="1:14" s="215" customFormat="1"/>
    <row r="37" spans="1:14" s="21" customFormat="1" ht="15">
      <c r="B37" s="210" t="s">
        <v>107</v>
      </c>
    </row>
    <row r="38" spans="1:14" s="21" customFormat="1" ht="15">
      <c r="B38" s="210"/>
    </row>
    <row r="39" spans="1:14" s="21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>
      <c r="C40" s="213" t="s">
        <v>269</v>
      </c>
      <c r="D40" s="211"/>
      <c r="E40" s="211"/>
      <c r="H40" s="210" t="s">
        <v>321</v>
      </c>
      <c r="M40" s="211"/>
    </row>
    <row r="41" spans="1:14" s="21" customFormat="1" ht="15">
      <c r="C41" s="213" t="s">
        <v>140</v>
      </c>
      <c r="D41" s="211"/>
      <c r="E41" s="211"/>
      <c r="H41" s="214" t="s">
        <v>270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1">
        <v>40907</v>
      </c>
      <c r="C2" t="s">
        <v>201</v>
      </c>
      <c r="E2" t="s">
        <v>232</v>
      </c>
      <c r="G2" s="62" t="s">
        <v>238</v>
      </c>
    </row>
    <row r="3" spans="1:7" ht="15">
      <c r="A3" s="61">
        <v>40908</v>
      </c>
      <c r="C3" t="s">
        <v>202</v>
      </c>
      <c r="E3" t="s">
        <v>233</v>
      </c>
      <c r="G3" s="62" t="s">
        <v>239</v>
      </c>
    </row>
    <row r="4" spans="1:7" ht="15">
      <c r="A4" s="61">
        <v>40909</v>
      </c>
      <c r="C4" t="s">
        <v>203</v>
      </c>
      <c r="E4" t="s">
        <v>234</v>
      </c>
      <c r="G4" s="62" t="s">
        <v>240</v>
      </c>
    </row>
    <row r="5" spans="1:7">
      <c r="A5" s="61">
        <v>40910</v>
      </c>
      <c r="C5" t="s">
        <v>204</v>
      </c>
      <c r="E5" t="s">
        <v>235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C42"/>
  <sheetViews>
    <sheetView showGridLines="0" view="pageBreakPreview" zoomScale="70" zoomScaleNormal="100" zoomScaleSheetLayoutView="70" workbookViewId="0">
      <selection activeCell="G20" sqref="G20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29" s="6" customFormat="1">
      <c r="A1" s="74" t="s">
        <v>273</v>
      </c>
      <c r="B1" s="258"/>
      <c r="C1" s="539" t="s">
        <v>110</v>
      </c>
      <c r="D1" s="539"/>
      <c r="E1" s="114"/>
    </row>
    <row r="2" spans="1:29" s="6" customFormat="1">
      <c r="A2" s="76" t="s">
        <v>141</v>
      </c>
      <c r="B2" s="258"/>
      <c r="C2" s="529" t="s">
        <v>982</v>
      </c>
      <c r="D2" s="529"/>
      <c r="E2" s="114"/>
      <c r="J2" s="540" t="s">
        <v>661</v>
      </c>
      <c r="K2" s="541"/>
      <c r="M2" s="540" t="s">
        <v>662</v>
      </c>
      <c r="N2" s="541"/>
      <c r="P2" s="540" t="s">
        <v>663</v>
      </c>
      <c r="Q2" s="541"/>
      <c r="S2" s="529" t="s">
        <v>664</v>
      </c>
      <c r="T2" s="538"/>
      <c r="V2" s="529" t="s">
        <v>665</v>
      </c>
      <c r="W2" s="538"/>
      <c r="Y2" s="529" t="s">
        <v>666</v>
      </c>
      <c r="Z2" s="538"/>
      <c r="AB2" s="529" t="s">
        <v>667</v>
      </c>
      <c r="AC2" s="538"/>
    </row>
    <row r="3" spans="1:29" s="6" customFormat="1">
      <c r="A3" s="76"/>
      <c r="B3" s="258"/>
      <c r="C3" s="75"/>
      <c r="D3" s="75"/>
      <c r="E3" s="114"/>
      <c r="J3" s="373"/>
      <c r="K3" s="373"/>
      <c r="M3" s="373"/>
      <c r="N3" s="373"/>
      <c r="P3" s="373"/>
      <c r="Q3" s="373"/>
      <c r="S3" s="373"/>
      <c r="T3" s="373"/>
      <c r="V3" s="373"/>
      <c r="W3" s="373"/>
      <c r="Y3" s="373"/>
      <c r="Z3" s="373"/>
      <c r="AB3" s="373"/>
      <c r="AC3" s="373"/>
    </row>
    <row r="4" spans="1:29" s="2" customFormat="1">
      <c r="A4" s="77" t="str">
        <f>'ფორმა N2'!A4</f>
        <v>ანგარიშვალდებული პირის დასახელება:</v>
      </c>
      <c r="B4" s="259"/>
      <c r="C4" s="76"/>
      <c r="D4" s="76"/>
      <c r="E4" s="108"/>
      <c r="J4" s="76"/>
      <c r="K4" s="76"/>
      <c r="M4" s="76"/>
      <c r="N4" s="76"/>
      <c r="P4" s="76"/>
      <c r="Q4" s="76"/>
      <c r="S4" s="76"/>
      <c r="T4" s="76"/>
      <c r="V4" s="76"/>
      <c r="W4" s="76"/>
      <c r="Y4" s="76"/>
      <c r="Z4" s="76"/>
      <c r="AB4" s="76"/>
      <c r="AC4" s="76"/>
    </row>
    <row r="5" spans="1:29" s="2" customFormat="1">
      <c r="A5" s="120" t="s">
        <v>512</v>
      </c>
      <c r="B5" s="260"/>
      <c r="C5" s="58"/>
      <c r="D5" s="58"/>
      <c r="E5" s="108"/>
      <c r="J5" s="58"/>
      <c r="K5" s="58"/>
      <c r="M5" s="58"/>
      <c r="N5" s="58"/>
      <c r="P5" s="58"/>
      <c r="Q5" s="58"/>
      <c r="S5" s="58"/>
      <c r="T5" s="58"/>
      <c r="V5" s="58"/>
      <c r="W5" s="58"/>
      <c r="Y5" s="58"/>
      <c r="Z5" s="58"/>
      <c r="AB5" s="58"/>
      <c r="AC5" s="58"/>
    </row>
    <row r="6" spans="1:29" s="2" customFormat="1">
      <c r="A6" s="77"/>
      <c r="B6" s="259"/>
      <c r="C6" s="76"/>
      <c r="D6" s="76"/>
      <c r="E6" s="108"/>
      <c r="J6" s="76"/>
      <c r="K6" s="76"/>
      <c r="M6" s="76"/>
      <c r="N6" s="76"/>
      <c r="P6" s="76"/>
      <c r="Q6" s="76"/>
      <c r="S6" s="76"/>
      <c r="T6" s="76"/>
      <c r="V6" s="76"/>
      <c r="W6" s="76"/>
      <c r="Y6" s="76"/>
      <c r="Z6" s="76"/>
      <c r="AB6" s="76"/>
      <c r="AC6" s="76"/>
    </row>
    <row r="7" spans="1:29" s="6" customFormat="1" ht="18">
      <c r="A7" s="100"/>
      <c r="B7" s="113"/>
      <c r="C7" s="78"/>
      <c r="D7" s="78"/>
      <c r="E7" s="114"/>
      <c r="J7" s="78"/>
      <c r="K7" s="78"/>
      <c r="M7" s="78"/>
      <c r="N7" s="78"/>
      <c r="P7" s="78"/>
      <c r="Q7" s="78"/>
      <c r="S7" s="78"/>
      <c r="T7" s="78"/>
      <c r="V7" s="78"/>
      <c r="W7" s="78"/>
      <c r="Y7" s="78"/>
      <c r="Z7" s="78"/>
      <c r="AB7" s="78"/>
      <c r="AC7" s="78"/>
    </row>
    <row r="8" spans="1:29" s="6" customFormat="1" ht="60">
      <c r="A8" s="106" t="s">
        <v>64</v>
      </c>
      <c r="B8" s="79" t="s">
        <v>250</v>
      </c>
      <c r="C8" s="79" t="s">
        <v>66</v>
      </c>
      <c r="D8" s="79" t="s">
        <v>67</v>
      </c>
      <c r="E8" s="114"/>
      <c r="F8" s="20"/>
      <c r="G8" s="20"/>
      <c r="J8" s="79" t="s">
        <v>66</v>
      </c>
      <c r="K8" s="79" t="s">
        <v>67</v>
      </c>
      <c r="M8" s="79" t="s">
        <v>66</v>
      </c>
      <c r="N8" s="79" t="s">
        <v>67</v>
      </c>
      <c r="P8" s="79" t="s">
        <v>66</v>
      </c>
      <c r="Q8" s="79" t="s">
        <v>67</v>
      </c>
      <c r="S8" s="79" t="s">
        <v>66</v>
      </c>
      <c r="T8" s="79" t="s">
        <v>67</v>
      </c>
      <c r="V8" s="79" t="s">
        <v>66</v>
      </c>
      <c r="W8" s="79" t="s">
        <v>67</v>
      </c>
      <c r="Y8" s="79" t="s">
        <v>66</v>
      </c>
      <c r="Z8" s="79" t="s">
        <v>67</v>
      </c>
      <c r="AB8" s="79" t="s">
        <v>66</v>
      </c>
      <c r="AC8" s="79" t="s">
        <v>67</v>
      </c>
    </row>
    <row r="9" spans="1:29" s="7" customFormat="1">
      <c r="A9" s="246">
        <v>1</v>
      </c>
      <c r="B9" s="246" t="s">
        <v>65</v>
      </c>
      <c r="C9" s="85">
        <f>SUM(C10,C25)</f>
        <v>503411.5</v>
      </c>
      <c r="D9" s="85">
        <f>SUM(D10,D25)</f>
        <v>500592</v>
      </c>
      <c r="E9" s="114"/>
      <c r="J9" s="85">
        <f>SUM(J10,J25)</f>
        <v>0</v>
      </c>
      <c r="K9" s="85">
        <f>SUM(K10,K25)</f>
        <v>0</v>
      </c>
      <c r="M9" s="85">
        <f>SUM(M10,M25)</f>
        <v>64932</v>
      </c>
      <c r="N9" s="85">
        <f>SUM(N10,N25)</f>
        <v>64607</v>
      </c>
      <c r="P9" s="85">
        <f>SUM(P10,P25)</f>
        <v>0</v>
      </c>
      <c r="Q9" s="85">
        <f>SUM(Q10,Q25)</f>
        <v>0</v>
      </c>
      <c r="S9" s="85">
        <f>SUM(S10,S25)</f>
        <v>344722.5</v>
      </c>
      <c r="T9" s="85">
        <f>SUM(T10,T25)</f>
        <v>342228</v>
      </c>
      <c r="V9" s="85">
        <f>SUM(V10,V25)</f>
        <v>0</v>
      </c>
      <c r="W9" s="85">
        <f>SUM(W10,W25)</f>
        <v>0</v>
      </c>
      <c r="Y9" s="85">
        <f>SUM(Y10,Y25)</f>
        <v>93757</v>
      </c>
      <c r="Z9" s="85">
        <f>SUM(Z10,Z25)</f>
        <v>93757</v>
      </c>
      <c r="AB9" s="85">
        <f>SUM(AB10,AB25)</f>
        <v>0</v>
      </c>
      <c r="AC9" s="85">
        <f>SUM(AC10,AC25)</f>
        <v>0</v>
      </c>
    </row>
    <row r="10" spans="1:29" s="7" customFormat="1">
      <c r="A10" s="87">
        <v>1.1000000000000001</v>
      </c>
      <c r="B10" s="87" t="s">
        <v>80</v>
      </c>
      <c r="C10" s="85">
        <f>SUM(C11,C12,C15,C18,C24)</f>
        <v>500719.5</v>
      </c>
      <c r="D10" s="85">
        <f>SUM(D11,D12,D15,D18,D23,D24)</f>
        <v>500592</v>
      </c>
      <c r="E10" s="114"/>
      <c r="J10" s="85">
        <f>SUM(J11,J12,J15,J18,J24)</f>
        <v>0</v>
      </c>
      <c r="K10" s="85">
        <f>SUM(K11,K12,K15,K18,K23,K24)</f>
        <v>0</v>
      </c>
      <c r="M10" s="85">
        <f>SUM(M11,M12,M15,M18,M24)</f>
        <v>64607</v>
      </c>
      <c r="N10" s="85">
        <f>SUM(N11,N12,N15,N18,N23,N24)</f>
        <v>64607</v>
      </c>
      <c r="P10" s="85">
        <f>SUM(P11,P12,P15,P18,P24)</f>
        <v>0</v>
      </c>
      <c r="Q10" s="85">
        <f>SUM(Q11,Q12,Q15,Q18,Q23,Q24)</f>
        <v>0</v>
      </c>
      <c r="S10" s="85">
        <f>SUM(S11,S12,S15,S18,S24)</f>
        <v>342355.5</v>
      </c>
      <c r="T10" s="85">
        <f>SUM(T11,T12,T15,T18,T23,T24)</f>
        <v>342228</v>
      </c>
      <c r="V10" s="85">
        <f>SUM(V11,V12,V15,V18,V24)</f>
        <v>0</v>
      </c>
      <c r="W10" s="85">
        <f>SUM(W11,W12,W15,W18,W23,W24)</f>
        <v>0</v>
      </c>
      <c r="Y10" s="85">
        <f>SUM(Y11,Y12,Y15,Y18,Y24)</f>
        <v>93757</v>
      </c>
      <c r="Z10" s="85">
        <f>SUM(Z11,Z12,Z15,Z18,Z23,Z24)</f>
        <v>93757</v>
      </c>
      <c r="AB10" s="85">
        <f>SUM(AB11,AB12,AB15,AB18,AB24)</f>
        <v>0</v>
      </c>
      <c r="AC10" s="85">
        <f>SUM(AC11,AC12,AC15,AC18,AC23,AC24)</f>
        <v>0</v>
      </c>
    </row>
    <row r="11" spans="1:29" s="9" customFormat="1" ht="18">
      <c r="A11" s="88" t="s">
        <v>30</v>
      </c>
      <c r="B11" s="88" t="s">
        <v>79</v>
      </c>
      <c r="C11" s="8">
        <v>80</v>
      </c>
      <c r="D11" s="8">
        <v>80</v>
      </c>
      <c r="E11" s="114"/>
      <c r="G11" s="9">
        <f>J11+M11+P11+S11+V11+Y11+AB11</f>
        <v>80</v>
      </c>
      <c r="H11" s="9">
        <f>K11+N11+Q11+T11+W11+Z11+AC11</f>
        <v>80</v>
      </c>
      <c r="J11" s="8"/>
      <c r="K11" s="8"/>
      <c r="M11" s="8">
        <v>20</v>
      </c>
      <c r="N11" s="8">
        <v>20</v>
      </c>
      <c r="P11" s="8"/>
      <c r="Q11" s="8"/>
      <c r="S11" s="8">
        <v>40</v>
      </c>
      <c r="T11" s="8">
        <v>40</v>
      </c>
      <c r="V11" s="8">
        <v>0</v>
      </c>
      <c r="W11" s="8">
        <v>0</v>
      </c>
      <c r="Y11" s="8">
        <v>20</v>
      </c>
      <c r="Z11" s="8">
        <v>20</v>
      </c>
      <c r="AB11" s="8">
        <v>0</v>
      </c>
      <c r="AC11" s="8">
        <v>0</v>
      </c>
    </row>
    <row r="12" spans="1:29" s="10" customFormat="1">
      <c r="A12" s="88" t="s">
        <v>31</v>
      </c>
      <c r="B12" s="88" t="s">
        <v>310</v>
      </c>
      <c r="C12" s="107">
        <f>SUM(C13:C14)</f>
        <v>146000</v>
      </c>
      <c r="D12" s="107">
        <f>SUM(D13:D14)</f>
        <v>146000</v>
      </c>
      <c r="E12" s="114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116000</v>
      </c>
      <c r="T12" s="107">
        <f>SUM(T13:T14)</f>
        <v>116000</v>
      </c>
      <c r="V12" s="107">
        <f>SUM(V13:V14)</f>
        <v>0</v>
      </c>
      <c r="W12" s="107">
        <f>SUM(W13:W14)</f>
        <v>0</v>
      </c>
      <c r="Y12" s="107">
        <f>SUM(Y13:Y14)</f>
        <v>30000</v>
      </c>
      <c r="Z12" s="107">
        <f>SUM(Z13:Z14)</f>
        <v>30000</v>
      </c>
      <c r="AB12" s="107">
        <f>SUM(AB13:AB14)</f>
        <v>0</v>
      </c>
      <c r="AC12" s="107">
        <f>SUM(AC13:AC14)</f>
        <v>0</v>
      </c>
    </row>
    <row r="13" spans="1:29" s="3" customFormat="1">
      <c r="A13" s="97" t="s">
        <v>81</v>
      </c>
      <c r="B13" s="97" t="s">
        <v>313</v>
      </c>
      <c r="C13" s="8">
        <v>146000</v>
      </c>
      <c r="D13" s="8">
        <v>146000</v>
      </c>
      <c r="E13" s="114"/>
      <c r="G13" s="3">
        <f>J13+M13+P13+S13+V13+Y13+AB13</f>
        <v>146000</v>
      </c>
      <c r="H13" s="3">
        <f>K13+N13+Q13+T13+W13+Z13+AC13</f>
        <v>146000</v>
      </c>
      <c r="J13" s="8"/>
      <c r="K13" s="8"/>
      <c r="M13" s="8"/>
      <c r="N13" s="8"/>
      <c r="P13" s="8"/>
      <c r="Q13" s="8"/>
      <c r="S13" s="8">
        <v>116000</v>
      </c>
      <c r="T13" s="8">
        <v>116000</v>
      </c>
      <c r="V13" s="8">
        <v>0</v>
      </c>
      <c r="W13" s="8">
        <v>0</v>
      </c>
      <c r="Y13" s="8">
        <v>30000</v>
      </c>
      <c r="Z13" s="8">
        <v>30000</v>
      </c>
      <c r="AB13" s="8">
        <v>0</v>
      </c>
      <c r="AC13" s="8">
        <v>0</v>
      </c>
    </row>
    <row r="14" spans="1:29" s="3" customFormat="1">
      <c r="A14" s="97" t="s">
        <v>109</v>
      </c>
      <c r="B14" s="97" t="s">
        <v>97</v>
      </c>
      <c r="C14" s="8"/>
      <c r="D14" s="8"/>
      <c r="E14" s="114"/>
      <c r="G14" s="3">
        <f>J14+M14+P14+S14+V14+Y14+AB14</f>
        <v>0</v>
      </c>
      <c r="H14" s="3">
        <f>K14+N14+Q14+T14+W14+Z14+AC14</f>
        <v>0</v>
      </c>
      <c r="J14" s="8"/>
      <c r="K14" s="8"/>
      <c r="M14" s="8"/>
      <c r="N14" s="8"/>
      <c r="P14" s="8"/>
      <c r="Q14" s="8"/>
      <c r="S14" s="8"/>
      <c r="T14" s="8"/>
      <c r="V14" s="8">
        <v>0</v>
      </c>
      <c r="W14" s="8"/>
      <c r="Y14" s="8"/>
      <c r="Z14" s="8"/>
      <c r="AB14" s="8"/>
      <c r="AC14" s="8"/>
    </row>
    <row r="15" spans="1:29" s="3" customFormat="1">
      <c r="A15" s="88" t="s">
        <v>82</v>
      </c>
      <c r="B15" s="88" t="s">
        <v>83</v>
      </c>
      <c r="C15" s="107">
        <f>SUM(C16:C17)</f>
        <v>354639.5</v>
      </c>
      <c r="D15" s="107">
        <f>SUM(D16:D17)</f>
        <v>354512</v>
      </c>
      <c r="E15" s="114"/>
      <c r="J15" s="107">
        <f>SUM(J16:J17)</f>
        <v>0</v>
      </c>
      <c r="K15" s="107">
        <f>SUM(K16:K17)</f>
        <v>0</v>
      </c>
      <c r="M15" s="107">
        <f>SUM(M16:M17)</f>
        <v>64587</v>
      </c>
      <c r="N15" s="107">
        <f>SUM(N16:N17)</f>
        <v>64587</v>
      </c>
      <c r="P15" s="107">
        <f>SUM(P16:P17)</f>
        <v>0</v>
      </c>
      <c r="Q15" s="107">
        <f>SUM(Q16:Q17)</f>
        <v>0</v>
      </c>
      <c r="S15" s="107">
        <f>SUM(S16:S17)</f>
        <v>226315.5</v>
      </c>
      <c r="T15" s="107">
        <f>SUM(T16:T17)</f>
        <v>226188</v>
      </c>
      <c r="V15" s="107">
        <f>SUM(V16:V17)</f>
        <v>0</v>
      </c>
      <c r="W15" s="107">
        <f>SUM(W16:W17)</f>
        <v>0</v>
      </c>
      <c r="Y15" s="107">
        <f>SUM(Y16:Y17)</f>
        <v>63737</v>
      </c>
      <c r="Z15" s="107">
        <f>SUM(Z16:Z17)</f>
        <v>63737</v>
      </c>
      <c r="AB15" s="107">
        <f>SUM(AB16:AB17)</f>
        <v>0</v>
      </c>
      <c r="AC15" s="107">
        <f>SUM(AC16:AC17)</f>
        <v>0</v>
      </c>
    </row>
    <row r="16" spans="1:29" s="3" customFormat="1">
      <c r="A16" s="97" t="s">
        <v>84</v>
      </c>
      <c r="B16" s="97" t="s">
        <v>86</v>
      </c>
      <c r="C16" s="8">
        <v>334912.5</v>
      </c>
      <c r="D16" s="8">
        <v>334785</v>
      </c>
      <c r="E16" s="114"/>
      <c r="G16" s="3">
        <f>J16+M16+P16+S16+V16+Y16+AB16</f>
        <v>334912.5</v>
      </c>
      <c r="H16" s="3">
        <f>K16+N16+Q16+T16+W16+Z16+AC16</f>
        <v>334785</v>
      </c>
      <c r="J16" s="8"/>
      <c r="K16" s="8"/>
      <c r="M16" s="8">
        <v>64587</v>
      </c>
      <c r="N16" s="8">
        <v>64587</v>
      </c>
      <c r="P16" s="8"/>
      <c r="Q16" s="8"/>
      <c r="S16" s="8">
        <v>206588.5</v>
      </c>
      <c r="T16" s="8">
        <v>206461</v>
      </c>
      <c r="V16" s="8">
        <v>0</v>
      </c>
      <c r="W16" s="8">
        <v>0</v>
      </c>
      <c r="Y16" s="8">
        <v>63737</v>
      </c>
      <c r="Z16" s="8">
        <v>63737</v>
      </c>
      <c r="AB16" s="8">
        <v>0</v>
      </c>
      <c r="AC16" s="8">
        <v>0</v>
      </c>
    </row>
    <row r="17" spans="1:29" s="3" customFormat="1" ht="30">
      <c r="A17" s="97" t="s">
        <v>85</v>
      </c>
      <c r="B17" s="97" t="s">
        <v>111</v>
      </c>
      <c r="C17" s="8">
        <v>19727</v>
      </c>
      <c r="D17" s="8">
        <v>19727</v>
      </c>
      <c r="E17" s="114"/>
      <c r="G17" s="3">
        <f>J17+M17+P17+S17+V17+Y17+AB17</f>
        <v>19727</v>
      </c>
      <c r="H17" s="3">
        <f>K17+N17+Q17+T17+W17+Z17+AC17</f>
        <v>19727</v>
      </c>
      <c r="J17" s="8"/>
      <c r="K17" s="8"/>
      <c r="M17" s="8"/>
      <c r="N17" s="8"/>
      <c r="P17" s="8"/>
      <c r="Q17" s="8"/>
      <c r="S17" s="8">
        <v>19727</v>
      </c>
      <c r="T17" s="8">
        <v>19727</v>
      </c>
      <c r="V17" s="8">
        <v>0</v>
      </c>
      <c r="W17" s="8">
        <v>0</v>
      </c>
      <c r="Y17" s="8"/>
      <c r="Z17" s="8"/>
      <c r="AB17" s="8"/>
      <c r="AC17" s="8"/>
    </row>
    <row r="18" spans="1:29" s="3" customFormat="1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14"/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  <c r="Y18" s="107">
        <f>SUM(Y19:Y22)</f>
        <v>0</v>
      </c>
      <c r="Z18" s="107">
        <f>SUM(Z19:Z22)</f>
        <v>0</v>
      </c>
      <c r="AB18" s="107">
        <f>SUM(AB19:AB22)</f>
        <v>0</v>
      </c>
      <c r="AC18" s="107">
        <f>SUM(AC19:AC22)</f>
        <v>0</v>
      </c>
    </row>
    <row r="19" spans="1:29" s="3" customFormat="1">
      <c r="A19" s="97" t="s">
        <v>88</v>
      </c>
      <c r="B19" s="97" t="s">
        <v>89</v>
      </c>
      <c r="C19" s="8"/>
      <c r="D19" s="8"/>
      <c r="E19" s="114"/>
      <c r="J19" s="8"/>
      <c r="K19" s="8"/>
      <c r="M19" s="8"/>
      <c r="N19" s="8"/>
      <c r="P19" s="8"/>
      <c r="Q19" s="8"/>
      <c r="S19" s="8"/>
      <c r="T19" s="8"/>
      <c r="V19" s="8"/>
      <c r="W19" s="8"/>
      <c r="Y19" s="8"/>
      <c r="Z19" s="8"/>
      <c r="AB19" s="8"/>
      <c r="AC19" s="8"/>
    </row>
    <row r="20" spans="1:29" s="3" customFormat="1" ht="30">
      <c r="A20" s="97" t="s">
        <v>92</v>
      </c>
      <c r="B20" s="97" t="s">
        <v>90</v>
      </c>
      <c r="C20" s="8"/>
      <c r="D20" s="8"/>
      <c r="E20" s="114"/>
      <c r="J20" s="8"/>
      <c r="K20" s="8"/>
      <c r="M20" s="8"/>
      <c r="N20" s="8"/>
      <c r="P20" s="8"/>
      <c r="Q20" s="8"/>
      <c r="S20" s="8"/>
      <c r="T20" s="8"/>
      <c r="V20" s="8"/>
      <c r="W20" s="8"/>
      <c r="Y20" s="8"/>
      <c r="Z20" s="8"/>
      <c r="AB20" s="8"/>
      <c r="AC20" s="8"/>
    </row>
    <row r="21" spans="1:29" s="3" customFormat="1">
      <c r="A21" s="97" t="s">
        <v>93</v>
      </c>
      <c r="B21" s="97" t="s">
        <v>91</v>
      </c>
      <c r="C21" s="8"/>
      <c r="D21" s="8"/>
      <c r="E21" s="114"/>
      <c r="J21" s="8"/>
      <c r="K21" s="8"/>
      <c r="M21" s="8"/>
      <c r="N21" s="8"/>
      <c r="P21" s="8"/>
      <c r="Q21" s="8"/>
      <c r="S21" s="8"/>
      <c r="T21" s="8"/>
      <c r="V21" s="8"/>
      <c r="W21" s="8"/>
      <c r="Y21" s="8"/>
      <c r="Z21" s="8"/>
      <c r="AB21" s="8"/>
      <c r="AC21" s="8"/>
    </row>
    <row r="22" spans="1:29" s="3" customFormat="1">
      <c r="A22" s="97" t="s">
        <v>94</v>
      </c>
      <c r="B22" s="97" t="s">
        <v>448</v>
      </c>
      <c r="C22" s="8"/>
      <c r="D22" s="8"/>
      <c r="E22" s="114"/>
      <c r="J22" s="8"/>
      <c r="K22" s="8"/>
      <c r="M22" s="8"/>
      <c r="N22" s="8"/>
      <c r="P22" s="8"/>
      <c r="Q22" s="8"/>
      <c r="S22" s="8"/>
      <c r="T22" s="8"/>
      <c r="V22" s="8"/>
      <c r="W22" s="8"/>
      <c r="Y22" s="8"/>
      <c r="Z22" s="8"/>
      <c r="AB22" s="8"/>
      <c r="AC22" s="8"/>
    </row>
    <row r="23" spans="1:29" s="3" customFormat="1">
      <c r="A23" s="88" t="s">
        <v>95</v>
      </c>
      <c r="B23" s="88" t="s">
        <v>449</v>
      </c>
      <c r="C23" s="284"/>
      <c r="D23" s="8"/>
      <c r="E23" s="114"/>
      <c r="J23" s="284"/>
      <c r="K23" s="8"/>
      <c r="M23" s="284"/>
      <c r="N23" s="8"/>
      <c r="P23" s="284"/>
      <c r="Q23" s="8"/>
      <c r="S23" s="284"/>
      <c r="T23" s="8"/>
      <c r="V23" s="284"/>
      <c r="W23" s="8"/>
      <c r="Y23" s="284"/>
      <c r="Z23" s="8"/>
      <c r="AB23" s="284"/>
      <c r="AC23" s="8"/>
    </row>
    <row r="24" spans="1:29" s="3" customFormat="1">
      <c r="A24" s="88" t="s">
        <v>252</v>
      </c>
      <c r="B24" s="88" t="s">
        <v>455</v>
      </c>
      <c r="C24" s="8"/>
      <c r="D24" s="8"/>
      <c r="E24" s="114"/>
      <c r="J24" s="8"/>
      <c r="K24" s="8"/>
      <c r="M24" s="8"/>
      <c r="N24" s="8"/>
      <c r="P24" s="8"/>
      <c r="Q24" s="8"/>
      <c r="S24" s="8"/>
      <c r="T24" s="8"/>
      <c r="V24" s="8"/>
      <c r="W24" s="8"/>
      <c r="Y24" s="8"/>
      <c r="Z24" s="8"/>
      <c r="AB24" s="8"/>
      <c r="AC24" s="8"/>
    </row>
    <row r="25" spans="1:29" s="3" customFormat="1">
      <c r="A25" s="87">
        <v>1.2</v>
      </c>
      <c r="B25" s="246" t="s">
        <v>96</v>
      </c>
      <c r="C25" s="85">
        <f>SUM(C26,C30)</f>
        <v>2692</v>
      </c>
      <c r="D25" s="85">
        <f>SUM(D26,D30)</f>
        <v>0</v>
      </c>
      <c r="E25" s="114"/>
      <c r="J25" s="85">
        <f>SUM(J26,J30)</f>
        <v>0</v>
      </c>
      <c r="K25" s="85">
        <f>SUM(K26,K30)</f>
        <v>0</v>
      </c>
      <c r="M25" s="85">
        <f>SUM(M26,M30)</f>
        <v>325</v>
      </c>
      <c r="N25" s="85">
        <f>SUM(N26,N30)</f>
        <v>0</v>
      </c>
      <c r="P25" s="85">
        <f>SUM(P26,P30)</f>
        <v>0</v>
      </c>
      <c r="Q25" s="85">
        <f>SUM(Q26,Q30)</f>
        <v>0</v>
      </c>
      <c r="S25" s="85">
        <f>SUM(S26,S30)</f>
        <v>2367</v>
      </c>
      <c r="T25" s="85">
        <f>SUM(T26,T30)</f>
        <v>0</v>
      </c>
      <c r="V25" s="85">
        <f>SUM(V26,V30)</f>
        <v>0</v>
      </c>
      <c r="W25" s="85">
        <f>SUM(W26,W30)</f>
        <v>0</v>
      </c>
      <c r="Y25" s="85">
        <f>SUM(Y26,Y30)</f>
        <v>0</v>
      </c>
      <c r="Z25" s="85">
        <f>SUM(Z26,Z30)</f>
        <v>0</v>
      </c>
      <c r="AB25" s="85">
        <f>SUM(AB26,AB30)</f>
        <v>0</v>
      </c>
      <c r="AC25" s="85">
        <f>SUM(AC26,AC30)</f>
        <v>0</v>
      </c>
    </row>
    <row r="26" spans="1:29">
      <c r="A26" s="88" t="s">
        <v>32</v>
      </c>
      <c r="B26" s="88" t="s">
        <v>313</v>
      </c>
      <c r="C26" s="107">
        <f>SUM(C27:C29)</f>
        <v>2625</v>
      </c>
      <c r="D26" s="107">
        <f>SUM(D27:D29)</f>
        <v>0</v>
      </c>
      <c r="E26" s="114"/>
      <c r="J26" s="107">
        <f>SUM(J27:J29)</f>
        <v>0</v>
      </c>
      <c r="K26" s="107">
        <f>SUM(K27:K29)</f>
        <v>0</v>
      </c>
      <c r="M26" s="107">
        <f>SUM(M27:M29)</f>
        <v>325</v>
      </c>
      <c r="N26" s="107">
        <f>SUM(N27:N29)</f>
        <v>0</v>
      </c>
      <c r="P26" s="107">
        <f>SUM(P27:P29)</f>
        <v>0</v>
      </c>
      <c r="Q26" s="107">
        <f>SUM(Q27:Q29)</f>
        <v>0</v>
      </c>
      <c r="S26" s="107">
        <f>SUM(S27:S29)</f>
        <v>2300</v>
      </c>
      <c r="T26" s="107">
        <f>SUM(T27:T29)</f>
        <v>0</v>
      </c>
      <c r="V26" s="107">
        <f>SUM(V27:V29)</f>
        <v>0</v>
      </c>
      <c r="W26" s="107">
        <f>SUM(W27:W29)</f>
        <v>0</v>
      </c>
      <c r="Y26" s="107">
        <f>SUM(Y27:Y29)</f>
        <v>0</v>
      </c>
      <c r="Z26" s="107">
        <f>SUM(Z27:Z29)</f>
        <v>0</v>
      </c>
      <c r="AB26" s="107">
        <f>SUM(AB27:AB29)</f>
        <v>0</v>
      </c>
      <c r="AC26" s="107">
        <f>SUM(AC27:AC29)</f>
        <v>0</v>
      </c>
    </row>
    <row r="27" spans="1:29">
      <c r="A27" s="253" t="s">
        <v>98</v>
      </c>
      <c r="B27" s="97" t="s">
        <v>311</v>
      </c>
      <c r="C27" s="8">
        <v>2625</v>
      </c>
      <c r="D27" s="8"/>
      <c r="E27" s="114"/>
      <c r="G27" s="21">
        <f>J27+M27+P27+S27+V27+Y27+AB27</f>
        <v>2625</v>
      </c>
      <c r="H27" s="21">
        <f>K27+N27+Q27+T27+W27+Z27+AC27</f>
        <v>0</v>
      </c>
      <c r="J27" s="8"/>
      <c r="K27" s="8"/>
      <c r="M27" s="8">
        <v>325</v>
      </c>
      <c r="N27" s="8"/>
      <c r="P27" s="8"/>
      <c r="Q27" s="8"/>
      <c r="S27" s="8">
        <v>2300</v>
      </c>
      <c r="T27" s="8"/>
      <c r="V27" s="8">
        <v>0</v>
      </c>
      <c r="W27" s="8"/>
      <c r="Y27" s="8"/>
      <c r="Z27" s="8"/>
      <c r="AB27" s="8"/>
      <c r="AC27" s="8"/>
    </row>
    <row r="28" spans="1:29">
      <c r="A28" s="253" t="s">
        <v>99</v>
      </c>
      <c r="B28" s="97" t="s">
        <v>314</v>
      </c>
      <c r="C28" s="8"/>
      <c r="D28" s="8"/>
      <c r="E28" s="114"/>
      <c r="J28" s="8"/>
      <c r="K28" s="8"/>
      <c r="M28" s="8"/>
      <c r="N28" s="8"/>
      <c r="P28" s="8"/>
      <c r="Q28" s="8"/>
      <c r="S28" s="8"/>
      <c r="T28" s="8"/>
      <c r="V28" s="8"/>
      <c r="W28" s="8"/>
      <c r="Y28" s="8"/>
      <c r="Z28" s="8"/>
      <c r="AB28" s="8"/>
      <c r="AC28" s="8"/>
    </row>
    <row r="29" spans="1:29">
      <c r="A29" s="253" t="s">
        <v>458</v>
      </c>
      <c r="B29" s="97" t="s">
        <v>312</v>
      </c>
      <c r="C29" s="8"/>
      <c r="D29" s="8"/>
      <c r="E29" s="114"/>
      <c r="J29" s="8"/>
      <c r="K29" s="8"/>
      <c r="M29" s="8"/>
      <c r="N29" s="8"/>
      <c r="P29" s="8"/>
      <c r="Q29" s="8"/>
      <c r="S29" s="8"/>
      <c r="T29" s="8"/>
      <c r="V29" s="8"/>
      <c r="W29" s="8"/>
      <c r="Y29" s="8"/>
      <c r="Z29" s="8"/>
      <c r="AB29" s="8"/>
      <c r="AC29" s="8"/>
    </row>
    <row r="30" spans="1:29">
      <c r="A30" s="88" t="s">
        <v>33</v>
      </c>
      <c r="B30" s="281" t="s">
        <v>456</v>
      </c>
      <c r="C30" s="8">
        <v>67</v>
      </c>
      <c r="D30" s="8"/>
      <c r="E30" s="114"/>
      <c r="G30" s="21">
        <f>J30+M30+P30+S30+V30+Y30+AB30</f>
        <v>67</v>
      </c>
      <c r="J30" s="8"/>
      <c r="K30" s="8"/>
      <c r="M30" s="8"/>
      <c r="N30" s="8"/>
      <c r="P30" s="8"/>
      <c r="Q30" s="8"/>
      <c r="S30" s="8">
        <v>67</v>
      </c>
      <c r="T30" s="8"/>
      <c r="V30" s="8">
        <v>0</v>
      </c>
      <c r="W30" s="8"/>
      <c r="Y30" s="8"/>
      <c r="Z30" s="8"/>
      <c r="AB30" s="8"/>
      <c r="AC30" s="8"/>
    </row>
    <row r="31" spans="1:29" s="22" customFormat="1" ht="12.75">
      <c r="B31" s="261"/>
    </row>
    <row r="32" spans="1:29" s="2" customFormat="1">
      <c r="A32" s="1"/>
      <c r="B32" s="262"/>
      <c r="E32" s="5"/>
    </row>
    <row r="33" spans="1:10" s="2" customFormat="1">
      <c r="B33" s="262"/>
      <c r="E33" s="5"/>
    </row>
    <row r="34" spans="1:10">
      <c r="A34" s="1"/>
    </row>
    <row r="35" spans="1:10">
      <c r="A35" s="2"/>
    </row>
    <row r="36" spans="1:10" s="2" customFormat="1">
      <c r="A36" s="69" t="s">
        <v>107</v>
      </c>
      <c r="B36" s="262"/>
      <c r="E36" s="5"/>
    </row>
    <row r="37" spans="1:10" s="2" customFormat="1">
      <c r="B37" s="262"/>
      <c r="E37"/>
      <c r="F37"/>
      <c r="G37"/>
      <c r="H37"/>
      <c r="I37"/>
      <c r="J37"/>
    </row>
    <row r="38" spans="1:10" s="2" customFormat="1">
      <c r="B38" s="262"/>
      <c r="D38" s="12"/>
      <c r="E38"/>
      <c r="F38"/>
      <c r="G38"/>
      <c r="H38"/>
      <c r="I38"/>
      <c r="J38"/>
    </row>
    <row r="39" spans="1:10" s="2" customFormat="1">
      <c r="A39"/>
      <c r="B39" s="264" t="s">
        <v>452</v>
      </c>
      <c r="D39" s="12"/>
      <c r="E39"/>
      <c r="F39"/>
      <c r="G39"/>
      <c r="H39"/>
      <c r="I39"/>
      <c r="J39"/>
    </row>
    <row r="40" spans="1:10" s="2" customFormat="1">
      <c r="A40"/>
      <c r="B40" s="262" t="s">
        <v>271</v>
      </c>
      <c r="D40" s="12"/>
      <c r="E40"/>
      <c r="F40"/>
      <c r="G40"/>
      <c r="H40"/>
      <c r="I40"/>
      <c r="J40"/>
    </row>
    <row r="41" spans="1:10" customFormat="1" ht="12.75">
      <c r="B41" s="265" t="s">
        <v>140</v>
      </c>
    </row>
    <row r="42" spans="1:10" customFormat="1" ht="12.75">
      <c r="B42" s="266"/>
    </row>
  </sheetData>
  <mergeCells count="9">
    <mergeCell ref="S2:T2"/>
    <mergeCell ref="V2:W2"/>
    <mergeCell ref="Y2:Z2"/>
    <mergeCell ref="AB2:AC2"/>
    <mergeCell ref="C1:D1"/>
    <mergeCell ref="C2:D2"/>
    <mergeCell ref="J2:K2"/>
    <mergeCell ref="M2:N2"/>
    <mergeCell ref="P2:Q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88"/>
  <sheetViews>
    <sheetView showGridLines="0" view="pageBreakPreview" topLeftCell="B1" zoomScale="70" zoomScaleNormal="100" zoomScaleSheetLayoutView="70" workbookViewId="0">
      <selection activeCell="G9" sqref="G9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29" s="6" customFormat="1">
      <c r="A1" s="74" t="s">
        <v>408</v>
      </c>
      <c r="B1" s="243"/>
      <c r="C1" s="539" t="s">
        <v>110</v>
      </c>
      <c r="D1" s="539"/>
      <c r="E1" s="91"/>
    </row>
    <row r="2" spans="1:29" s="6" customFormat="1">
      <c r="A2" s="74" t="s">
        <v>409</v>
      </c>
      <c r="B2" s="243"/>
      <c r="C2" s="529" t="s">
        <v>982</v>
      </c>
      <c r="D2" s="529"/>
      <c r="E2" s="91"/>
      <c r="J2" s="529" t="s">
        <v>661</v>
      </c>
      <c r="K2" s="538"/>
      <c r="M2" s="6" t="s">
        <v>662</v>
      </c>
      <c r="P2" s="6" t="s">
        <v>663</v>
      </c>
      <c r="S2" s="6" t="s">
        <v>664</v>
      </c>
      <c r="V2" s="6" t="s">
        <v>668</v>
      </c>
      <c r="Y2" s="6" t="s">
        <v>669</v>
      </c>
      <c r="AB2" s="6" t="s">
        <v>670</v>
      </c>
    </row>
    <row r="3" spans="1:29" s="6" customFormat="1">
      <c r="A3" s="74" t="s">
        <v>410</v>
      </c>
      <c r="B3" s="243"/>
      <c r="C3" s="244"/>
      <c r="D3" s="244"/>
      <c r="E3" s="91"/>
      <c r="J3" s="373"/>
      <c r="K3" s="373"/>
    </row>
    <row r="4" spans="1:29" s="6" customFormat="1">
      <c r="A4" s="76" t="s">
        <v>141</v>
      </c>
      <c r="B4" s="243"/>
      <c r="C4" s="244"/>
      <c r="D4" s="244"/>
      <c r="E4" s="91"/>
      <c r="J4" s="373"/>
      <c r="K4" s="373"/>
    </row>
    <row r="5" spans="1:29" s="6" customFormat="1">
      <c r="A5" s="76"/>
      <c r="B5" s="243"/>
      <c r="C5" s="244"/>
      <c r="D5" s="244"/>
      <c r="E5" s="91"/>
      <c r="J5" s="373"/>
      <c r="K5" s="373"/>
    </row>
    <row r="6" spans="1:29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  <c r="J6" s="76"/>
      <c r="K6" s="76"/>
    </row>
    <row r="7" spans="1:29">
      <c r="A7" s="245" t="s">
        <v>512</v>
      </c>
      <c r="B7" s="80"/>
      <c r="C7" s="81"/>
      <c r="D7" s="81"/>
      <c r="E7" s="92"/>
      <c r="J7" s="81"/>
      <c r="K7" s="81"/>
    </row>
    <row r="8" spans="1:29">
      <c r="A8" s="77"/>
      <c r="B8" s="77"/>
      <c r="C8" s="76"/>
      <c r="D8" s="76"/>
      <c r="E8" s="92"/>
      <c r="J8" s="76"/>
      <c r="K8" s="76"/>
    </row>
    <row r="9" spans="1:29" s="6" customFormat="1">
      <c r="A9" s="243"/>
      <c r="B9" s="243"/>
      <c r="C9" s="78"/>
      <c r="D9" s="78"/>
      <c r="E9" s="91"/>
      <c r="J9" s="78"/>
      <c r="K9" s="78"/>
    </row>
    <row r="10" spans="1:29" s="6" customFormat="1" ht="45">
      <c r="A10" s="89" t="s">
        <v>64</v>
      </c>
      <c r="B10" s="90" t="s">
        <v>11</v>
      </c>
      <c r="C10" s="79" t="s">
        <v>10</v>
      </c>
      <c r="D10" s="79" t="s">
        <v>9</v>
      </c>
      <c r="E10" s="91"/>
      <c r="J10" s="79" t="s">
        <v>10</v>
      </c>
      <c r="K10" s="79" t="s">
        <v>9</v>
      </c>
    </row>
    <row r="11" spans="1:29" s="7" customFormat="1">
      <c r="A11" s="246">
        <v>1</v>
      </c>
      <c r="B11" s="246" t="s">
        <v>57</v>
      </c>
      <c r="C11" s="413">
        <f>SUM(C12,C15,C54,C57,C58,C59,C77)</f>
        <v>1109168.3499999999</v>
      </c>
      <c r="D11" s="413">
        <f>SUM(D12,D15,D54,D57,D58,D59,D65,D73,D74)</f>
        <v>1080364.94</v>
      </c>
      <c r="E11" s="247"/>
      <c r="J11" s="413">
        <f>SUM(J12,J15,J54,J57,J58,J59,J77)</f>
        <v>269213.56</v>
      </c>
      <c r="K11" s="413">
        <f>SUM(K12,K15,K54,K57,K58,K59,K65,K73,K74)</f>
        <v>251713.15000000002</v>
      </c>
      <c r="M11" s="413">
        <f>SUM(M12,M15,M54,M57,M58,M59,M77)</f>
        <v>165432.38</v>
      </c>
      <c r="N11" s="413">
        <f>SUM(N12,N15,N54,N57,N58,N59,N65,N73,N74)</f>
        <v>194267</v>
      </c>
      <c r="P11" s="413">
        <f>SUM(P12,P15,P54,P57,P58,P59,P77)</f>
        <v>208717.84000000003</v>
      </c>
      <c r="Q11" s="413">
        <f>SUM(Q12,Q15,Q54,Q57,Q58,Q59,Q65,Q73,Q74)</f>
        <v>214526.79</v>
      </c>
      <c r="S11" s="413">
        <f>SUM(S12,S15,S54,S57,S58,S59,S77)</f>
        <v>258412.95</v>
      </c>
      <c r="T11" s="413">
        <f>SUM(T12,T15,T54,T57,T58,T59,T65,T73,T74)</f>
        <v>246483.55</v>
      </c>
      <c r="V11" s="413">
        <f>SUM(V12,V15,V54,V57,V58,V59,V77)</f>
        <v>81231.040000000008</v>
      </c>
      <c r="W11" s="413">
        <f>SUM(W12,W15,W54,W57,W58,W59,W65,W73,W74)</f>
        <v>80544.34</v>
      </c>
      <c r="Y11" s="413">
        <f>SUM(Y12,Y15,Y54,Y57,Y58,Y59,Y77)</f>
        <v>22081.120000000003</v>
      </c>
      <c r="Z11" s="413">
        <f>SUM(Z12,Z15,Z54,Z57,Z58,Z59,Z65,Z73,Z74)</f>
        <v>82520.210000000006</v>
      </c>
      <c r="AB11" s="413">
        <f>SUM(AB12,AB15,AB54,AB57,AB58,AB59,AB77)</f>
        <v>104075.98999999999</v>
      </c>
      <c r="AC11" s="413">
        <f>SUM(AC12,AC15,AC54,AC57,AC58,AC59,AC65,AC73,AC74)</f>
        <v>10308.290000000001</v>
      </c>
    </row>
    <row r="12" spans="1:29" s="9" customFormat="1" ht="18">
      <c r="A12" s="87">
        <v>1.1000000000000001</v>
      </c>
      <c r="B12" s="87" t="s">
        <v>58</v>
      </c>
      <c r="C12" s="414">
        <f>SUM(C13:C14)</f>
        <v>45000</v>
      </c>
      <c r="D12" s="414">
        <f>SUM(D13:D14)</f>
        <v>45000</v>
      </c>
      <c r="E12" s="93"/>
      <c r="J12" s="414">
        <f>SUM(J13:J14)</f>
        <v>11250</v>
      </c>
      <c r="K12" s="414">
        <f>SUM(K13:K14)</f>
        <v>11250</v>
      </c>
      <c r="M12" s="414">
        <f>SUM(M13:M14)</f>
        <v>7500</v>
      </c>
      <c r="N12" s="414">
        <f>SUM(N13:N14)</f>
        <v>10000</v>
      </c>
      <c r="P12" s="414">
        <f>SUM(P13:P14)</f>
        <v>7500</v>
      </c>
      <c r="Q12" s="414">
        <f>SUM(Q13:Q14)</f>
        <v>8750</v>
      </c>
      <c r="S12" s="414">
        <f>SUM(S13:S14)</f>
        <v>11250</v>
      </c>
      <c r="T12" s="414">
        <f>SUM(T13:T14)</f>
        <v>7500</v>
      </c>
      <c r="V12" s="414">
        <f>SUM(V13:V14)</f>
        <v>3750</v>
      </c>
      <c r="W12" s="414">
        <f>SUM(W13:W14)</f>
        <v>3750</v>
      </c>
      <c r="Y12" s="414">
        <f>SUM(Y13:Y14)</f>
        <v>0</v>
      </c>
      <c r="Z12" s="414">
        <f>SUM(Z13:Z14)</f>
        <v>3750</v>
      </c>
      <c r="AB12" s="414">
        <f>SUM(AB13:AB14)</f>
        <v>3750</v>
      </c>
      <c r="AC12" s="414">
        <f>SUM(AC13:AC14)</f>
        <v>0</v>
      </c>
    </row>
    <row r="13" spans="1:29" s="10" customFormat="1">
      <c r="A13" s="88" t="s">
        <v>30</v>
      </c>
      <c r="B13" s="88" t="s">
        <v>59</v>
      </c>
      <c r="C13" s="4">
        <v>45000</v>
      </c>
      <c r="D13" s="4">
        <v>45000</v>
      </c>
      <c r="E13" s="94"/>
      <c r="G13" s="68">
        <f>J13+M13+P13+S13+V13+Y13+AB13</f>
        <v>45000</v>
      </c>
      <c r="H13" s="68">
        <f>K13+N13+Q13+T13+W13+Z13+AC13</f>
        <v>45000</v>
      </c>
      <c r="J13" s="4">
        <v>11250</v>
      </c>
      <c r="K13" s="4">
        <v>11250</v>
      </c>
      <c r="M13" s="4">
        <v>7500</v>
      </c>
      <c r="N13" s="4">
        <v>10000</v>
      </c>
      <c r="P13" s="4">
        <v>7500</v>
      </c>
      <c r="Q13" s="4">
        <v>8750</v>
      </c>
      <c r="S13" s="4">
        <v>11250</v>
      </c>
      <c r="T13" s="4">
        <v>7500</v>
      </c>
      <c r="V13" s="4">
        <v>3750</v>
      </c>
      <c r="W13" s="4">
        <v>3750</v>
      </c>
      <c r="Y13" s="4"/>
      <c r="Z13" s="4">
        <v>3750</v>
      </c>
      <c r="AB13" s="4">
        <v>3750</v>
      </c>
      <c r="AC13" s="4">
        <v>0</v>
      </c>
    </row>
    <row r="14" spans="1:29" s="3" customFormat="1">
      <c r="A14" s="88" t="s">
        <v>31</v>
      </c>
      <c r="B14" s="88" t="s">
        <v>0</v>
      </c>
      <c r="C14" s="4"/>
      <c r="D14" s="4"/>
      <c r="E14" s="95"/>
      <c r="J14" s="4"/>
      <c r="K14" s="4"/>
      <c r="M14" s="4"/>
      <c r="N14" s="4"/>
      <c r="P14" s="4"/>
      <c r="Q14" s="4"/>
      <c r="S14" s="4"/>
      <c r="T14" s="4"/>
      <c r="V14" s="4">
        <v>0</v>
      </c>
      <c r="W14" s="4"/>
      <c r="Y14" s="4"/>
      <c r="Z14" s="4"/>
      <c r="AB14" s="4"/>
      <c r="AC14" s="4"/>
    </row>
    <row r="15" spans="1:29" s="7" customFormat="1">
      <c r="A15" s="87">
        <v>1.2</v>
      </c>
      <c r="B15" s="87" t="s">
        <v>60</v>
      </c>
      <c r="C15" s="79">
        <f>SUM(C16,C19,C31,C32,C33,C34,C37,C38,C44:C48,C52,C53)</f>
        <v>1024090.4</v>
      </c>
      <c r="D15" s="79">
        <f>SUM(D16,D19,D31,D32,D33,D34,D37,D38,D44:D48,D52,D53)</f>
        <v>1019618.94</v>
      </c>
      <c r="E15" s="247"/>
      <c r="J15" s="79">
        <f>SUM(J16,J19,J31,J32,J33,J34,J37,J38,J44:J48,J52,J53)</f>
        <v>257867.8</v>
      </c>
      <c r="K15" s="79">
        <f>SUM(K16,K19,K31,K32,K33,K34,K37,K38,K44:K48,K52,K53)</f>
        <v>240463.15000000002</v>
      </c>
      <c r="M15" s="79">
        <f>SUM(M16,M19,M31,M32,M33,M34,M37,M38,M44:M48,M52,M53)</f>
        <v>157932.38</v>
      </c>
      <c r="N15" s="79">
        <f>SUM(N16,N19,N31,N32,N33,N34,N37,N38,N44:N48,N52,N53)</f>
        <v>184267</v>
      </c>
      <c r="P15" s="79">
        <f>SUM(P16,P19,P31,P32,P33,P34,P37,P38,P44:P48,P52,P53)</f>
        <v>200977.84000000003</v>
      </c>
      <c r="Q15" s="79">
        <f>SUM(Q16,Q19,Q31,Q32,Q33,Q34,Q37,Q38,Q44:Q48,Q52,Q53)</f>
        <v>205536.79</v>
      </c>
      <c r="S15" s="79">
        <f>SUM(S16,S19,S31,S32,S33,S34,S37,S38,S44:S48,S52,S53)</f>
        <v>245342.95</v>
      </c>
      <c r="T15" s="79">
        <f>SUM(T16,T19,T31,T32,T33,T34,T37,T38,T44:T48,T52,T53)</f>
        <v>237163.55</v>
      </c>
      <c r="V15" s="79">
        <f>SUM(V16,V19,V31,V32,V33,V34,V37,V38,V44:V48,V52,V53)</f>
        <v>76857.260000000009</v>
      </c>
      <c r="W15" s="79">
        <f>SUM(W16,W19,W31,W32,W33,W34,W37,W38,W44:W48,W52,W53)</f>
        <v>76170.559999999998</v>
      </c>
      <c r="Y15" s="79">
        <f>SUM(Y16,Y19,Y31,Y32,Y33,Y34,Y37,Y38,Y44:Y48,Y52,Y53)</f>
        <v>21142.930000000004</v>
      </c>
      <c r="Z15" s="79">
        <f>SUM(Z16,Z19,Z31,Z32,Z33,Z34,Z37,Z38,Z44:Z48,Z52,Z53)</f>
        <v>65708.210000000006</v>
      </c>
      <c r="AB15" s="79">
        <f>SUM(AB16,AB19,AB31,AB32,AB33,AB34,AB37,AB38,AB44:AB48,AB52,AB53)</f>
        <v>63966.039999999994</v>
      </c>
      <c r="AC15" s="79">
        <f>SUM(AC16,AC19,AC31,AC32,AC33,AC34,AC37,AC38,AC44:AC48,AC52,AC53)</f>
        <v>10308.290000000001</v>
      </c>
    </row>
    <row r="16" spans="1:29" s="3" customFormat="1">
      <c r="A16" s="88" t="s">
        <v>32</v>
      </c>
      <c r="B16" s="88" t="s">
        <v>1</v>
      </c>
      <c r="C16" s="414">
        <f>SUM(C17:C18)</f>
        <v>30527</v>
      </c>
      <c r="D16" s="414">
        <f>SUM(D17:D18)</f>
        <v>30524</v>
      </c>
      <c r="E16" s="95"/>
      <c r="J16" s="414">
        <f>SUM(J17:J18)</f>
        <v>0</v>
      </c>
      <c r="K16" s="414">
        <f>SUM(K17:K18)</f>
        <v>0</v>
      </c>
      <c r="M16" s="414">
        <f>SUM(M17:M18)</f>
        <v>0</v>
      </c>
      <c r="N16" s="414">
        <f>SUM(N17:N18)</f>
        <v>0</v>
      </c>
      <c r="P16" s="414">
        <f>SUM(P17:P18)</f>
        <v>27993.35</v>
      </c>
      <c r="Q16" s="414">
        <f>SUM(Q17:Q18)</f>
        <v>27990.400000000001</v>
      </c>
      <c r="S16" s="414">
        <f>SUM(S17:S18)</f>
        <v>0</v>
      </c>
      <c r="T16" s="414">
        <f>SUM(T17:T18)</f>
        <v>0</v>
      </c>
      <c r="V16" s="414">
        <f>SUM(V17:V18)</f>
        <v>2533</v>
      </c>
      <c r="W16" s="414">
        <f>SUM(W17:W18)</f>
        <v>2533.44</v>
      </c>
      <c r="Y16" s="414">
        <f>SUM(Y17:Y18)</f>
        <v>0</v>
      </c>
      <c r="Z16" s="414">
        <f>SUM(Z17:Z18)</f>
        <v>0</v>
      </c>
      <c r="AB16" s="414">
        <f>SUM(AB17:AB18)</f>
        <v>0</v>
      </c>
      <c r="AC16" s="414">
        <f>SUM(AC17:AC18)</f>
        <v>0</v>
      </c>
    </row>
    <row r="17" spans="1:29" s="3" customFormat="1">
      <c r="A17" s="97" t="s">
        <v>98</v>
      </c>
      <c r="B17" s="97" t="s">
        <v>61</v>
      </c>
      <c r="C17" s="4">
        <v>296</v>
      </c>
      <c r="D17" s="248">
        <v>293</v>
      </c>
      <c r="E17" s="95"/>
      <c r="G17" s="250">
        <f>J17+M17+P17+S17+V17+Y17+AB17</f>
        <v>295.83</v>
      </c>
      <c r="H17" s="250">
        <f>K17+N17+Q17+T17+W17+Z17+AC17</f>
        <v>292.88</v>
      </c>
      <c r="J17" s="4"/>
      <c r="K17" s="248"/>
      <c r="M17" s="4"/>
      <c r="N17" s="248"/>
      <c r="P17" s="4">
        <v>295.83</v>
      </c>
      <c r="Q17" s="248">
        <v>292.88</v>
      </c>
      <c r="S17" s="4"/>
      <c r="T17" s="248"/>
      <c r="V17" s="4"/>
      <c r="W17" s="248"/>
      <c r="Y17" s="4"/>
      <c r="Z17" s="248"/>
      <c r="AB17" s="4"/>
      <c r="AC17" s="248"/>
    </row>
    <row r="18" spans="1:29" s="3" customFormat="1">
      <c r="A18" s="97" t="s">
        <v>99</v>
      </c>
      <c r="B18" s="97" t="s">
        <v>62</v>
      </c>
      <c r="C18" s="4">
        <v>30231</v>
      </c>
      <c r="D18" s="248">
        <v>30231</v>
      </c>
      <c r="E18" s="95"/>
      <c r="G18" s="250">
        <f>J18+M18+P18+S18+V18+Y18+AB18</f>
        <v>30230.519999999997</v>
      </c>
      <c r="H18" s="250">
        <f>K18+N18+Q18+T18+W18+Z18+AC18</f>
        <v>30230.959999999999</v>
      </c>
      <c r="J18" s="4"/>
      <c r="K18" s="248"/>
      <c r="M18" s="4"/>
      <c r="N18" s="248"/>
      <c r="P18" s="4">
        <f>27993.35-295.83</f>
        <v>27697.519999999997</v>
      </c>
      <c r="Q18" s="248">
        <f>27697.52</f>
        <v>27697.52</v>
      </c>
      <c r="S18" s="4"/>
      <c r="T18" s="248"/>
      <c r="V18" s="4">
        <v>2533</v>
      </c>
      <c r="W18" s="248">
        <v>2533.44</v>
      </c>
      <c r="Y18" s="4"/>
      <c r="Z18" s="248"/>
      <c r="AB18" s="4"/>
      <c r="AC18" s="248"/>
    </row>
    <row r="19" spans="1:29" s="3" customFormat="1">
      <c r="A19" s="88" t="s">
        <v>33</v>
      </c>
      <c r="B19" s="88" t="s">
        <v>2</v>
      </c>
      <c r="C19" s="414">
        <f>SUM(C20:C25,C30)</f>
        <v>233278.4</v>
      </c>
      <c r="D19" s="414">
        <f>SUM(D20:D25,D30)</f>
        <v>241211.94</v>
      </c>
      <c r="E19" s="249"/>
      <c r="F19" s="250"/>
      <c r="J19" s="414">
        <f>SUM(J20:J25,J30)</f>
        <v>64657.49</v>
      </c>
      <c r="K19" s="414">
        <f>SUM(K20:K25,K30)</f>
        <v>64489.67</v>
      </c>
      <c r="M19" s="414">
        <f>SUM(M20:M25,M30)</f>
        <v>40029.82</v>
      </c>
      <c r="N19" s="414">
        <f>SUM(N20:N25,N30)</f>
        <v>48068.140000000007</v>
      </c>
      <c r="P19" s="414">
        <f>SUM(P20:P25,P30)</f>
        <v>49851.41</v>
      </c>
      <c r="Q19" s="414">
        <f>SUM(Q20:Q25,Q30)</f>
        <v>49567.12</v>
      </c>
      <c r="S19" s="414">
        <f>SUM(S20:S25,S30)</f>
        <v>55538.13</v>
      </c>
      <c r="T19" s="414">
        <f>SUM(T20:T25,T30)</f>
        <v>55742.879999999997</v>
      </c>
      <c r="V19" s="414">
        <f>SUM(V20:V25,V30)</f>
        <v>2044.11</v>
      </c>
      <c r="W19" s="414">
        <f>SUM(W20:W25,W30)</f>
        <v>2044.11</v>
      </c>
      <c r="Y19" s="414">
        <f>SUM(Y20:Y25,Y30)</f>
        <v>20751.030000000002</v>
      </c>
      <c r="Z19" s="414">
        <f>SUM(Z20:Z25,Z30)</f>
        <v>20745.830000000002</v>
      </c>
      <c r="AB19" s="414">
        <f>SUM(AB20:AB25,AB30)</f>
        <v>405</v>
      </c>
      <c r="AC19" s="414">
        <f>SUM(AC20:AC25,AC30)</f>
        <v>554.19000000000005</v>
      </c>
    </row>
    <row r="20" spans="1:29" s="252" customFormat="1" ht="30">
      <c r="A20" s="97" t="s">
        <v>12</v>
      </c>
      <c r="B20" s="97" t="s">
        <v>251</v>
      </c>
      <c r="C20" s="415">
        <v>6135</v>
      </c>
      <c r="D20" s="571">
        <v>6348.19</v>
      </c>
      <c r="E20" s="251"/>
      <c r="G20" s="252">
        <f>J20+M20+P20+S20+V20+Y20+AB20</f>
        <v>6135</v>
      </c>
      <c r="H20" s="252">
        <f>K20+N20+Q20+T20+W20+Z20+AC20</f>
        <v>6348.1900000000005</v>
      </c>
      <c r="J20" s="415">
        <v>1680</v>
      </c>
      <c r="K20" s="415">
        <f>855+825</f>
        <v>1680</v>
      </c>
      <c r="M20" s="415">
        <v>56</v>
      </c>
      <c r="N20" s="415">
        <v>96</v>
      </c>
      <c r="P20" s="415">
        <v>162</v>
      </c>
      <c r="Q20" s="415">
        <v>122</v>
      </c>
      <c r="S20" s="415">
        <v>660</v>
      </c>
      <c r="T20" s="415">
        <v>724</v>
      </c>
      <c r="V20" s="415">
        <v>500</v>
      </c>
      <c r="W20" s="415">
        <f>500</f>
        <v>500</v>
      </c>
      <c r="Y20" s="415">
        <f>1120+1568</f>
        <v>2688</v>
      </c>
      <c r="Z20" s="415">
        <f>1120+1568</f>
        <v>2688</v>
      </c>
      <c r="AB20" s="415">
        <v>389</v>
      </c>
      <c r="AC20" s="415">
        <v>538.19000000000005</v>
      </c>
    </row>
    <row r="21" spans="1:29" s="252" customFormat="1">
      <c r="A21" s="97" t="s">
        <v>13</v>
      </c>
      <c r="B21" s="97" t="s">
        <v>14</v>
      </c>
      <c r="C21" s="415"/>
      <c r="D21" s="424"/>
      <c r="E21" s="251"/>
      <c r="J21" s="415"/>
      <c r="K21" s="416"/>
      <c r="M21" s="415"/>
      <c r="N21" s="424"/>
      <c r="P21" s="415"/>
      <c r="Q21" s="416"/>
      <c r="S21" s="415"/>
      <c r="T21" s="424"/>
      <c r="V21" s="415"/>
      <c r="W21" s="424"/>
      <c r="Y21" s="415"/>
      <c r="Z21" s="424"/>
      <c r="AB21" s="415"/>
      <c r="AC21" s="424"/>
    </row>
    <row r="22" spans="1:29" s="252" customFormat="1" ht="30">
      <c r="A22" s="97" t="s">
        <v>283</v>
      </c>
      <c r="B22" s="97" t="s">
        <v>22</v>
      </c>
      <c r="C22" s="415"/>
      <c r="D22" s="418"/>
      <c r="E22" s="251"/>
      <c r="J22" s="415"/>
      <c r="K22" s="416"/>
      <c r="M22" s="415"/>
      <c r="N22" s="418"/>
      <c r="P22" s="415"/>
      <c r="Q22" s="416"/>
      <c r="S22" s="415"/>
      <c r="T22" s="418"/>
      <c r="V22" s="415"/>
      <c r="W22" s="418"/>
      <c r="Y22" s="415"/>
      <c r="Z22" s="418"/>
      <c r="AB22" s="415"/>
      <c r="AC22" s="418"/>
    </row>
    <row r="23" spans="1:29" s="252" customFormat="1" ht="16.5" customHeight="1">
      <c r="A23" s="97" t="s">
        <v>284</v>
      </c>
      <c r="B23" s="97" t="s">
        <v>15</v>
      </c>
      <c r="C23" s="415">
        <v>100307</v>
      </c>
      <c r="D23" s="418">
        <v>105104.55</v>
      </c>
      <c r="E23" s="251"/>
      <c r="G23" s="435">
        <f>J23+M23+P23+S23+V23+Y23+AB23</f>
        <v>100306.61</v>
      </c>
      <c r="H23" s="436">
        <f>K23+N23+Q23+T23+W23+Z23+AC23</f>
        <v>105104.55000000002</v>
      </c>
      <c r="J23" s="417">
        <v>25267.93</v>
      </c>
      <c r="K23" s="417">
        <v>25100.11</v>
      </c>
      <c r="M23" s="415">
        <v>18557.57</v>
      </c>
      <c r="N23" s="418">
        <v>23632.07</v>
      </c>
      <c r="P23" s="417">
        <f>23853.13+32</f>
        <v>23885.13</v>
      </c>
      <c r="Q23" s="417">
        <v>23640.84</v>
      </c>
      <c r="S23" s="417">
        <v>24031.46</v>
      </c>
      <c r="T23" s="434">
        <v>24172.21</v>
      </c>
      <c r="V23" s="417">
        <v>1079.8</v>
      </c>
      <c r="W23" s="434">
        <f>271.7+808.1</f>
        <v>1079.8</v>
      </c>
      <c r="Y23" s="417">
        <f>7452.72+16</f>
        <v>7468.72</v>
      </c>
      <c r="Z23" s="434">
        <v>7463.52</v>
      </c>
      <c r="AB23" s="417">
        <v>16</v>
      </c>
      <c r="AC23" s="434">
        <v>16</v>
      </c>
    </row>
    <row r="24" spans="1:29" s="252" customFormat="1" ht="16.5" customHeight="1">
      <c r="A24" s="97" t="s">
        <v>285</v>
      </c>
      <c r="B24" s="97" t="s">
        <v>16</v>
      </c>
      <c r="C24" s="415">
        <v>4</v>
      </c>
      <c r="D24" s="418">
        <v>4</v>
      </c>
      <c r="E24" s="251"/>
      <c r="G24" s="252">
        <f>J24+M24+P24+S24+V24+Y24+AB24</f>
        <v>4</v>
      </c>
      <c r="H24" s="436">
        <f>K24+N24+Q24+T24+W24+Z24+AC24</f>
        <v>4</v>
      </c>
      <c r="J24" s="415">
        <v>4</v>
      </c>
      <c r="K24" s="417">
        <v>4</v>
      </c>
      <c r="M24" s="415"/>
      <c r="N24" s="418"/>
      <c r="P24" s="415">
        <v>0</v>
      </c>
      <c r="Q24" s="417">
        <v>0</v>
      </c>
      <c r="S24" s="415"/>
      <c r="T24" s="418"/>
      <c r="V24" s="415"/>
      <c r="W24" s="418"/>
      <c r="Y24" s="415"/>
      <c r="Z24" s="418"/>
      <c r="AB24" s="415"/>
      <c r="AC24" s="418"/>
    </row>
    <row r="25" spans="1:29" s="252" customFormat="1" ht="16.5" customHeight="1">
      <c r="A25" s="97" t="s">
        <v>286</v>
      </c>
      <c r="B25" s="97" t="s">
        <v>17</v>
      </c>
      <c r="C25" s="414">
        <f>SUM(C26:C29)</f>
        <v>126508</v>
      </c>
      <c r="D25" s="414">
        <f>SUM(D26:D29)</f>
        <v>129430.8</v>
      </c>
      <c r="E25" s="251"/>
      <c r="J25" s="414">
        <f>SUM(J26:J29)</f>
        <v>37705.56</v>
      </c>
      <c r="K25" s="417">
        <f>SUM(K26:K29)</f>
        <v>37705.56</v>
      </c>
      <c r="M25" s="414">
        <f>SUM(M26:M29)</f>
        <v>21091.850000000002</v>
      </c>
      <c r="N25" s="414">
        <f>SUM(N26:N29)</f>
        <v>24015.670000000002</v>
      </c>
      <c r="P25" s="414">
        <f>SUM(P26:P29)</f>
        <v>25804.280000000002</v>
      </c>
      <c r="Q25" s="417">
        <f>SUM(Q26:Q29)</f>
        <v>25804.280000000002</v>
      </c>
      <c r="S25" s="414">
        <f>SUM(S26:S29)</f>
        <v>30846.67</v>
      </c>
      <c r="T25" s="414">
        <f>SUM(T26:T29)</f>
        <v>30846.67</v>
      </c>
      <c r="V25" s="414">
        <f>SUM(V26:V29)</f>
        <v>464.31</v>
      </c>
      <c r="W25" s="414">
        <f>SUM(W26:W29)</f>
        <v>464.31</v>
      </c>
      <c r="Y25" s="414">
        <f>SUM(Y26:Y29)</f>
        <v>10594.310000000001</v>
      </c>
      <c r="Z25" s="414">
        <f>SUM(Z26:Z29)</f>
        <v>10594.310000000001</v>
      </c>
      <c r="AB25" s="414">
        <f>SUM(AB26:AB29)</f>
        <v>0</v>
      </c>
      <c r="AC25" s="414">
        <f>SUM(AC26:AC29)</f>
        <v>0</v>
      </c>
    </row>
    <row r="26" spans="1:29" s="252" customFormat="1" ht="16.5" customHeight="1">
      <c r="A26" s="253" t="s">
        <v>287</v>
      </c>
      <c r="B26" s="253" t="s">
        <v>18</v>
      </c>
      <c r="C26" s="415">
        <v>80239</v>
      </c>
      <c r="D26" s="434">
        <v>82585.990000000005</v>
      </c>
      <c r="E26" s="251"/>
      <c r="G26" s="435">
        <f t="shared" ref="G26:H31" si="0">J26+M26+P26+S26+V26+Y26+AB26</f>
        <v>80238.569999999992</v>
      </c>
      <c r="H26" s="436">
        <f t="shared" si="0"/>
        <v>82585.989999999991</v>
      </c>
      <c r="J26" s="417">
        <v>14528.37</v>
      </c>
      <c r="K26" s="417">
        <f>14585.37-57</f>
        <v>14528.37</v>
      </c>
      <c r="M26" s="415">
        <v>10562.35</v>
      </c>
      <c r="N26" s="418">
        <v>12909.77</v>
      </c>
      <c r="P26" s="417">
        <v>22920.98</v>
      </c>
      <c r="Q26" s="417">
        <v>22920.98</v>
      </c>
      <c r="S26" s="417">
        <v>26829.95</v>
      </c>
      <c r="T26" s="434">
        <v>26829.95</v>
      </c>
      <c r="V26" s="417">
        <v>338.94</v>
      </c>
      <c r="W26" s="434">
        <f>109.42+229.52</f>
        <v>338.94</v>
      </c>
      <c r="Y26" s="417">
        <v>5057.9799999999996</v>
      </c>
      <c r="Z26" s="434">
        <v>5057.9799999999996</v>
      </c>
      <c r="AB26" s="417">
        <v>0</v>
      </c>
      <c r="AC26" s="434">
        <v>0</v>
      </c>
    </row>
    <row r="27" spans="1:29" s="252" customFormat="1" ht="26.25" customHeight="1">
      <c r="A27" s="253" t="s">
        <v>288</v>
      </c>
      <c r="B27" s="253" t="s">
        <v>19</v>
      </c>
      <c r="C27" s="415">
        <v>7374</v>
      </c>
      <c r="D27" s="434">
        <v>7949.94</v>
      </c>
      <c r="E27" s="251"/>
      <c r="G27" s="435">
        <f t="shared" si="0"/>
        <v>7373.5400000000009</v>
      </c>
      <c r="H27" s="436">
        <f t="shared" si="0"/>
        <v>7949.9400000000005</v>
      </c>
      <c r="J27" s="417">
        <v>1030.24</v>
      </c>
      <c r="K27" s="417">
        <v>1030.24</v>
      </c>
      <c r="M27" s="415">
        <v>971.37</v>
      </c>
      <c r="N27" s="418">
        <v>1547.77</v>
      </c>
      <c r="P27" s="417">
        <v>2475.9</v>
      </c>
      <c r="Q27" s="417">
        <v>2475.9</v>
      </c>
      <c r="S27" s="417">
        <v>2019.18</v>
      </c>
      <c r="T27" s="434">
        <v>2019.18</v>
      </c>
      <c r="V27" s="417">
        <v>107.17</v>
      </c>
      <c r="W27" s="434">
        <f>63.64+43.53</f>
        <v>107.17</v>
      </c>
      <c r="Y27" s="417">
        <v>769.68</v>
      </c>
      <c r="Z27" s="434">
        <v>769.68</v>
      </c>
      <c r="AB27" s="417">
        <v>0</v>
      </c>
      <c r="AC27" s="434">
        <v>0</v>
      </c>
    </row>
    <row r="28" spans="1:29" s="252" customFormat="1" ht="16.5" customHeight="1">
      <c r="A28" s="253" t="s">
        <v>289</v>
      </c>
      <c r="B28" s="253" t="s">
        <v>20</v>
      </c>
      <c r="C28" s="415">
        <v>38606</v>
      </c>
      <c r="D28" s="434">
        <v>38606.32</v>
      </c>
      <c r="E28" s="251"/>
      <c r="G28" s="435">
        <f t="shared" si="0"/>
        <v>38606.319999999992</v>
      </c>
      <c r="H28" s="436">
        <f t="shared" si="0"/>
        <v>38606.319999999992</v>
      </c>
      <c r="J28" s="417">
        <v>22113.95</v>
      </c>
      <c r="K28" s="417">
        <f>22143.19-29.24</f>
        <v>22113.949999999997</v>
      </c>
      <c r="M28" s="415">
        <v>9515.33</v>
      </c>
      <c r="N28" s="418">
        <v>9515.33</v>
      </c>
      <c r="P28" s="417">
        <v>336.41</v>
      </c>
      <c r="Q28" s="417">
        <v>336.41</v>
      </c>
      <c r="S28" s="417">
        <v>1893.37</v>
      </c>
      <c r="T28" s="434">
        <v>1893.37</v>
      </c>
      <c r="V28" s="417">
        <v>7.2</v>
      </c>
      <c r="W28" s="434">
        <v>7.2</v>
      </c>
      <c r="Y28" s="417">
        <v>4740.0600000000004</v>
      </c>
      <c r="Z28" s="434">
        <v>4740.0600000000004</v>
      </c>
      <c r="AB28" s="417">
        <v>0</v>
      </c>
      <c r="AC28" s="434">
        <v>0</v>
      </c>
    </row>
    <row r="29" spans="1:29" s="252" customFormat="1" ht="16.5" customHeight="1">
      <c r="A29" s="253" t="s">
        <v>290</v>
      </c>
      <c r="B29" s="253" t="s">
        <v>23</v>
      </c>
      <c r="C29" s="415">
        <v>289</v>
      </c>
      <c r="D29" s="434">
        <v>288.55</v>
      </c>
      <c r="E29" s="251"/>
      <c r="G29" s="435">
        <f t="shared" si="0"/>
        <v>288.54999999999995</v>
      </c>
      <c r="H29" s="436">
        <f t="shared" si="0"/>
        <v>288.54999999999995</v>
      </c>
      <c r="J29" s="415">
        <v>33</v>
      </c>
      <c r="K29" s="417">
        <v>33</v>
      </c>
      <c r="M29" s="415">
        <v>42.8</v>
      </c>
      <c r="N29" s="425">
        <v>42.8</v>
      </c>
      <c r="P29" s="417">
        <v>70.989999999999995</v>
      </c>
      <c r="Q29" s="417">
        <v>70.989999999999995</v>
      </c>
      <c r="S29" s="417">
        <v>104.17</v>
      </c>
      <c r="T29" s="434">
        <v>104.17</v>
      </c>
      <c r="V29" s="417">
        <v>11</v>
      </c>
      <c r="W29" s="434">
        <v>11</v>
      </c>
      <c r="Y29" s="417">
        <v>26.59</v>
      </c>
      <c r="Z29" s="434">
        <v>26.59</v>
      </c>
      <c r="AB29" s="417">
        <v>0</v>
      </c>
      <c r="AC29" s="434">
        <v>0</v>
      </c>
    </row>
    <row r="30" spans="1:29" s="252" customFormat="1" ht="16.5" customHeight="1">
      <c r="A30" s="97" t="s">
        <v>291</v>
      </c>
      <c r="B30" s="97" t="s">
        <v>21</v>
      </c>
      <c r="C30" s="417">
        <v>324.39999999999998</v>
      </c>
      <c r="D30" s="434">
        <v>324.39999999999998</v>
      </c>
      <c r="E30" s="251"/>
      <c r="G30" s="252">
        <f t="shared" si="0"/>
        <v>324.39999999999998</v>
      </c>
      <c r="H30" s="438">
        <f t="shared" si="0"/>
        <v>324.39999999999998</v>
      </c>
      <c r="J30" s="415"/>
      <c r="K30" s="416"/>
      <c r="M30" s="415">
        <v>324.39999999999998</v>
      </c>
      <c r="N30" s="425">
        <v>324.39999999999998</v>
      </c>
      <c r="P30" s="415"/>
      <c r="Q30" s="416"/>
      <c r="S30" s="415"/>
      <c r="T30" s="425"/>
      <c r="V30" s="415"/>
      <c r="W30" s="425"/>
      <c r="Y30" s="415"/>
      <c r="Z30" s="425"/>
      <c r="AB30" s="415"/>
      <c r="AC30" s="425"/>
    </row>
    <row r="31" spans="1:29" s="3" customFormat="1" ht="16.5" customHeight="1">
      <c r="A31" s="88" t="s">
        <v>34</v>
      </c>
      <c r="B31" s="88" t="s">
        <v>3</v>
      </c>
      <c r="C31" s="4">
        <v>23680</v>
      </c>
      <c r="D31" s="248">
        <v>23681</v>
      </c>
      <c r="E31" s="249"/>
      <c r="G31" s="250">
        <f t="shared" si="0"/>
        <v>23680.22</v>
      </c>
      <c r="H31" s="250">
        <f t="shared" si="0"/>
        <v>23680.620000000003</v>
      </c>
      <c r="J31" s="4">
        <v>19086.22</v>
      </c>
      <c r="K31" s="248">
        <f>19911.22-825</f>
        <v>19086.22</v>
      </c>
      <c r="M31" s="4">
        <v>1056</v>
      </c>
      <c r="N31" s="248">
        <v>1056</v>
      </c>
      <c r="P31" s="4">
        <v>1169</v>
      </c>
      <c r="Q31" s="248">
        <v>1169</v>
      </c>
      <c r="S31" s="4">
        <v>1667</v>
      </c>
      <c r="T31" s="248">
        <v>1667.4</v>
      </c>
      <c r="V31" s="4">
        <v>702</v>
      </c>
      <c r="W31" s="248">
        <v>702</v>
      </c>
      <c r="Y31" s="4"/>
      <c r="Z31" s="248"/>
      <c r="AB31" s="4"/>
      <c r="AC31" s="248"/>
    </row>
    <row r="32" spans="1:29" s="3" customFormat="1" ht="16.5" customHeight="1">
      <c r="A32" s="88" t="s">
        <v>35</v>
      </c>
      <c r="B32" s="88" t="s">
        <v>4</v>
      </c>
      <c r="C32" s="4"/>
      <c r="D32" s="248"/>
      <c r="E32" s="95"/>
      <c r="J32" s="4"/>
      <c r="K32" s="248"/>
      <c r="M32" s="4"/>
      <c r="N32" s="248"/>
      <c r="P32" s="4"/>
      <c r="Q32" s="248"/>
      <c r="S32" s="4"/>
      <c r="T32" s="248"/>
      <c r="V32" s="4"/>
      <c r="W32" s="248"/>
      <c r="Y32" s="4"/>
      <c r="Z32" s="248"/>
      <c r="AB32" s="4"/>
      <c r="AC32" s="248"/>
    </row>
    <row r="33" spans="1:29" s="3" customFormat="1" ht="16.5" customHeight="1">
      <c r="A33" s="88" t="s">
        <v>36</v>
      </c>
      <c r="B33" s="88" t="s">
        <v>5</v>
      </c>
      <c r="C33" s="4"/>
      <c r="D33" s="248"/>
      <c r="E33" s="95"/>
      <c r="J33" s="4"/>
      <c r="K33" s="248"/>
      <c r="M33" s="4"/>
      <c r="N33" s="248"/>
      <c r="P33" s="4"/>
      <c r="Q33" s="248"/>
      <c r="S33" s="4"/>
      <c r="T33" s="248"/>
      <c r="V33" s="4"/>
      <c r="W33" s="248"/>
      <c r="Y33" s="4"/>
      <c r="Z33" s="248"/>
      <c r="AB33" s="4"/>
      <c r="AC33" s="248"/>
    </row>
    <row r="34" spans="1:29" s="3" customFormat="1">
      <c r="A34" s="88" t="s">
        <v>37</v>
      </c>
      <c r="B34" s="88" t="s">
        <v>63</v>
      </c>
      <c r="C34" s="414">
        <f>SUM(C35:C36)</f>
        <v>410</v>
      </c>
      <c r="D34" s="414">
        <f>SUM(D35:D36)</f>
        <v>410</v>
      </c>
      <c r="E34" s="95"/>
      <c r="J34" s="414">
        <f>SUM(J35:J36)</f>
        <v>0</v>
      </c>
      <c r="K34" s="414">
        <f>SUM(K35:K36)</f>
        <v>0</v>
      </c>
      <c r="M34" s="414">
        <f>SUM(M35:M36)</f>
        <v>0</v>
      </c>
      <c r="N34" s="414">
        <f>SUM(N35:N36)</f>
        <v>0</v>
      </c>
      <c r="P34" s="414">
        <f>SUM(P35:P36)</f>
        <v>0</v>
      </c>
      <c r="Q34" s="414">
        <f>SUM(Q35:Q36)</f>
        <v>0</v>
      </c>
      <c r="S34" s="414">
        <f>SUM(S35:S36)</f>
        <v>410</v>
      </c>
      <c r="T34" s="414">
        <f>SUM(T35:T36)</f>
        <v>410</v>
      </c>
      <c r="V34" s="414">
        <f>SUM(V35:V36)</f>
        <v>0</v>
      </c>
      <c r="W34" s="414">
        <f>SUM(W35:W36)</f>
        <v>0</v>
      </c>
      <c r="Y34" s="414">
        <f>SUM(Y35:Y36)</f>
        <v>0</v>
      </c>
      <c r="Z34" s="414">
        <f>SUM(Z35:Z36)</f>
        <v>0</v>
      </c>
      <c r="AB34" s="414">
        <f>SUM(AB35:AB36)</f>
        <v>0</v>
      </c>
      <c r="AC34" s="414">
        <f>SUM(AC35:AC36)</f>
        <v>0</v>
      </c>
    </row>
    <row r="35" spans="1:29" s="3" customFormat="1" ht="16.5" customHeight="1">
      <c r="A35" s="97" t="s">
        <v>292</v>
      </c>
      <c r="B35" s="97" t="s">
        <v>56</v>
      </c>
      <c r="C35" s="4"/>
      <c r="D35" s="248"/>
      <c r="E35" s="95"/>
      <c r="J35" s="4"/>
      <c r="K35" s="248"/>
      <c r="M35" s="4"/>
      <c r="N35" s="248"/>
      <c r="P35" s="4"/>
      <c r="Q35" s="248"/>
      <c r="S35" s="4"/>
      <c r="T35" s="248"/>
      <c r="V35" s="4"/>
      <c r="W35" s="248"/>
      <c r="Y35" s="4"/>
      <c r="Z35" s="248"/>
      <c r="AB35" s="4"/>
      <c r="AC35" s="248"/>
    </row>
    <row r="36" spans="1:29" s="3" customFormat="1" ht="16.5" customHeight="1">
      <c r="A36" s="97" t="s">
        <v>293</v>
      </c>
      <c r="B36" s="97" t="s">
        <v>55</v>
      </c>
      <c r="C36" s="4">
        <v>410</v>
      </c>
      <c r="D36" s="248">
        <v>410</v>
      </c>
      <c r="E36" s="95"/>
      <c r="G36" s="250">
        <f>J36+M36+P36+S36+V36+Y36+AB36</f>
        <v>410</v>
      </c>
      <c r="H36" s="250">
        <f>K36+N36+Q36+T36+W36+Z36+AC36</f>
        <v>410</v>
      </c>
      <c r="J36" s="4"/>
      <c r="K36" s="248"/>
      <c r="M36" s="4"/>
      <c r="N36" s="248"/>
      <c r="P36" s="4"/>
      <c r="Q36" s="248"/>
      <c r="S36" s="4">
        <v>410</v>
      </c>
      <c r="T36" s="248">
        <v>410</v>
      </c>
      <c r="V36" s="4">
        <v>0</v>
      </c>
      <c r="W36" s="248">
        <v>0</v>
      </c>
      <c r="Y36" s="4"/>
      <c r="Z36" s="248"/>
      <c r="AB36" s="4"/>
      <c r="AC36" s="248"/>
    </row>
    <row r="37" spans="1:29" s="3" customFormat="1" ht="16.5" customHeight="1">
      <c r="A37" s="88" t="s">
        <v>38</v>
      </c>
      <c r="B37" s="88" t="s">
        <v>49</v>
      </c>
      <c r="C37" s="4">
        <v>1218</v>
      </c>
      <c r="D37" s="248">
        <v>1218</v>
      </c>
      <c r="E37" s="95"/>
      <c r="G37" s="250">
        <f>J37+M37+P37+S37+V37+Y37+AB37</f>
        <v>1217.6000000000001</v>
      </c>
      <c r="H37" s="250">
        <f>K37+N37+Q37+T37+W37+Z37+AC37</f>
        <v>1217.6499999999999</v>
      </c>
      <c r="J37" s="4">
        <v>256.19</v>
      </c>
      <c r="K37" s="248">
        <v>256.19</v>
      </c>
      <c r="M37" s="4">
        <v>225.46</v>
      </c>
      <c r="N37" s="248">
        <v>225.46</v>
      </c>
      <c r="P37" s="4">
        <v>220.99</v>
      </c>
      <c r="Q37" s="248">
        <v>220.99</v>
      </c>
      <c r="S37" s="4">
        <v>366.22</v>
      </c>
      <c r="T37" s="248">
        <v>366.27</v>
      </c>
      <c r="V37" s="4">
        <v>71.569999999999993</v>
      </c>
      <c r="W37" s="248">
        <f>37.42+34.15</f>
        <v>71.569999999999993</v>
      </c>
      <c r="Y37" s="4">
        <v>73.900000000000006</v>
      </c>
      <c r="Z37" s="248">
        <v>73.900000000000006</v>
      </c>
      <c r="AB37" s="4">
        <v>3.27</v>
      </c>
      <c r="AC37" s="248">
        <v>3.27</v>
      </c>
    </row>
    <row r="38" spans="1:29" s="3" customFormat="1" ht="16.5" customHeight="1">
      <c r="A38" s="88" t="s">
        <v>39</v>
      </c>
      <c r="B38" s="88" t="s">
        <v>411</v>
      </c>
      <c r="C38" s="414">
        <f>SUM(C39:C43)</f>
        <v>0</v>
      </c>
      <c r="D38" s="414">
        <f>SUM(D39:D43)</f>
        <v>0</v>
      </c>
      <c r="E38" s="95"/>
      <c r="J38" s="414">
        <f>SUM(J39:J43)</f>
        <v>0</v>
      </c>
      <c r="K38" s="414">
        <f>SUM(K39:K43)</f>
        <v>0</v>
      </c>
      <c r="M38" s="414">
        <f>SUM(M39:M43)</f>
        <v>0</v>
      </c>
      <c r="N38" s="414">
        <f>SUM(N39:N43)</f>
        <v>0</v>
      </c>
      <c r="P38" s="414">
        <f>SUM(P39:P43)</f>
        <v>0</v>
      </c>
      <c r="Q38" s="414">
        <f>SUM(Q39:Q43)</f>
        <v>0</v>
      </c>
      <c r="S38" s="414">
        <f>SUM(S39:S43)</f>
        <v>0</v>
      </c>
      <c r="T38" s="414">
        <f>SUM(T39:T43)</f>
        <v>0</v>
      </c>
      <c r="V38" s="414">
        <f>SUM(V39:V43)</f>
        <v>0</v>
      </c>
      <c r="W38" s="414">
        <f>SUM(W39:W43)</f>
        <v>0</v>
      </c>
      <c r="Y38" s="414">
        <f>SUM(Y39:Y43)</f>
        <v>0</v>
      </c>
      <c r="Z38" s="414">
        <f>SUM(Z39:Z43)</f>
        <v>0</v>
      </c>
      <c r="AB38" s="414">
        <f>SUM(AB39:AB43)</f>
        <v>0</v>
      </c>
      <c r="AC38" s="414">
        <f>SUM(AC39:AC43)</f>
        <v>0</v>
      </c>
    </row>
    <row r="39" spans="1:29" s="3" customFormat="1" ht="16.5" customHeight="1">
      <c r="A39" s="17" t="s">
        <v>357</v>
      </c>
      <c r="B39" s="17" t="s">
        <v>361</v>
      </c>
      <c r="C39" s="4"/>
      <c r="D39" s="248"/>
      <c r="E39" s="95"/>
      <c r="J39" s="4"/>
      <c r="K39" s="248"/>
      <c r="M39" s="4"/>
      <c r="N39" s="248"/>
      <c r="P39" s="4"/>
      <c r="Q39" s="248"/>
      <c r="S39" s="4"/>
      <c r="T39" s="248"/>
      <c r="V39" s="4"/>
      <c r="W39" s="248"/>
      <c r="Y39" s="4"/>
      <c r="Z39" s="248"/>
      <c r="AB39" s="4"/>
      <c r="AC39" s="248"/>
    </row>
    <row r="40" spans="1:29" s="3" customFormat="1" ht="16.5" customHeight="1">
      <c r="A40" s="17" t="s">
        <v>358</v>
      </c>
      <c r="B40" s="17" t="s">
        <v>362</v>
      </c>
      <c r="C40" s="4"/>
      <c r="D40" s="248"/>
      <c r="E40" s="95"/>
      <c r="J40" s="4"/>
      <c r="K40" s="248"/>
      <c r="M40" s="4"/>
      <c r="N40" s="248"/>
      <c r="P40" s="4"/>
      <c r="Q40" s="248"/>
      <c r="S40" s="4"/>
      <c r="T40" s="248"/>
      <c r="V40" s="4"/>
      <c r="W40" s="248"/>
      <c r="Y40" s="4"/>
      <c r="Z40" s="248"/>
      <c r="AB40" s="4"/>
      <c r="AC40" s="248"/>
    </row>
    <row r="41" spans="1:29" s="3" customFormat="1" ht="16.5" customHeight="1">
      <c r="A41" s="17" t="s">
        <v>359</v>
      </c>
      <c r="B41" s="17" t="s">
        <v>365</v>
      </c>
      <c r="C41" s="4"/>
      <c r="D41" s="248"/>
      <c r="E41" s="95"/>
      <c r="J41" s="4"/>
      <c r="K41" s="248"/>
      <c r="M41" s="4"/>
      <c r="N41" s="248"/>
      <c r="P41" s="4"/>
      <c r="Q41" s="248"/>
      <c r="S41" s="4"/>
      <c r="T41" s="248"/>
      <c r="V41" s="4"/>
      <c r="W41" s="248"/>
      <c r="Y41" s="4"/>
      <c r="Z41" s="248"/>
      <c r="AB41" s="4"/>
      <c r="AC41" s="248"/>
    </row>
    <row r="42" spans="1:29" s="3" customFormat="1" ht="16.5" customHeight="1">
      <c r="A42" s="17" t="s">
        <v>364</v>
      </c>
      <c r="B42" s="17" t="s">
        <v>366</v>
      </c>
      <c r="C42" s="4"/>
      <c r="D42" s="248"/>
      <c r="E42" s="95"/>
      <c r="J42" s="4"/>
      <c r="K42" s="248"/>
      <c r="M42" s="4"/>
      <c r="N42" s="248"/>
      <c r="P42" s="4"/>
      <c r="Q42" s="248"/>
      <c r="S42" s="4"/>
      <c r="T42" s="248"/>
      <c r="V42" s="4"/>
      <c r="W42" s="248"/>
      <c r="Y42" s="4"/>
      <c r="Z42" s="248"/>
      <c r="AB42" s="4"/>
      <c r="AC42" s="248"/>
    </row>
    <row r="43" spans="1:29" s="3" customFormat="1" ht="16.5" customHeight="1">
      <c r="A43" s="17" t="s">
        <v>367</v>
      </c>
      <c r="B43" s="17" t="s">
        <v>363</v>
      </c>
      <c r="C43" s="4"/>
      <c r="D43" s="248"/>
      <c r="E43" s="95"/>
      <c r="J43" s="4"/>
      <c r="K43" s="248"/>
      <c r="M43" s="4"/>
      <c r="N43" s="248"/>
      <c r="P43" s="4"/>
      <c r="Q43" s="248"/>
      <c r="S43" s="4"/>
      <c r="T43" s="248"/>
      <c r="V43" s="4"/>
      <c r="W43" s="248"/>
      <c r="Y43" s="4"/>
      <c r="Z43" s="248"/>
      <c r="AB43" s="4"/>
      <c r="AC43" s="248"/>
    </row>
    <row r="44" spans="1:29" s="3" customFormat="1" ht="30">
      <c r="A44" s="88" t="s">
        <v>40</v>
      </c>
      <c r="B44" s="88" t="s">
        <v>28</v>
      </c>
      <c r="C44" s="4">
        <v>9184</v>
      </c>
      <c r="D44" s="248">
        <v>9184</v>
      </c>
      <c r="E44" s="95"/>
      <c r="G44" s="250">
        <f t="shared" ref="G44:H47" si="1">J44+M44+P44+S44+V44+Y44+AB44</f>
        <v>9183.5</v>
      </c>
      <c r="H44" s="250">
        <f t="shared" si="1"/>
        <v>9183.5</v>
      </c>
      <c r="J44" s="4"/>
      <c r="K44" s="248"/>
      <c r="M44" s="4"/>
      <c r="N44" s="248"/>
      <c r="P44" s="4"/>
      <c r="Q44" s="248"/>
      <c r="S44" s="4">
        <v>5691</v>
      </c>
      <c r="T44" s="248">
        <v>1780</v>
      </c>
      <c r="V44" s="4">
        <v>3492.5</v>
      </c>
      <c r="W44" s="248">
        <f>6253.5+1150</f>
        <v>7403.5</v>
      </c>
      <c r="Y44" s="4"/>
      <c r="Z44" s="248"/>
      <c r="AB44" s="4"/>
      <c r="AC44" s="248"/>
    </row>
    <row r="45" spans="1:29" s="3" customFormat="1" ht="16.5" customHeight="1">
      <c r="A45" s="88" t="s">
        <v>41</v>
      </c>
      <c r="B45" s="88" t="s">
        <v>24</v>
      </c>
      <c r="C45" s="4">
        <v>12</v>
      </c>
      <c r="D45" s="248">
        <v>12</v>
      </c>
      <c r="E45" s="95"/>
      <c r="G45" s="250">
        <f t="shared" si="1"/>
        <v>11.8</v>
      </c>
      <c r="H45" s="250">
        <f t="shared" si="1"/>
        <v>11.8</v>
      </c>
      <c r="J45" s="4"/>
      <c r="K45" s="248"/>
      <c r="M45" s="4"/>
      <c r="N45" s="248"/>
      <c r="P45" s="4">
        <v>11.8</v>
      </c>
      <c r="Q45" s="248">
        <v>11.8</v>
      </c>
      <c r="S45" s="4"/>
      <c r="T45" s="248"/>
      <c r="V45" s="4">
        <v>0</v>
      </c>
      <c r="W45" s="248"/>
      <c r="Y45" s="4"/>
      <c r="Z45" s="248"/>
      <c r="AB45" s="4"/>
      <c r="AC45" s="248"/>
    </row>
    <row r="46" spans="1:29" s="3" customFormat="1" ht="16.5" customHeight="1">
      <c r="A46" s="88" t="s">
        <v>42</v>
      </c>
      <c r="B46" s="88" t="s">
        <v>25</v>
      </c>
      <c r="C46" s="4">
        <v>5500</v>
      </c>
      <c r="D46" s="248">
        <v>5500</v>
      </c>
      <c r="E46" s="95"/>
      <c r="G46" s="250">
        <f t="shared" si="1"/>
        <v>5500</v>
      </c>
      <c r="H46" s="250">
        <f t="shared" si="1"/>
        <v>5500</v>
      </c>
      <c r="J46" s="4">
        <v>4000</v>
      </c>
      <c r="K46" s="248">
        <v>4000</v>
      </c>
      <c r="M46" s="4"/>
      <c r="N46" s="248"/>
      <c r="P46" s="4">
        <v>1500</v>
      </c>
      <c r="Q46" s="248">
        <v>1500</v>
      </c>
      <c r="S46" s="4"/>
      <c r="T46" s="248"/>
      <c r="V46" s="4"/>
      <c r="W46" s="248"/>
      <c r="Y46" s="4"/>
      <c r="Z46" s="248"/>
      <c r="AB46" s="4"/>
      <c r="AC46" s="248"/>
    </row>
    <row r="47" spans="1:29" s="3" customFormat="1" ht="16.5" customHeight="1">
      <c r="A47" s="88" t="s">
        <v>43</v>
      </c>
      <c r="B47" s="88" t="s">
        <v>26</v>
      </c>
      <c r="C47" s="4">
        <v>2862</v>
      </c>
      <c r="D47" s="248">
        <v>2862</v>
      </c>
      <c r="E47" s="95"/>
      <c r="G47" s="250">
        <f t="shared" si="1"/>
        <v>2862</v>
      </c>
      <c r="H47" s="250">
        <f t="shared" si="1"/>
        <v>2862</v>
      </c>
      <c r="J47" s="4"/>
      <c r="K47" s="248"/>
      <c r="M47" s="4">
        <v>636</v>
      </c>
      <c r="N47" s="248">
        <v>636</v>
      </c>
      <c r="P47" s="4">
        <v>954</v>
      </c>
      <c r="Q47" s="248">
        <v>954</v>
      </c>
      <c r="S47" s="4">
        <v>954</v>
      </c>
      <c r="T47" s="248">
        <v>954</v>
      </c>
      <c r="V47" s="4">
        <v>0</v>
      </c>
      <c r="W47" s="248">
        <v>0</v>
      </c>
      <c r="Y47" s="4">
        <v>318</v>
      </c>
      <c r="Z47" s="248">
        <v>318</v>
      </c>
      <c r="AB47" s="4">
        <v>0</v>
      </c>
      <c r="AC47" s="248">
        <v>0</v>
      </c>
    </row>
    <row r="48" spans="1:29" s="3" customFormat="1" ht="16.5" customHeight="1">
      <c r="A48" s="88" t="s">
        <v>44</v>
      </c>
      <c r="B48" s="88" t="s">
        <v>412</v>
      </c>
      <c r="C48" s="414">
        <f>SUM(C49:C51)</f>
        <v>716219</v>
      </c>
      <c r="D48" s="414">
        <f>SUM(D49:D51)</f>
        <v>703716</v>
      </c>
      <c r="E48" s="95"/>
      <c r="J48" s="414">
        <f>SUM(J49:J51)</f>
        <v>169867.9</v>
      </c>
      <c r="K48" s="414">
        <f>SUM(K49:K51)</f>
        <v>152631.07</v>
      </c>
      <c r="M48" s="414">
        <f>SUM(M49:M51)</f>
        <v>115985.1</v>
      </c>
      <c r="N48" s="414">
        <f>SUM(N49:N51)</f>
        <v>134281.4</v>
      </c>
      <c r="P48" s="414">
        <f>SUM(P49:P51)</f>
        <v>119277.29</v>
      </c>
      <c r="Q48" s="414">
        <f>SUM(Q49:Q51)</f>
        <v>124123.48</v>
      </c>
      <c r="S48" s="414">
        <f>SUM(S49:S51)</f>
        <v>180716.6</v>
      </c>
      <c r="T48" s="414">
        <f>SUM(T49:T51)</f>
        <v>175043</v>
      </c>
      <c r="V48" s="414">
        <f>SUM(V49:V51)</f>
        <v>66814.080000000002</v>
      </c>
      <c r="W48" s="414">
        <f>SUM(W49:W51)</f>
        <v>63315.94</v>
      </c>
      <c r="Y48" s="414">
        <f>SUM(Y49:Y51)</f>
        <v>0</v>
      </c>
      <c r="Z48" s="414">
        <f>SUM(Z49:Z51)</f>
        <v>44570.48</v>
      </c>
      <c r="AB48" s="414">
        <f>SUM(AB49:AB51)</f>
        <v>63557.77</v>
      </c>
      <c r="AC48" s="414">
        <f>SUM(AC49:AC51)</f>
        <v>9750.83</v>
      </c>
    </row>
    <row r="49" spans="1:29" s="3" customFormat="1" ht="16.5" customHeight="1">
      <c r="A49" s="97" t="s">
        <v>373</v>
      </c>
      <c r="B49" s="97" t="s">
        <v>376</v>
      </c>
      <c r="C49" s="4">
        <v>716219</v>
      </c>
      <c r="D49" s="248">
        <v>703716</v>
      </c>
      <c r="E49" s="95"/>
      <c r="G49" s="250">
        <f>J49+M49+P49+S49+V49+Y49+AB49</f>
        <v>716218.74</v>
      </c>
      <c r="H49" s="250">
        <f>K49+N49+Q49+T49+W49+Z49+AC49</f>
        <v>703716.19999999984</v>
      </c>
      <c r="J49" s="4">
        <v>169867.9</v>
      </c>
      <c r="K49" s="248">
        <v>152631.07</v>
      </c>
      <c r="M49" s="4">
        <v>115985.1</v>
      </c>
      <c r="N49" s="248">
        <v>134281.4</v>
      </c>
      <c r="P49" s="4">
        <v>119277.29</v>
      </c>
      <c r="Q49" s="248">
        <f>124623.48-500</f>
        <v>124123.48</v>
      </c>
      <c r="S49" s="4">
        <v>180716.6</v>
      </c>
      <c r="T49" s="248">
        <f>175938-895</f>
        <v>175043</v>
      </c>
      <c r="V49" s="4">
        <v>66814.080000000002</v>
      </c>
      <c r="W49" s="248">
        <f>25607.28+37708.66</f>
        <v>63315.94</v>
      </c>
      <c r="Y49" s="4"/>
      <c r="Z49" s="248">
        <v>44570.48</v>
      </c>
      <c r="AB49" s="4">
        <v>63557.77</v>
      </c>
      <c r="AC49" s="248">
        <v>9750.83</v>
      </c>
    </row>
    <row r="50" spans="1:29" s="3" customFormat="1" ht="16.5" customHeight="1">
      <c r="A50" s="97" t="s">
        <v>374</v>
      </c>
      <c r="B50" s="97" t="s">
        <v>375</v>
      </c>
      <c r="C50" s="4"/>
      <c r="D50" s="248"/>
      <c r="E50" s="95"/>
      <c r="J50" s="4"/>
      <c r="K50" s="248"/>
      <c r="M50" s="4"/>
      <c r="N50" s="248"/>
      <c r="P50" s="4"/>
      <c r="Q50" s="248"/>
      <c r="S50" s="4"/>
      <c r="T50" s="248"/>
      <c r="V50" s="4"/>
      <c r="W50" s="248"/>
      <c r="Y50" s="4"/>
      <c r="Z50" s="248"/>
      <c r="AB50" s="4"/>
      <c r="AC50" s="248"/>
    </row>
    <row r="51" spans="1:29" s="3" customFormat="1" ht="16.5" customHeight="1">
      <c r="A51" s="97" t="s">
        <v>377</v>
      </c>
      <c r="B51" s="97" t="s">
        <v>378</v>
      </c>
      <c r="C51" s="4"/>
      <c r="D51" s="248"/>
      <c r="E51" s="95"/>
      <c r="J51" s="4"/>
      <c r="K51" s="248"/>
      <c r="M51" s="4"/>
      <c r="N51" s="248"/>
      <c r="P51" s="4"/>
      <c r="Q51" s="248"/>
      <c r="S51" s="4"/>
      <c r="T51" s="248"/>
      <c r="V51" s="4"/>
      <c r="W51" s="248"/>
      <c r="Y51" s="4"/>
      <c r="Z51" s="248"/>
      <c r="AB51" s="4"/>
      <c r="AC51" s="248"/>
    </row>
    <row r="52" spans="1:29" s="3" customFormat="1">
      <c r="A52" s="88" t="s">
        <v>45</v>
      </c>
      <c r="B52" s="88" t="s">
        <v>29</v>
      </c>
      <c r="C52" s="4"/>
      <c r="D52" s="248"/>
      <c r="E52" s="95"/>
      <c r="J52" s="4"/>
      <c r="K52" s="248"/>
      <c r="M52" s="4"/>
      <c r="N52" s="248"/>
      <c r="P52" s="4"/>
      <c r="Q52" s="248"/>
      <c r="S52" s="4"/>
      <c r="T52" s="248"/>
      <c r="V52" s="4"/>
      <c r="W52" s="248"/>
      <c r="Y52" s="4"/>
      <c r="Z52" s="248"/>
      <c r="AB52" s="4"/>
      <c r="AC52" s="248"/>
    </row>
    <row r="53" spans="1:29" s="3" customFormat="1" ht="16.5" customHeight="1">
      <c r="A53" s="88" t="s">
        <v>46</v>
      </c>
      <c r="B53" s="88" t="s">
        <v>6</v>
      </c>
      <c r="C53" s="4">
        <v>1200</v>
      </c>
      <c r="D53" s="248">
        <v>1300</v>
      </c>
      <c r="E53" s="249"/>
      <c r="F53" s="250"/>
      <c r="G53" s="250">
        <f>J53+M53+P53+S53+V53+Y53+AB53</f>
        <v>1200</v>
      </c>
      <c r="H53" s="250">
        <f>K53+N53+Q53+T53+W53+Z53+AC53</f>
        <v>1300</v>
      </c>
      <c r="J53" s="4"/>
      <c r="K53" s="248"/>
      <c r="M53" s="4"/>
      <c r="N53" s="248"/>
      <c r="P53" s="4"/>
      <c r="Q53" s="248"/>
      <c r="S53" s="4"/>
      <c r="T53" s="248">
        <v>1200</v>
      </c>
      <c r="V53" s="4">
        <v>1200</v>
      </c>
      <c r="W53" s="248">
        <v>100</v>
      </c>
      <c r="Y53" s="4"/>
      <c r="Z53" s="248"/>
      <c r="AB53" s="4"/>
      <c r="AC53" s="248"/>
    </row>
    <row r="54" spans="1:29" s="3" customFormat="1" ht="30">
      <c r="A54" s="87">
        <v>1.3</v>
      </c>
      <c r="B54" s="87" t="s">
        <v>417</v>
      </c>
      <c r="C54" s="79">
        <f>SUM(C55:C56)</f>
        <v>3382</v>
      </c>
      <c r="D54" s="79">
        <f>SUM(D55:D56)</f>
        <v>3169</v>
      </c>
      <c r="E54" s="249"/>
      <c r="F54" s="250"/>
      <c r="J54" s="79">
        <f>SUM(J55:J56)</f>
        <v>0</v>
      </c>
      <c r="K54" s="79">
        <f>SUM(K55:K56)</f>
        <v>0</v>
      </c>
      <c r="M54" s="79">
        <f>SUM(M55:M56)</f>
        <v>0</v>
      </c>
      <c r="N54" s="79">
        <f>SUM(N55:N56)</f>
        <v>0</v>
      </c>
      <c r="P54" s="79">
        <f>SUM(P55:P56)</f>
        <v>0</v>
      </c>
      <c r="Q54" s="79">
        <f>SUM(Q55:Q56)</f>
        <v>0</v>
      </c>
      <c r="S54" s="79">
        <f>SUM(S55:S56)</f>
        <v>1820</v>
      </c>
      <c r="T54" s="79">
        <f>SUM(T55:T56)</f>
        <v>1820</v>
      </c>
      <c r="V54" s="79">
        <f>SUM(V55:V56)</f>
        <v>623.78</v>
      </c>
      <c r="W54" s="79">
        <f>SUM(W55:W56)</f>
        <v>623.78</v>
      </c>
      <c r="Y54" s="79">
        <f>SUM(Y55:Y56)</f>
        <v>938.19</v>
      </c>
      <c r="Z54" s="79">
        <f>SUM(Z55:Z56)</f>
        <v>725</v>
      </c>
      <c r="AB54" s="79">
        <f>SUM(AB55:AB56)</f>
        <v>0</v>
      </c>
      <c r="AC54" s="79">
        <f>SUM(AC55:AC56)</f>
        <v>0</v>
      </c>
    </row>
    <row r="55" spans="1:29" s="3" customFormat="1" ht="30">
      <c r="A55" s="88" t="s">
        <v>50</v>
      </c>
      <c r="B55" s="88" t="s">
        <v>48</v>
      </c>
      <c r="C55" s="4">
        <v>3382</v>
      </c>
      <c r="D55" s="248">
        <v>3169</v>
      </c>
      <c r="E55" s="249"/>
      <c r="F55" s="250"/>
      <c r="G55" s="250">
        <f>J55+M55+P55+S55+V55+Y55+AB55</f>
        <v>3381.97</v>
      </c>
      <c r="H55" s="250">
        <f>K55+N55+Q55+T55+W55+Z55+AC55</f>
        <v>3168.7799999999997</v>
      </c>
      <c r="J55" s="4"/>
      <c r="K55" s="248"/>
      <c r="M55" s="4"/>
      <c r="N55" s="248"/>
      <c r="P55" s="4"/>
      <c r="Q55" s="248"/>
      <c r="S55" s="4">
        <v>1820</v>
      </c>
      <c r="T55" s="248">
        <v>1820</v>
      </c>
      <c r="V55" s="4">
        <v>623.78</v>
      </c>
      <c r="W55" s="248">
        <v>623.78</v>
      </c>
      <c r="Y55" s="4">
        <f>1025.69-87.5</f>
        <v>938.19</v>
      </c>
      <c r="Z55" s="248">
        <f>812.5-87.5</f>
        <v>725</v>
      </c>
      <c r="AB55" s="4">
        <v>0</v>
      </c>
      <c r="AC55" s="248">
        <v>0</v>
      </c>
    </row>
    <row r="56" spans="1:29" s="3" customFormat="1" ht="16.5" customHeight="1">
      <c r="A56" s="88" t="s">
        <v>51</v>
      </c>
      <c r="B56" s="88" t="s">
        <v>47</v>
      </c>
      <c r="C56" s="4"/>
      <c r="D56" s="248"/>
      <c r="E56" s="249"/>
      <c r="F56" s="250"/>
      <c r="J56" s="4"/>
      <c r="K56" s="248"/>
      <c r="M56" s="4"/>
      <c r="N56" s="248"/>
      <c r="P56" s="4"/>
      <c r="Q56" s="248"/>
      <c r="S56" s="4"/>
      <c r="T56" s="248"/>
      <c r="V56" s="4"/>
      <c r="W56" s="248"/>
      <c r="Y56" s="4"/>
      <c r="Z56" s="248"/>
      <c r="AB56" s="4"/>
      <c r="AC56" s="248"/>
    </row>
    <row r="57" spans="1:29" s="3" customFormat="1">
      <c r="A57" s="87">
        <v>1.4</v>
      </c>
      <c r="B57" s="87" t="s">
        <v>419</v>
      </c>
      <c r="C57" s="4"/>
      <c r="D57" s="248"/>
      <c r="E57" s="249"/>
      <c r="F57" s="250"/>
      <c r="J57" s="4"/>
      <c r="K57" s="248"/>
      <c r="M57" s="4"/>
      <c r="N57" s="248"/>
      <c r="P57" s="4"/>
      <c r="Q57" s="248"/>
      <c r="S57" s="4"/>
      <c r="T57" s="248"/>
      <c r="V57" s="4"/>
      <c r="W57" s="248"/>
      <c r="Y57" s="4"/>
      <c r="Z57" s="248"/>
      <c r="AB57" s="4"/>
      <c r="AC57" s="248"/>
    </row>
    <row r="58" spans="1:29" s="252" customFormat="1">
      <c r="A58" s="87">
        <v>1.5</v>
      </c>
      <c r="B58" s="87" t="s">
        <v>7</v>
      </c>
      <c r="C58" s="415"/>
      <c r="D58" s="418"/>
      <c r="E58" s="251"/>
      <c r="J58" s="415"/>
      <c r="K58" s="418"/>
      <c r="M58" s="415"/>
      <c r="N58" s="418"/>
      <c r="P58" s="415"/>
      <c r="Q58" s="418"/>
      <c r="S58" s="415"/>
      <c r="T58" s="418"/>
      <c r="V58" s="415"/>
      <c r="W58" s="418"/>
      <c r="Y58" s="415"/>
      <c r="Z58" s="418"/>
      <c r="AB58" s="415"/>
      <c r="AC58" s="418"/>
    </row>
    <row r="59" spans="1:29" s="252" customFormat="1">
      <c r="A59" s="87">
        <v>1.6</v>
      </c>
      <c r="B59" s="44" t="s">
        <v>8</v>
      </c>
      <c r="C59" s="421">
        <f>SUM(C60:C64)</f>
        <v>336</v>
      </c>
      <c r="D59" s="420">
        <f>SUM(D60:D64)</f>
        <v>240</v>
      </c>
      <c r="E59" s="251"/>
      <c r="J59" s="419">
        <f>SUM(J60:J64)</f>
        <v>95.76</v>
      </c>
      <c r="K59" s="420">
        <f>SUM(K60:K64)</f>
        <v>0</v>
      </c>
      <c r="M59" s="426">
        <f>SUM(M60:M64)</f>
        <v>0</v>
      </c>
      <c r="N59" s="427">
        <f>SUM(N60:N64)</f>
        <v>0</v>
      </c>
      <c r="P59" s="419">
        <f>P60+P61+P62+P63+P64</f>
        <v>240</v>
      </c>
      <c r="Q59" s="420">
        <f>SUM(Q60:Q64)</f>
        <v>240</v>
      </c>
      <c r="S59" s="426">
        <f>SUM(S60:S64)</f>
        <v>0</v>
      </c>
      <c r="T59" s="427">
        <f>SUM(T60:T64)</f>
        <v>0</v>
      </c>
      <c r="V59" s="426">
        <f>SUM(V60:V64)</f>
        <v>0</v>
      </c>
      <c r="W59" s="427">
        <f>SUM(W60:W64)</f>
        <v>0</v>
      </c>
      <c r="Y59" s="426">
        <f>SUM(Y60:Y64)</f>
        <v>0</v>
      </c>
      <c r="Z59" s="427">
        <f>SUM(Z60:Z64)</f>
        <v>0</v>
      </c>
      <c r="AB59" s="426">
        <f>SUM(AB60:AB64)</f>
        <v>0</v>
      </c>
      <c r="AC59" s="427">
        <f>SUM(AC60:AC64)</f>
        <v>0</v>
      </c>
    </row>
    <row r="60" spans="1:29" s="252" customFormat="1">
      <c r="A60" s="88" t="s">
        <v>299</v>
      </c>
      <c r="B60" s="45" t="s">
        <v>52</v>
      </c>
      <c r="C60" s="415"/>
      <c r="D60" s="418"/>
      <c r="E60" s="251"/>
      <c r="J60" s="415"/>
      <c r="K60" s="418"/>
      <c r="M60" s="415"/>
      <c r="N60" s="418"/>
      <c r="P60" s="415"/>
      <c r="Q60" s="418"/>
      <c r="S60" s="415"/>
      <c r="T60" s="418"/>
      <c r="V60" s="415"/>
      <c r="W60" s="418"/>
      <c r="Y60" s="415"/>
      <c r="Z60" s="418"/>
      <c r="AB60" s="415"/>
      <c r="AC60" s="418"/>
    </row>
    <row r="61" spans="1:29" s="252" customFormat="1" ht="30">
      <c r="A61" s="88" t="s">
        <v>300</v>
      </c>
      <c r="B61" s="45" t="s">
        <v>54</v>
      </c>
      <c r="C61" s="415"/>
      <c r="D61" s="418"/>
      <c r="E61" s="251"/>
      <c r="J61" s="415"/>
      <c r="K61" s="418"/>
      <c r="M61" s="415"/>
      <c r="N61" s="418"/>
      <c r="P61" s="415"/>
      <c r="Q61" s="418"/>
      <c r="S61" s="415"/>
      <c r="T61" s="418"/>
      <c r="V61" s="415"/>
      <c r="W61" s="418"/>
      <c r="Y61" s="415"/>
      <c r="Z61" s="418"/>
      <c r="AB61" s="415"/>
      <c r="AC61" s="418"/>
    </row>
    <row r="62" spans="1:29" s="252" customFormat="1">
      <c r="A62" s="88" t="s">
        <v>301</v>
      </c>
      <c r="B62" s="45" t="s">
        <v>53</v>
      </c>
      <c r="C62" s="418">
        <v>240</v>
      </c>
      <c r="D62" s="418">
        <v>240</v>
      </c>
      <c r="E62" s="251"/>
      <c r="G62" s="437">
        <f>J62+M62+P62+S62+V62+Y62+AB62</f>
        <v>240</v>
      </c>
      <c r="H62" s="437">
        <f>K62+N62+Q62+T62+W62+Z62+AC62</f>
        <v>240</v>
      </c>
      <c r="J62" s="418"/>
      <c r="K62" s="418"/>
      <c r="M62" s="418"/>
      <c r="N62" s="418"/>
      <c r="P62" s="418">
        <v>240</v>
      </c>
      <c r="Q62" s="418">
        <v>240</v>
      </c>
      <c r="S62" s="418"/>
      <c r="T62" s="418"/>
      <c r="V62" s="418"/>
      <c r="W62" s="418"/>
      <c r="Y62" s="418"/>
      <c r="Z62" s="418"/>
      <c r="AB62" s="418"/>
      <c r="AC62" s="418"/>
    </row>
    <row r="63" spans="1:29" s="252" customFormat="1">
      <c r="A63" s="88" t="s">
        <v>302</v>
      </c>
      <c r="B63" s="45" t="s">
        <v>27</v>
      </c>
      <c r="C63" s="415"/>
      <c r="D63" s="418"/>
      <c r="E63" s="251"/>
      <c r="J63" s="415"/>
      <c r="K63" s="418"/>
      <c r="M63" s="415"/>
      <c r="N63" s="418"/>
      <c r="P63" s="415"/>
      <c r="Q63" s="418"/>
      <c r="S63" s="415"/>
      <c r="T63" s="418"/>
      <c r="V63" s="415"/>
      <c r="W63" s="418"/>
      <c r="Y63" s="415"/>
      <c r="Z63" s="418"/>
      <c r="AB63" s="415"/>
      <c r="AC63" s="418"/>
    </row>
    <row r="64" spans="1:29" s="252" customFormat="1">
      <c r="A64" s="88" t="s">
        <v>339</v>
      </c>
      <c r="B64" s="45" t="s">
        <v>340</v>
      </c>
      <c r="C64" s="415">
        <v>96</v>
      </c>
      <c r="D64" s="418"/>
      <c r="E64" s="251"/>
      <c r="G64" s="435">
        <f>J64+M64+P64+S64+V64+Y64+AB64</f>
        <v>95.76</v>
      </c>
      <c r="H64" s="437">
        <f>K64+N64+Q64+T64+W64+Z64+AC64</f>
        <v>0</v>
      </c>
      <c r="J64" s="417">
        <v>95.76</v>
      </c>
      <c r="K64" s="418"/>
      <c r="M64" s="415"/>
      <c r="N64" s="418"/>
      <c r="P64" s="417"/>
      <c r="Q64" s="418"/>
      <c r="S64" s="415"/>
      <c r="T64" s="418"/>
      <c r="V64" s="415"/>
      <c r="W64" s="418"/>
      <c r="Y64" s="415"/>
      <c r="Z64" s="418"/>
      <c r="AB64" s="415"/>
      <c r="AC64" s="418"/>
    </row>
    <row r="65" spans="1:29">
      <c r="A65" s="246">
        <v>2</v>
      </c>
      <c r="B65" s="246" t="s">
        <v>413</v>
      </c>
      <c r="C65" s="254"/>
      <c r="D65" s="421">
        <f>SUM(D66:D72)</f>
        <v>12337</v>
      </c>
      <c r="E65" s="96"/>
      <c r="J65" s="254"/>
      <c r="K65" s="421">
        <f>SUM(K66:K72)</f>
        <v>0</v>
      </c>
      <c r="M65" s="428"/>
      <c r="N65" s="426">
        <f>SUM(N66:N72)</f>
        <v>0</v>
      </c>
      <c r="P65" s="254"/>
      <c r="Q65" s="421">
        <f>SUM(Q66:Q72)</f>
        <v>0</v>
      </c>
      <c r="S65" s="428"/>
      <c r="T65" s="426">
        <f>SUM(T66:T72)</f>
        <v>0</v>
      </c>
      <c r="V65" s="428"/>
      <c r="W65" s="426">
        <f>SUM(W66:W72)</f>
        <v>0</v>
      </c>
      <c r="Y65" s="428"/>
      <c r="Z65" s="426">
        <f>SUM(Z66:Z72)</f>
        <v>12337</v>
      </c>
      <c r="AB65" s="428"/>
      <c r="AC65" s="426">
        <f>SUM(AC66:AC72)</f>
        <v>0</v>
      </c>
    </row>
    <row r="66" spans="1:29">
      <c r="A66" s="98">
        <v>2.1</v>
      </c>
      <c r="B66" s="255" t="s">
        <v>100</v>
      </c>
      <c r="C66" s="256"/>
      <c r="D66" s="422"/>
      <c r="E66" s="96"/>
      <c r="J66" s="256"/>
      <c r="K66" s="422"/>
      <c r="M66" s="429"/>
      <c r="N66" s="430"/>
      <c r="P66" s="256"/>
      <c r="Q66" s="422"/>
      <c r="S66" s="429"/>
      <c r="T66" s="430"/>
      <c r="V66" s="429"/>
      <c r="W66" s="430"/>
      <c r="Y66" s="429"/>
      <c r="Z66" s="430"/>
      <c r="AB66" s="429"/>
      <c r="AC66" s="430"/>
    </row>
    <row r="67" spans="1:29">
      <c r="A67" s="98">
        <v>2.2000000000000002</v>
      </c>
      <c r="B67" s="255" t="s">
        <v>414</v>
      </c>
      <c r="C67" s="256"/>
      <c r="D67" s="422"/>
      <c r="E67" s="96"/>
      <c r="J67" s="256"/>
      <c r="K67" s="422"/>
      <c r="M67" s="429"/>
      <c r="N67" s="430"/>
      <c r="P67" s="256"/>
      <c r="Q67" s="422"/>
      <c r="S67" s="429"/>
      <c r="T67" s="430"/>
      <c r="V67" s="429"/>
      <c r="W67" s="430"/>
      <c r="Y67" s="429"/>
      <c r="Z67" s="430"/>
      <c r="AB67" s="429"/>
      <c r="AC67" s="430"/>
    </row>
    <row r="68" spans="1:29">
      <c r="A68" s="98">
        <v>2.2999999999999998</v>
      </c>
      <c r="B68" s="255" t="s">
        <v>104</v>
      </c>
      <c r="C68" s="256"/>
      <c r="D68" s="422"/>
      <c r="E68" s="96"/>
      <c r="J68" s="256"/>
      <c r="K68" s="422"/>
      <c r="M68" s="429"/>
      <c r="N68" s="430"/>
      <c r="P68" s="256"/>
      <c r="Q68" s="422"/>
      <c r="S68" s="429"/>
      <c r="T68" s="430"/>
      <c r="V68" s="429"/>
      <c r="W68" s="430"/>
      <c r="Y68" s="429"/>
      <c r="Z68" s="430"/>
      <c r="AB68" s="429"/>
      <c r="AC68" s="430"/>
    </row>
    <row r="69" spans="1:29">
      <c r="A69" s="98">
        <v>2.4</v>
      </c>
      <c r="B69" s="255" t="s">
        <v>103</v>
      </c>
      <c r="C69" s="256"/>
      <c r="D69" s="422"/>
      <c r="E69" s="96"/>
      <c r="J69" s="256"/>
      <c r="K69" s="422"/>
      <c r="M69" s="429"/>
      <c r="N69" s="430"/>
      <c r="P69" s="256"/>
      <c r="Q69" s="422"/>
      <c r="S69" s="429"/>
      <c r="T69" s="430"/>
      <c r="V69" s="429"/>
      <c r="W69" s="430"/>
      <c r="Y69" s="429"/>
      <c r="Z69" s="430"/>
      <c r="AB69" s="429"/>
      <c r="AC69" s="430"/>
    </row>
    <row r="70" spans="1:29">
      <c r="A70" s="98">
        <v>2.5</v>
      </c>
      <c r="B70" s="255" t="s">
        <v>415</v>
      </c>
      <c r="C70" s="256"/>
      <c r="D70" s="422">
        <v>12337</v>
      </c>
      <c r="E70" s="96"/>
      <c r="H70" s="2">
        <f>K70+N70+Q70+T70+W70+Z70+AC70</f>
        <v>12337</v>
      </c>
      <c r="J70" s="256"/>
      <c r="K70" s="422"/>
      <c r="M70" s="429"/>
      <c r="N70" s="430"/>
      <c r="P70" s="256"/>
      <c r="Q70" s="422"/>
      <c r="S70" s="429"/>
      <c r="T70" s="430"/>
      <c r="V70" s="429"/>
      <c r="W70" s="430"/>
      <c r="Y70" s="429"/>
      <c r="Z70" s="430">
        <f>13905-1568</f>
        <v>12337</v>
      </c>
      <c r="AB70" s="429"/>
      <c r="AC70" s="430">
        <v>0</v>
      </c>
    </row>
    <row r="71" spans="1:29">
      <c r="A71" s="98">
        <v>2.6</v>
      </c>
      <c r="B71" s="255" t="s">
        <v>101</v>
      </c>
      <c r="C71" s="256"/>
      <c r="D71" s="422"/>
      <c r="E71" s="96"/>
      <c r="J71" s="256"/>
      <c r="K71" s="422"/>
      <c r="M71" s="429"/>
      <c r="N71" s="430"/>
      <c r="P71" s="256"/>
      <c r="Q71" s="422"/>
      <c r="S71" s="429"/>
      <c r="T71" s="430"/>
      <c r="V71" s="429"/>
      <c r="W71" s="430"/>
      <c r="Y71" s="429"/>
      <c r="Z71" s="430"/>
      <c r="AB71" s="429"/>
      <c r="AC71" s="430"/>
    </row>
    <row r="72" spans="1:29">
      <c r="A72" s="98">
        <v>2.7</v>
      </c>
      <c r="B72" s="255" t="s">
        <v>102</v>
      </c>
      <c r="C72" s="257"/>
      <c r="D72" s="422"/>
      <c r="E72" s="96"/>
      <c r="J72" s="257"/>
      <c r="K72" s="422"/>
      <c r="M72" s="431"/>
      <c r="N72" s="430"/>
      <c r="P72" s="257"/>
      <c r="Q72" s="422"/>
      <c r="S72" s="431"/>
      <c r="T72" s="430"/>
      <c r="V72" s="431"/>
      <c r="W72" s="430"/>
      <c r="Y72" s="431"/>
      <c r="Z72" s="430"/>
      <c r="AB72" s="431"/>
      <c r="AC72" s="430"/>
    </row>
    <row r="73" spans="1:29">
      <c r="A73" s="246">
        <v>3</v>
      </c>
      <c r="B73" s="246" t="s">
        <v>453</v>
      </c>
      <c r="C73" s="421"/>
      <c r="D73" s="422"/>
      <c r="E73" s="96"/>
      <c r="J73" s="421"/>
      <c r="K73" s="422"/>
      <c r="M73" s="426"/>
      <c r="N73" s="430"/>
      <c r="P73" s="421"/>
      <c r="Q73" s="422"/>
      <c r="S73" s="426"/>
      <c r="T73" s="430"/>
      <c r="V73" s="426"/>
      <c r="W73" s="430"/>
      <c r="Y73" s="426"/>
      <c r="Z73" s="430"/>
      <c r="AB73" s="426"/>
      <c r="AC73" s="430"/>
    </row>
    <row r="74" spans="1:29">
      <c r="A74" s="246">
        <v>4</v>
      </c>
      <c r="B74" s="246" t="s">
        <v>253</v>
      </c>
      <c r="C74" s="421"/>
      <c r="D74" s="421">
        <f>SUM(D75:D76)</f>
        <v>0</v>
      </c>
      <c r="E74" s="96"/>
      <c r="J74" s="421"/>
      <c r="K74" s="421">
        <f>SUM(K75:K76)</f>
        <v>0</v>
      </c>
      <c r="M74" s="426"/>
      <c r="N74" s="426">
        <f>SUM(N75:N76)</f>
        <v>0</v>
      </c>
      <c r="P74" s="421"/>
      <c r="Q74" s="421">
        <f>SUM(Q75:Q76)</f>
        <v>0</v>
      </c>
      <c r="S74" s="426"/>
      <c r="T74" s="426">
        <f>SUM(T75:T76)</f>
        <v>0</v>
      </c>
      <c r="V74" s="426"/>
      <c r="W74" s="426">
        <f>SUM(W75:W76)</f>
        <v>0</v>
      </c>
      <c r="Y74" s="426"/>
      <c r="Z74" s="426">
        <f>SUM(Z75:Z76)</f>
        <v>0</v>
      </c>
      <c r="AB74" s="426"/>
      <c r="AC74" s="426">
        <f>SUM(AC75:AC76)</f>
        <v>0</v>
      </c>
    </row>
    <row r="75" spans="1:29">
      <c r="A75" s="98">
        <v>4.0999999999999996</v>
      </c>
      <c r="B75" s="98" t="s">
        <v>254</v>
      </c>
      <c r="C75" s="256"/>
      <c r="D75" s="423"/>
      <c r="E75" s="96"/>
      <c r="J75" s="256"/>
      <c r="K75" s="423"/>
      <c r="M75" s="429"/>
      <c r="N75" s="432"/>
      <c r="P75" s="256"/>
      <c r="Q75" s="423"/>
      <c r="S75" s="429"/>
      <c r="T75" s="432"/>
      <c r="V75" s="429"/>
      <c r="W75" s="432"/>
      <c r="Y75" s="429"/>
      <c r="Z75" s="432"/>
      <c r="AB75" s="429"/>
      <c r="AC75" s="432"/>
    </row>
    <row r="76" spans="1:29">
      <c r="A76" s="98">
        <v>4.2</v>
      </c>
      <c r="B76" s="98" t="s">
        <v>255</v>
      </c>
      <c r="C76" s="257"/>
      <c r="D76" s="423"/>
      <c r="E76" s="96"/>
      <c r="J76" s="257"/>
      <c r="K76" s="423"/>
      <c r="M76" s="431"/>
      <c r="N76" s="432"/>
      <c r="P76" s="257"/>
      <c r="Q76" s="423"/>
      <c r="S76" s="431"/>
      <c r="T76" s="432"/>
      <c r="V76" s="431"/>
      <c r="W76" s="432"/>
      <c r="Y76" s="431"/>
      <c r="Z76" s="432"/>
      <c r="AB76" s="431"/>
      <c r="AC76" s="432"/>
    </row>
    <row r="77" spans="1:29">
      <c r="A77" s="246">
        <v>5</v>
      </c>
      <c r="B77" s="246" t="s">
        <v>281</v>
      </c>
      <c r="C77" s="286">
        <v>36359.949999999997</v>
      </c>
      <c r="D77" s="257"/>
      <c r="E77" s="96"/>
      <c r="G77" s="2">
        <f>J77+M77+P77+S77+V77+Y77+AB77</f>
        <v>36359.949999999997</v>
      </c>
      <c r="J77" s="286"/>
      <c r="K77" s="257"/>
      <c r="M77" s="433"/>
      <c r="N77" s="431"/>
      <c r="P77" s="286"/>
      <c r="Q77" s="257"/>
      <c r="S77" s="433"/>
      <c r="T77" s="431"/>
      <c r="V77" s="433"/>
      <c r="W77" s="431"/>
      <c r="Y77" s="433"/>
      <c r="Z77" s="431"/>
      <c r="AB77" s="433">
        <v>36359.949999999997</v>
      </c>
      <c r="AC77" s="431"/>
    </row>
    <row r="78" spans="1:29">
      <c r="B78" s="43"/>
    </row>
    <row r="79" spans="1:29">
      <c r="E79" s="5"/>
    </row>
    <row r="80" spans="1:29">
      <c r="B80" s="43"/>
    </row>
    <row r="81" spans="1:9" s="22" customFormat="1" ht="12.75"/>
    <row r="82" spans="1:9">
      <c r="A82" s="69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9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5" t="s">
        <v>140</v>
      </c>
    </row>
    <row r="88" spans="1:9" s="22" customFormat="1" ht="12.75"/>
  </sheetData>
  <mergeCells count="3">
    <mergeCell ref="C1:D1"/>
    <mergeCell ref="C2:D2"/>
    <mergeCell ref="J2:K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329</v>
      </c>
      <c r="B1" s="77"/>
      <c r="C1" s="539" t="s">
        <v>110</v>
      </c>
      <c r="D1" s="539"/>
      <c r="E1" s="91"/>
    </row>
    <row r="2" spans="1:5" s="6" customFormat="1">
      <c r="A2" s="74" t="s">
        <v>330</v>
      </c>
      <c r="B2" s="77"/>
      <c r="C2" s="529" t="s">
        <v>982</v>
      </c>
      <c r="D2" s="529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">
        <v>512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>
      <c r="A10" s="98" t="s">
        <v>331</v>
      </c>
      <c r="B10" s="98"/>
      <c r="C10" s="4"/>
      <c r="D10" s="4"/>
      <c r="E10" s="93"/>
    </row>
    <row r="11" spans="1:5" s="10" customFormat="1">
      <c r="A11" s="98" t="s">
        <v>332</v>
      </c>
      <c r="B11" s="98"/>
      <c r="C11" s="4"/>
      <c r="D11" s="4"/>
      <c r="E11" s="94"/>
    </row>
    <row r="12" spans="1:5" s="10" customFormat="1">
      <c r="A12" s="87" t="s">
        <v>280</v>
      </c>
      <c r="B12" s="87"/>
      <c r="C12" s="4"/>
      <c r="D12" s="4"/>
      <c r="E12" s="94"/>
    </row>
    <row r="13" spans="1:5" s="10" customFormat="1">
      <c r="A13" s="87" t="s">
        <v>280</v>
      </c>
      <c r="B13" s="87"/>
      <c r="C13" s="4"/>
      <c r="D13" s="4"/>
      <c r="E13" s="94"/>
    </row>
    <row r="14" spans="1:5" s="10" customFormat="1">
      <c r="A14" s="87" t="s">
        <v>280</v>
      </c>
      <c r="B14" s="87"/>
      <c r="C14" s="4"/>
      <c r="D14" s="4"/>
      <c r="E14" s="94"/>
    </row>
    <row r="15" spans="1:5" s="10" customFormat="1">
      <c r="A15" s="87" t="s">
        <v>280</v>
      </c>
      <c r="B15" s="87"/>
      <c r="C15" s="4"/>
      <c r="D15" s="4"/>
      <c r="E15" s="94"/>
    </row>
    <row r="16" spans="1:5" s="10" customFormat="1">
      <c r="A16" s="87" t="s">
        <v>280</v>
      </c>
      <c r="B16" s="87"/>
      <c r="C16" s="4"/>
      <c r="D16" s="4"/>
      <c r="E16" s="94"/>
    </row>
    <row r="17" spans="1:5" s="10" customFormat="1" ht="17.25" customHeight="1">
      <c r="A17" s="98" t="s">
        <v>333</v>
      </c>
      <c r="B17" s="87" t="s">
        <v>671</v>
      </c>
      <c r="C17" s="4">
        <v>1200</v>
      </c>
      <c r="D17" s="4">
        <v>1200</v>
      </c>
      <c r="E17" s="94"/>
    </row>
    <row r="18" spans="1:5" s="10" customFormat="1" ht="18" customHeight="1">
      <c r="A18" s="98" t="s">
        <v>334</v>
      </c>
      <c r="B18" s="87" t="s">
        <v>672</v>
      </c>
      <c r="C18" s="4"/>
      <c r="D18" s="4">
        <v>100</v>
      </c>
      <c r="E18" s="94"/>
    </row>
    <row r="19" spans="1:5" s="10" customFormat="1">
      <c r="A19" s="87" t="s">
        <v>280</v>
      </c>
      <c r="B19" s="87"/>
      <c r="C19" s="4"/>
      <c r="D19" s="4"/>
      <c r="E19" s="94"/>
    </row>
    <row r="20" spans="1:5" s="10" customFormat="1">
      <c r="A20" s="87" t="s">
        <v>280</v>
      </c>
      <c r="B20" s="87"/>
      <c r="C20" s="4"/>
      <c r="D20" s="4"/>
      <c r="E20" s="94"/>
    </row>
    <row r="21" spans="1:5" s="10" customFormat="1">
      <c r="A21" s="87" t="s">
        <v>280</v>
      </c>
      <c r="B21" s="87"/>
      <c r="C21" s="4"/>
      <c r="D21" s="4"/>
      <c r="E21" s="94"/>
    </row>
    <row r="22" spans="1:5" s="10" customFormat="1">
      <c r="A22" s="87" t="s">
        <v>280</v>
      </c>
      <c r="B22" s="87"/>
      <c r="C22" s="4"/>
      <c r="D22" s="4"/>
      <c r="E22" s="94"/>
    </row>
    <row r="23" spans="1:5" s="10" customFormat="1">
      <c r="A23" s="87" t="s">
        <v>280</v>
      </c>
      <c r="B23" s="87"/>
      <c r="C23" s="4"/>
      <c r="D23" s="4"/>
      <c r="E23" s="94"/>
    </row>
    <row r="24" spans="1:5">
      <c r="A24" s="99"/>
      <c r="B24" s="99" t="s">
        <v>338</v>
      </c>
      <c r="C24" s="86">
        <f>SUM(C10:C23)</f>
        <v>1200</v>
      </c>
      <c r="D24" s="86">
        <f>SUM(D10:D23)</f>
        <v>1300</v>
      </c>
      <c r="E24" s="96"/>
    </row>
    <row r="25" spans="1:5">
      <c r="A25" s="43"/>
      <c r="B25" s="43"/>
    </row>
    <row r="26" spans="1:5">
      <c r="A26" s="267" t="s">
        <v>443</v>
      </c>
      <c r="E26" s="5"/>
    </row>
    <row r="27" spans="1:5">
      <c r="A27" s="2" t="s">
        <v>444</v>
      </c>
    </row>
    <row r="28" spans="1:5">
      <c r="A28" s="218" t="s">
        <v>445</v>
      </c>
    </row>
    <row r="29" spans="1:5">
      <c r="A29" s="218"/>
    </row>
    <row r="30" spans="1:5">
      <c r="A30" s="218" t="s">
        <v>353</v>
      </c>
    </row>
    <row r="31" spans="1:5" s="22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5"/>
      <c r="B37" s="65" t="s">
        <v>140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4" t="s">
        <v>416</v>
      </c>
      <c r="B1" s="74"/>
      <c r="C1" s="77"/>
      <c r="D1" s="77"/>
      <c r="E1" s="77"/>
      <c r="F1" s="77"/>
      <c r="G1" s="230"/>
      <c r="H1" s="230"/>
      <c r="I1" s="539" t="s">
        <v>110</v>
      </c>
      <c r="J1" s="539"/>
    </row>
    <row r="2" spans="1:10" ht="15">
      <c r="A2" s="76" t="s">
        <v>141</v>
      </c>
      <c r="B2" s="74"/>
      <c r="C2" s="77"/>
      <c r="D2" s="77"/>
      <c r="E2" s="77"/>
      <c r="F2" s="77"/>
      <c r="G2" s="230"/>
      <c r="H2" s="230"/>
      <c r="I2" s="529" t="s">
        <v>982</v>
      </c>
      <c r="J2" s="529"/>
    </row>
    <row r="3" spans="1:10" ht="15">
      <c r="A3" s="76"/>
      <c r="B3" s="76"/>
      <c r="C3" s="74"/>
      <c r="D3" s="74"/>
      <c r="E3" s="74"/>
      <c r="F3" s="74"/>
      <c r="G3" s="166"/>
      <c r="H3" s="166"/>
      <c r="I3" s="230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512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5"/>
      <c r="B7" s="165"/>
      <c r="C7" s="165"/>
      <c r="D7" s="224"/>
      <c r="E7" s="165"/>
      <c r="F7" s="165"/>
      <c r="G7" s="78"/>
      <c r="H7" s="78"/>
      <c r="I7" s="78"/>
    </row>
    <row r="8" spans="1:10" ht="45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347</v>
      </c>
      <c r="F8" s="90" t="s">
        <v>351</v>
      </c>
      <c r="G8" s="79" t="s">
        <v>10</v>
      </c>
      <c r="H8" s="79" t="s">
        <v>9</v>
      </c>
      <c r="I8" s="79" t="s">
        <v>398</v>
      </c>
      <c r="J8" s="233" t="s">
        <v>350</v>
      </c>
    </row>
    <row r="9" spans="1:10" ht="15">
      <c r="A9" s="98">
        <v>1</v>
      </c>
      <c r="B9" s="440" t="s">
        <v>673</v>
      </c>
      <c r="C9" s="440" t="s">
        <v>674</v>
      </c>
      <c r="D9" s="441" t="s">
        <v>675</v>
      </c>
      <c r="E9" s="98" t="s">
        <v>676</v>
      </c>
      <c r="F9" s="98" t="s">
        <v>350</v>
      </c>
      <c r="G9" s="442">
        <v>30000</v>
      </c>
      <c r="H9" s="442">
        <v>30000</v>
      </c>
      <c r="I9" s="442">
        <v>6000</v>
      </c>
      <c r="J9" s="233" t="s">
        <v>0</v>
      </c>
    </row>
    <row r="10" spans="1:10" ht="15">
      <c r="A10" s="98">
        <v>2</v>
      </c>
      <c r="B10" s="440" t="s">
        <v>677</v>
      </c>
      <c r="C10" s="440" t="s">
        <v>678</v>
      </c>
      <c r="D10" s="441" t="s">
        <v>679</v>
      </c>
      <c r="E10" s="98" t="s">
        <v>680</v>
      </c>
      <c r="F10" s="98" t="s">
        <v>350</v>
      </c>
      <c r="G10" s="442">
        <v>15000</v>
      </c>
      <c r="H10" s="442">
        <v>15000</v>
      </c>
      <c r="I10" s="442">
        <v>3000</v>
      </c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278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459</v>
      </c>
      <c r="G34" s="86">
        <f>SUM(G9:G33)</f>
        <v>45000</v>
      </c>
      <c r="H34" s="86">
        <f>SUM(H9:H33)</f>
        <v>45000</v>
      </c>
      <c r="I34" s="86">
        <f>SUM(I9:I33)</f>
        <v>9000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447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91"/>
      <c r="F43" s="191"/>
      <c r="G43" s="191"/>
      <c r="H43" s="187"/>
      <c r="I43" s="187"/>
    </row>
    <row r="44" spans="1:9" ht="15">
      <c r="A44" s="193"/>
      <c r="B44" s="193"/>
      <c r="C44" s="193" t="s">
        <v>397</v>
      </c>
      <c r="D44" s="193"/>
      <c r="E44" s="193"/>
      <c r="F44" s="193"/>
      <c r="G44" s="193"/>
      <c r="H44" s="187"/>
      <c r="I44" s="187"/>
    </row>
    <row r="45" spans="1:9" ht="15">
      <c r="A45" s="187"/>
      <c r="B45" s="187"/>
      <c r="C45" s="187" t="s">
        <v>396</v>
      </c>
      <c r="D45" s="187"/>
      <c r="E45" s="187"/>
      <c r="F45" s="187"/>
      <c r="G45" s="187"/>
      <c r="H45" s="187"/>
      <c r="I45" s="187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Normal="100" zoomScaleSheetLayoutView="70" workbookViewId="0">
      <selection activeCell="C21" sqref="C21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368</v>
      </c>
      <c r="B1" s="77"/>
      <c r="C1" s="77"/>
      <c r="D1" s="77"/>
      <c r="E1" s="77"/>
      <c r="F1" s="77"/>
      <c r="G1" s="539" t="s">
        <v>110</v>
      </c>
      <c r="H1" s="539"/>
    </row>
    <row r="2" spans="1:8" ht="15">
      <c r="A2" s="76" t="s">
        <v>141</v>
      </c>
      <c r="B2" s="77"/>
      <c r="C2" s="77"/>
      <c r="D2" s="77"/>
      <c r="E2" s="77"/>
      <c r="F2" s="77"/>
      <c r="G2" s="529" t="s">
        <v>982</v>
      </c>
      <c r="H2" s="529"/>
    </row>
    <row r="3" spans="1:8" ht="15">
      <c r="A3" s="76"/>
      <c r="B3" s="76"/>
      <c r="C3" s="76"/>
      <c r="D3" s="76"/>
      <c r="E3" s="76"/>
      <c r="F3" s="76"/>
      <c r="G3" s="166"/>
      <c r="H3" s="166"/>
    </row>
    <row r="4" spans="1:8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8" ht="15">
      <c r="A5" s="80" t="s">
        <v>512</v>
      </c>
      <c r="B5" s="80"/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165"/>
      <c r="B7" s="165"/>
      <c r="C7" s="280"/>
      <c r="D7" s="165"/>
      <c r="E7" s="165"/>
      <c r="F7" s="165"/>
      <c r="G7" s="78"/>
      <c r="H7" s="78"/>
    </row>
    <row r="8" spans="1:8" ht="45">
      <c r="A8" s="90" t="s">
        <v>342</v>
      </c>
      <c r="B8" s="90" t="s">
        <v>343</v>
      </c>
      <c r="C8" s="90" t="s">
        <v>228</v>
      </c>
      <c r="D8" s="90" t="s">
        <v>346</v>
      </c>
      <c r="E8" s="90" t="s">
        <v>345</v>
      </c>
      <c r="F8" s="90" t="s">
        <v>392</v>
      </c>
      <c r="G8" s="79" t="s">
        <v>10</v>
      </c>
      <c r="H8" s="79" t="s">
        <v>9</v>
      </c>
    </row>
    <row r="9" spans="1:8" ht="30">
      <c r="A9" s="98" t="s">
        <v>681</v>
      </c>
      <c r="B9" s="98" t="s">
        <v>682</v>
      </c>
      <c r="C9" s="443" t="s">
        <v>683</v>
      </c>
      <c r="D9" s="98" t="s">
        <v>684</v>
      </c>
      <c r="E9" s="98" t="s">
        <v>685</v>
      </c>
      <c r="F9" s="444">
        <v>3</v>
      </c>
      <c r="G9" s="442">
        <f>983+160.4+684.33</f>
        <v>1827.73</v>
      </c>
      <c r="H9" s="442">
        <f>983+160.4+684.33</f>
        <v>1827.73</v>
      </c>
    </row>
    <row r="10" spans="1:8" ht="30">
      <c r="A10" s="98" t="s">
        <v>686</v>
      </c>
      <c r="B10" s="98" t="s">
        <v>687</v>
      </c>
      <c r="C10" s="443" t="s">
        <v>688</v>
      </c>
      <c r="D10" s="98" t="s">
        <v>684</v>
      </c>
      <c r="E10" s="98" t="s">
        <v>685</v>
      </c>
      <c r="F10" s="444">
        <v>3</v>
      </c>
      <c r="G10" s="442">
        <f>1110+160.4+684.33</f>
        <v>1954.73</v>
      </c>
      <c r="H10" s="442">
        <f>1110+160.4+684.33</f>
        <v>1954.73</v>
      </c>
    </row>
    <row r="11" spans="1:8" ht="30">
      <c r="A11" s="98" t="s">
        <v>689</v>
      </c>
      <c r="B11" s="98" t="s">
        <v>682</v>
      </c>
      <c r="C11" s="443" t="s">
        <v>983</v>
      </c>
      <c r="D11" s="98" t="s">
        <v>684</v>
      </c>
      <c r="E11" s="98" t="s">
        <v>685</v>
      </c>
      <c r="F11" s="444">
        <v>3</v>
      </c>
      <c r="G11" s="442">
        <f>983+684.33</f>
        <v>1667.33</v>
      </c>
      <c r="H11" s="442">
        <f>983+684.33</f>
        <v>1667.33</v>
      </c>
    </row>
    <row r="12" spans="1:8" ht="30">
      <c r="A12" s="98" t="s">
        <v>681</v>
      </c>
      <c r="B12" s="98" t="s">
        <v>682</v>
      </c>
      <c r="C12" s="443" t="s">
        <v>683</v>
      </c>
      <c r="D12" s="98" t="s">
        <v>684</v>
      </c>
      <c r="E12" s="98" t="s">
        <v>690</v>
      </c>
      <c r="F12" s="444">
        <v>7</v>
      </c>
      <c r="G12" s="442">
        <v>4395</v>
      </c>
      <c r="H12" s="442">
        <v>4395</v>
      </c>
    </row>
    <row r="13" spans="1:8" ht="30">
      <c r="A13" s="98" t="s">
        <v>691</v>
      </c>
      <c r="B13" s="98" t="s">
        <v>692</v>
      </c>
      <c r="C13" s="443" t="s">
        <v>985</v>
      </c>
      <c r="D13" s="98" t="s">
        <v>684</v>
      </c>
      <c r="E13" s="98" t="s">
        <v>690</v>
      </c>
      <c r="F13" s="444">
        <v>7</v>
      </c>
      <c r="G13" s="442">
        <v>4395</v>
      </c>
      <c r="H13" s="442">
        <v>4395</v>
      </c>
    </row>
    <row r="14" spans="1:8" ht="30">
      <c r="A14" s="98" t="s">
        <v>693</v>
      </c>
      <c r="B14" s="98" t="s">
        <v>694</v>
      </c>
      <c r="C14" s="443" t="s">
        <v>984</v>
      </c>
      <c r="D14" s="98" t="s">
        <v>684</v>
      </c>
      <c r="E14" s="98" t="s">
        <v>690</v>
      </c>
      <c r="F14" s="444">
        <v>7</v>
      </c>
      <c r="G14" s="442">
        <v>4395</v>
      </c>
      <c r="H14" s="442">
        <v>4395</v>
      </c>
    </row>
    <row r="15" spans="1:8" ht="30">
      <c r="A15" s="98" t="s">
        <v>695</v>
      </c>
      <c r="B15" s="98" t="s">
        <v>696</v>
      </c>
      <c r="C15" s="443" t="s">
        <v>697</v>
      </c>
      <c r="D15" s="98" t="s">
        <v>684</v>
      </c>
      <c r="E15" s="98" t="s">
        <v>690</v>
      </c>
      <c r="F15" s="444">
        <v>7</v>
      </c>
      <c r="G15" s="442">
        <v>4395</v>
      </c>
      <c r="H15" s="442">
        <v>4395</v>
      </c>
    </row>
    <row r="16" spans="1:8" ht="30">
      <c r="A16" s="98" t="s">
        <v>698</v>
      </c>
      <c r="B16" s="98" t="s">
        <v>699</v>
      </c>
      <c r="C16" s="443" t="s">
        <v>700</v>
      </c>
      <c r="D16" s="98" t="s">
        <v>684</v>
      </c>
      <c r="E16" s="98" t="s">
        <v>690</v>
      </c>
      <c r="F16" s="444">
        <v>7</v>
      </c>
      <c r="G16" s="442">
        <v>4395</v>
      </c>
      <c r="H16" s="442">
        <v>4395</v>
      </c>
    </row>
    <row r="17" spans="1:8" ht="30">
      <c r="A17" s="98" t="s">
        <v>686</v>
      </c>
      <c r="B17" s="98" t="s">
        <v>687</v>
      </c>
      <c r="C17" s="443" t="s">
        <v>688</v>
      </c>
      <c r="D17" s="98" t="s">
        <v>684</v>
      </c>
      <c r="E17" s="98" t="s">
        <v>701</v>
      </c>
      <c r="F17" s="444">
        <v>4</v>
      </c>
      <c r="G17" s="442">
        <v>272.72000000000003</v>
      </c>
      <c r="H17" s="442">
        <v>272.72000000000003</v>
      </c>
    </row>
    <row r="18" spans="1:8" ht="15">
      <c r="A18" s="98" t="s">
        <v>698</v>
      </c>
      <c r="B18" s="98" t="s">
        <v>699</v>
      </c>
      <c r="C18" s="443" t="s">
        <v>700</v>
      </c>
      <c r="D18" s="98" t="s">
        <v>684</v>
      </c>
      <c r="E18" s="98" t="s">
        <v>702</v>
      </c>
      <c r="F18" s="444">
        <v>1</v>
      </c>
      <c r="G18" s="442">
        <v>295.83</v>
      </c>
      <c r="H18" s="442">
        <v>292.88</v>
      </c>
    </row>
    <row r="19" spans="1:8" ht="30">
      <c r="A19" s="98" t="s">
        <v>703</v>
      </c>
      <c r="B19" s="98" t="s">
        <v>704</v>
      </c>
      <c r="C19" s="443" t="s">
        <v>706</v>
      </c>
      <c r="D19" s="98" t="s">
        <v>705</v>
      </c>
      <c r="E19" s="98" t="s">
        <v>690</v>
      </c>
      <c r="F19" s="444">
        <v>11</v>
      </c>
      <c r="G19" s="445">
        <v>2533.44</v>
      </c>
      <c r="H19" s="445">
        <v>2533.44</v>
      </c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341</v>
      </c>
      <c r="G34" s="86">
        <f>SUM(G9:G33)</f>
        <v>30526.780000000002</v>
      </c>
      <c r="H34" s="86">
        <f>SUM(H9:H33)</f>
        <v>30523.83</v>
      </c>
    </row>
    <row r="35" spans="1:8" ht="15">
      <c r="A35" s="231"/>
      <c r="B35" s="231"/>
      <c r="C35" s="231"/>
      <c r="D35" s="231"/>
      <c r="E35" s="231"/>
      <c r="F35" s="231"/>
      <c r="G35" s="187"/>
      <c r="H35" s="187"/>
    </row>
    <row r="36" spans="1:8" ht="15">
      <c r="A36" s="232" t="s">
        <v>352</v>
      </c>
      <c r="B36" s="231"/>
      <c r="C36" s="231"/>
      <c r="D36" s="231"/>
      <c r="E36" s="231"/>
      <c r="F36" s="231"/>
      <c r="G36" s="187"/>
      <c r="H36" s="187"/>
    </row>
    <row r="37" spans="1:8" ht="15">
      <c r="A37" s="232" t="s">
        <v>355</v>
      </c>
      <c r="B37" s="231"/>
      <c r="C37" s="231"/>
      <c r="D37" s="231"/>
      <c r="E37" s="231"/>
      <c r="F37" s="231"/>
      <c r="G37" s="187"/>
      <c r="H37" s="187"/>
    </row>
    <row r="38" spans="1:8" ht="15">
      <c r="A38" s="232"/>
      <c r="B38" s="187"/>
      <c r="C38" s="187"/>
      <c r="D38" s="187"/>
      <c r="E38" s="187"/>
      <c r="F38" s="187"/>
      <c r="G38" s="187"/>
      <c r="H38" s="187"/>
    </row>
    <row r="39" spans="1:8" ht="15">
      <c r="A39" s="232"/>
      <c r="B39" s="187"/>
      <c r="C39" s="187"/>
      <c r="D39" s="187"/>
      <c r="E39" s="187"/>
      <c r="F39" s="187"/>
      <c r="G39" s="187"/>
      <c r="H39" s="187"/>
    </row>
    <row r="40" spans="1:8">
      <c r="A40" s="228"/>
      <c r="B40" s="228"/>
      <c r="C40" s="228"/>
      <c r="D40" s="228"/>
      <c r="E40" s="228"/>
      <c r="F40" s="228"/>
      <c r="G40" s="228"/>
      <c r="H40" s="228"/>
    </row>
    <row r="41" spans="1:8" ht="15">
      <c r="A41" s="193" t="s">
        <v>107</v>
      </c>
      <c r="B41" s="187"/>
      <c r="C41" s="187"/>
      <c r="D41" s="187"/>
      <c r="E41" s="187"/>
      <c r="F41" s="187"/>
      <c r="G41" s="187"/>
      <c r="H41" s="187"/>
    </row>
    <row r="42" spans="1:8" ht="15">
      <c r="A42" s="187"/>
      <c r="B42" s="187"/>
      <c r="C42" s="187"/>
      <c r="D42" s="187"/>
      <c r="E42" s="187"/>
      <c r="F42" s="187"/>
      <c r="G42" s="187"/>
      <c r="H42" s="187"/>
    </row>
    <row r="43" spans="1:8" ht="15">
      <c r="A43" s="187"/>
      <c r="B43" s="187"/>
      <c r="C43" s="187"/>
      <c r="D43" s="187"/>
      <c r="E43" s="187"/>
      <c r="F43" s="187"/>
      <c r="G43" s="187"/>
      <c r="H43" s="194"/>
    </row>
    <row r="44" spans="1:8" ht="15">
      <c r="A44" s="193"/>
      <c r="B44" s="193" t="s">
        <v>272</v>
      </c>
      <c r="C44" s="193"/>
      <c r="D44" s="193"/>
      <c r="E44" s="193"/>
      <c r="F44" s="193"/>
      <c r="G44" s="187"/>
      <c r="H44" s="194"/>
    </row>
    <row r="45" spans="1:8" ht="15">
      <c r="A45" s="187"/>
      <c r="B45" s="187" t="s">
        <v>271</v>
      </c>
      <c r="C45" s="187"/>
      <c r="D45" s="187"/>
      <c r="E45" s="187"/>
      <c r="F45" s="187"/>
      <c r="G45" s="187"/>
      <c r="H45" s="194"/>
    </row>
    <row r="46" spans="1:8">
      <c r="A46" s="195"/>
      <c r="B46" s="195" t="s">
        <v>140</v>
      </c>
      <c r="C46" s="195"/>
      <c r="D46" s="195"/>
      <c r="E46" s="195"/>
      <c r="F46" s="195"/>
      <c r="G46" s="188"/>
      <c r="H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4" t="s">
        <v>468</v>
      </c>
      <c r="B1" s="74"/>
      <c r="C1" s="77"/>
      <c r="D1" s="77"/>
      <c r="E1" s="77"/>
      <c r="F1" s="77"/>
      <c r="G1" s="539" t="s">
        <v>110</v>
      </c>
      <c r="H1" s="539"/>
    </row>
    <row r="2" spans="1:10" ht="15">
      <c r="A2" s="76" t="s">
        <v>141</v>
      </c>
      <c r="B2" s="74"/>
      <c r="C2" s="77"/>
      <c r="D2" s="77"/>
      <c r="E2" s="77"/>
      <c r="F2" s="77"/>
      <c r="G2" s="529" t="s">
        <v>982</v>
      </c>
      <c r="H2" s="529"/>
    </row>
    <row r="3" spans="1:10" ht="15">
      <c r="A3" s="76"/>
      <c r="B3" s="76"/>
      <c r="C3" s="76"/>
      <c r="D3" s="76"/>
      <c r="E3" s="76"/>
      <c r="F3" s="76"/>
      <c r="G3" s="222"/>
      <c r="H3" s="222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512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21"/>
      <c r="B7" s="221"/>
      <c r="C7" s="221"/>
      <c r="D7" s="224"/>
      <c r="E7" s="221"/>
      <c r="F7" s="221"/>
      <c r="G7" s="78"/>
      <c r="H7" s="78"/>
    </row>
    <row r="8" spans="1:10" ht="30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351</v>
      </c>
      <c r="F8" s="90" t="s">
        <v>344</v>
      </c>
      <c r="G8" s="79" t="s">
        <v>10</v>
      </c>
      <c r="H8" s="79" t="s">
        <v>9</v>
      </c>
      <c r="J8" s="233" t="s">
        <v>350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3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349</v>
      </c>
      <c r="G34" s="86">
        <f>SUM(G9:G33)</f>
        <v>0</v>
      </c>
      <c r="H34" s="86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403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 t="s">
        <v>348</v>
      </c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88"/>
  <sheetViews>
    <sheetView showGridLines="0" view="pageBreakPreview" topLeftCell="A46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8" width="10.7109375" style="21" bestFit="1" customWidth="1"/>
    <col min="9" max="12" width="9.140625" style="21"/>
    <col min="13" max="13" width="12.85546875" style="21" customWidth="1"/>
    <col min="14" max="14" width="15.42578125" style="21" customWidth="1"/>
    <col min="15" max="16384" width="9.140625" style="21"/>
  </cols>
  <sheetData>
    <row r="1" spans="1:20">
      <c r="A1" s="74" t="s">
        <v>304</v>
      </c>
      <c r="B1" s="115"/>
      <c r="C1" s="539" t="s">
        <v>110</v>
      </c>
      <c r="D1" s="539"/>
      <c r="E1" s="155"/>
    </row>
    <row r="2" spans="1:20">
      <c r="A2" s="76" t="s">
        <v>141</v>
      </c>
      <c r="B2" s="115"/>
      <c r="C2" s="529" t="s">
        <v>982</v>
      </c>
      <c r="D2" s="529"/>
      <c r="E2" s="155"/>
      <c r="J2" s="529" t="s">
        <v>662</v>
      </c>
      <c r="K2" s="538"/>
      <c r="M2" s="21" t="s">
        <v>664</v>
      </c>
      <c r="P2" s="529" t="s">
        <v>666</v>
      </c>
      <c r="Q2" s="538"/>
      <c r="S2" s="529" t="s">
        <v>667</v>
      </c>
      <c r="T2" s="538"/>
    </row>
    <row r="3" spans="1:20">
      <c r="A3" s="76"/>
      <c r="B3" s="115"/>
      <c r="C3" s="363"/>
      <c r="D3" s="363"/>
      <c r="E3" s="155"/>
      <c r="J3" s="373"/>
      <c r="K3" s="373"/>
      <c r="P3" s="373"/>
      <c r="Q3" s="373"/>
      <c r="S3" s="373"/>
      <c r="T3" s="373"/>
    </row>
    <row r="4" spans="1:20" s="2" customFormat="1">
      <c r="A4" s="77" t="str">
        <f>'[2]ფორმა N2'!A4</f>
        <v>ანგარიშვალდებული პირის დასახელება:</v>
      </c>
      <c r="B4" s="77"/>
      <c r="C4" s="76"/>
      <c r="D4" s="76"/>
      <c r="E4" s="108"/>
      <c r="J4" s="76"/>
      <c r="K4" s="76"/>
      <c r="L4" s="21"/>
      <c r="P4" s="76"/>
      <c r="Q4" s="76"/>
      <c r="S4" s="76"/>
      <c r="T4" s="76"/>
    </row>
    <row r="5" spans="1:20" s="2" customFormat="1">
      <c r="A5" s="121" t="s">
        <v>512</v>
      </c>
      <c r="B5" s="111"/>
      <c r="C5" s="58"/>
      <c r="D5" s="58"/>
      <c r="E5" s="108"/>
      <c r="J5" s="58"/>
      <c r="K5" s="58"/>
      <c r="P5" s="58"/>
      <c r="Q5" s="58"/>
      <c r="S5" s="58"/>
      <c r="T5" s="58"/>
    </row>
    <row r="6" spans="1:20" s="2" customFormat="1">
      <c r="A6" s="77"/>
      <c r="B6" s="77"/>
      <c r="C6" s="76"/>
      <c r="D6" s="76"/>
      <c r="E6" s="108"/>
      <c r="J6" s="76"/>
      <c r="K6" s="76"/>
      <c r="P6" s="76"/>
      <c r="Q6" s="76"/>
      <c r="S6" s="76"/>
      <c r="T6" s="76"/>
    </row>
    <row r="7" spans="1:20" s="6" customFormat="1">
      <c r="A7" s="362"/>
      <c r="B7" s="362"/>
      <c r="C7" s="78"/>
      <c r="D7" s="78"/>
      <c r="E7" s="156"/>
      <c r="J7" s="78"/>
      <c r="K7" s="78"/>
      <c r="P7" s="78"/>
      <c r="Q7" s="78"/>
      <c r="S7" s="78"/>
      <c r="T7" s="78"/>
    </row>
    <row r="8" spans="1:20" s="6" customFormat="1" ht="45">
      <c r="A8" s="106" t="s">
        <v>64</v>
      </c>
      <c r="B8" s="79" t="s">
        <v>11</v>
      </c>
      <c r="C8" s="79" t="s">
        <v>10</v>
      </c>
      <c r="D8" s="79" t="s">
        <v>9</v>
      </c>
      <c r="E8" s="156"/>
      <c r="J8" s="79" t="s">
        <v>10</v>
      </c>
      <c r="K8" s="79" t="s">
        <v>9</v>
      </c>
      <c r="M8" s="451" t="s">
        <v>10</v>
      </c>
      <c r="N8" s="451" t="s">
        <v>9</v>
      </c>
      <c r="P8" s="79" t="s">
        <v>10</v>
      </c>
      <c r="Q8" s="79" t="s">
        <v>9</v>
      </c>
      <c r="S8" s="79" t="s">
        <v>10</v>
      </c>
      <c r="T8" s="79" t="s">
        <v>9</v>
      </c>
    </row>
    <row r="9" spans="1:20" s="9" customFormat="1" ht="18">
      <c r="A9" s="13">
        <v>1</v>
      </c>
      <c r="B9" s="13" t="s">
        <v>57</v>
      </c>
      <c r="C9" s="82">
        <f>SUM(C10,C13,C53,C56,C57,C58,C75)</f>
        <v>157954.69</v>
      </c>
      <c r="D9" s="82">
        <f>SUM(D10,D13,D53,D56,D57,D58,D64,D71,D72)</f>
        <v>152534.19</v>
      </c>
      <c r="E9" s="157"/>
      <c r="G9" s="457">
        <f>J9+M9+P9</f>
        <v>155365.06</v>
      </c>
      <c r="H9" s="457">
        <f>K9+N9+Q9</f>
        <v>152532.46000000002</v>
      </c>
      <c r="J9" s="82">
        <f>SUM(J10,J13,J53,J56,J57,J58,J75)</f>
        <v>2300</v>
      </c>
      <c r="K9" s="82">
        <f>SUM(K10,K13,K53,K56,K57,K58,K64,K71,K72)</f>
        <v>1975</v>
      </c>
      <c r="M9" s="452">
        <v>152977.56</v>
      </c>
      <c r="N9" s="452">
        <v>150469.96000000002</v>
      </c>
      <c r="P9" s="82">
        <f>SUM(P10,P13,P53,P56,P57,P58,P75)</f>
        <v>87.5</v>
      </c>
      <c r="Q9" s="82">
        <f>SUM(Q10,Q13,Q53,Q56,Q57,Q58,Q64,Q71,Q72)</f>
        <v>87.5</v>
      </c>
      <c r="S9" s="82">
        <f>SUM(S10,S13,S53,S56,S57,S58,S75)</f>
        <v>2588.31</v>
      </c>
      <c r="T9" s="82">
        <f>SUM(T10,T13,T53,T56,T57,T58,T64,T71,T72)</f>
        <v>0</v>
      </c>
    </row>
    <row r="10" spans="1:20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7"/>
      <c r="J10" s="84">
        <f>SUM(J11:J12)</f>
        <v>0</v>
      </c>
      <c r="K10" s="84">
        <f>SUM(K11:K12)</f>
        <v>0</v>
      </c>
      <c r="M10" s="452">
        <v>0</v>
      </c>
      <c r="N10" s="452">
        <v>0</v>
      </c>
      <c r="P10" s="84">
        <f>SUM(P11:P12)</f>
        <v>0</v>
      </c>
      <c r="Q10" s="84">
        <f>SUM(Q11:Q12)</f>
        <v>0</v>
      </c>
      <c r="S10" s="84">
        <f>SUM(S11:S12)</f>
        <v>0</v>
      </c>
      <c r="T10" s="84">
        <f>SUM(T11:T12)</f>
        <v>0</v>
      </c>
    </row>
    <row r="11" spans="1:20" s="9" customFormat="1" ht="16.5" customHeight="1">
      <c r="A11" s="16" t="s">
        <v>30</v>
      </c>
      <c r="B11" s="16" t="s">
        <v>59</v>
      </c>
      <c r="C11" s="32"/>
      <c r="D11" s="33"/>
      <c r="E11" s="157"/>
      <c r="J11" s="32">
        <v>0</v>
      </c>
      <c r="K11" s="33"/>
      <c r="M11" s="452">
        <v>0</v>
      </c>
      <c r="N11" s="452"/>
      <c r="P11" s="32">
        <v>0</v>
      </c>
      <c r="Q11" s="33"/>
      <c r="S11" s="32">
        <v>0</v>
      </c>
      <c r="T11" s="33"/>
    </row>
    <row r="12" spans="1:20" ht="16.5" customHeight="1">
      <c r="A12" s="16" t="s">
        <v>31</v>
      </c>
      <c r="B12" s="16" t="s">
        <v>0</v>
      </c>
      <c r="C12" s="32"/>
      <c r="D12" s="33"/>
      <c r="E12" s="155"/>
      <c r="J12" s="32"/>
      <c r="K12" s="33"/>
      <c r="M12" s="453"/>
      <c r="N12" s="453"/>
      <c r="P12" s="32"/>
      <c r="Q12" s="33"/>
      <c r="S12" s="32"/>
      <c r="T12" s="33"/>
    </row>
    <row r="13" spans="1:20">
      <c r="A13" s="14">
        <v>1.2</v>
      </c>
      <c r="B13" s="14" t="s">
        <v>60</v>
      </c>
      <c r="C13" s="84">
        <f>SUM(C14,C17,C29:C32,C35,C36,C43,C44,C45,C46,C47,C51,C52)</f>
        <v>112647.69</v>
      </c>
      <c r="D13" s="84">
        <f>SUM(D14,D17,D29:D32,D35,D36,D43,D44,D45,D46,D47,D51,D52)</f>
        <v>107227.19</v>
      </c>
      <c r="E13" s="155"/>
      <c r="J13" s="84">
        <f>SUM(J14,J17,J29:J32,J35,J36,J43,J44,J45,J46,J47,J51,J52)</f>
        <v>2300</v>
      </c>
      <c r="K13" s="84">
        <f>SUM(K14,K17,K29:K32,K35,K36,K43,K44,K45,K46,K47,K51,K52)</f>
        <v>1975</v>
      </c>
      <c r="M13" s="453">
        <v>107671.06</v>
      </c>
      <c r="N13" s="453">
        <v>105163.46</v>
      </c>
      <c r="P13" s="84">
        <f>SUM(P14,P17,P29:P32,P35,P36,P43,P44,P45,P46,P47,P51,P52)</f>
        <v>87.5</v>
      </c>
      <c r="Q13" s="84">
        <f>SUM(Q14,Q17,Q29:Q32,Q35,Q36,Q43,Q44,Q45,Q46,Q47,Q51,Q52)</f>
        <v>87.5</v>
      </c>
      <c r="S13" s="84">
        <f>SUM(S14,S17,S29:S32,S35,S36,S43,S44,S45,S46,S47,S51,S52)</f>
        <v>2588.31</v>
      </c>
      <c r="T13" s="84">
        <f>SUM(T14,T17,T29:T32,T35,T36,T43,T44,T45,T46,T47,T51,T52)</f>
        <v>0</v>
      </c>
    </row>
    <row r="14" spans="1:20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5"/>
      <c r="J14" s="83">
        <f>SUM(J15:J16)</f>
        <v>0</v>
      </c>
      <c r="K14" s="83">
        <f>SUM(K15:K16)</f>
        <v>0</v>
      </c>
      <c r="M14" s="453">
        <v>0</v>
      </c>
      <c r="N14" s="453">
        <v>0</v>
      </c>
      <c r="P14" s="83">
        <f>SUM(P15:P16)</f>
        <v>0</v>
      </c>
      <c r="Q14" s="83">
        <f>SUM(Q15:Q16)</f>
        <v>0</v>
      </c>
      <c r="S14" s="83">
        <f>SUM(S15:S16)</f>
        <v>0</v>
      </c>
      <c r="T14" s="83">
        <f>SUM(T15:T16)</f>
        <v>0</v>
      </c>
    </row>
    <row r="15" spans="1:20" ht="17.25" customHeight="1">
      <c r="A15" s="17" t="s">
        <v>98</v>
      </c>
      <c r="B15" s="17" t="s">
        <v>61</v>
      </c>
      <c r="C15" s="34"/>
      <c r="D15" s="35"/>
      <c r="E15" s="155"/>
      <c r="J15" s="34"/>
      <c r="K15" s="35"/>
      <c r="M15" s="453"/>
      <c r="N15" s="453"/>
      <c r="P15" s="34"/>
      <c r="Q15" s="35"/>
      <c r="S15" s="34"/>
      <c r="T15" s="35"/>
    </row>
    <row r="16" spans="1:20" ht="17.25" customHeight="1">
      <c r="A16" s="17" t="s">
        <v>99</v>
      </c>
      <c r="B16" s="17" t="s">
        <v>62</v>
      </c>
      <c r="C16" s="34"/>
      <c r="D16" s="35"/>
      <c r="E16" s="155"/>
      <c r="J16" s="34"/>
      <c r="K16" s="35"/>
      <c r="M16" s="453"/>
      <c r="N16" s="453"/>
      <c r="P16" s="34"/>
      <c r="Q16" s="35"/>
      <c r="S16" s="34"/>
      <c r="T16" s="35"/>
    </row>
    <row r="17" spans="1:20">
      <c r="A17" s="16" t="s">
        <v>33</v>
      </c>
      <c r="B17" s="16" t="s">
        <v>2</v>
      </c>
      <c r="C17" s="83">
        <f>SUM(C18:C23,C28)</f>
        <v>571.69000000000005</v>
      </c>
      <c r="D17" s="83">
        <f>SUM(D18:D23,D28)</f>
        <v>444.19</v>
      </c>
      <c r="E17" s="155"/>
      <c r="J17" s="83">
        <f>SUM(J18:J23,J28)</f>
        <v>0</v>
      </c>
      <c r="K17" s="83">
        <f>SUM(K18:K23,K28)</f>
        <v>0</v>
      </c>
      <c r="M17" s="453">
        <v>571.69000000000005</v>
      </c>
      <c r="N17" s="453">
        <v>444.19</v>
      </c>
      <c r="P17" s="83">
        <f>SUM(P18:P23,P28)</f>
        <v>0</v>
      </c>
      <c r="Q17" s="83">
        <f>SUM(Q18:Q23,Q28)</f>
        <v>0</v>
      </c>
      <c r="S17" s="83">
        <f>SUM(S18:S23,S28)</f>
        <v>0</v>
      </c>
      <c r="T17" s="83">
        <f>SUM(T18:T23,T28)</f>
        <v>0</v>
      </c>
    </row>
    <row r="18" spans="1:20" ht="30">
      <c r="A18" s="17" t="s">
        <v>12</v>
      </c>
      <c r="B18" s="17" t="s">
        <v>251</v>
      </c>
      <c r="C18" s="447">
        <v>127.5</v>
      </c>
      <c r="D18" s="37"/>
      <c r="E18" s="155"/>
      <c r="G18" s="21">
        <f>J18+M18+P18</f>
        <v>127.5</v>
      </c>
      <c r="H18" s="450">
        <f>K18+N18+Q18</f>
        <v>0</v>
      </c>
      <c r="J18" s="36"/>
      <c r="K18" s="37"/>
      <c r="M18" s="453">
        <v>127.5</v>
      </c>
      <c r="N18" s="453"/>
      <c r="P18" s="36"/>
      <c r="Q18" s="37"/>
      <c r="S18" s="36"/>
      <c r="T18" s="37"/>
    </row>
    <row r="19" spans="1:20">
      <c r="A19" s="17" t="s">
        <v>13</v>
      </c>
      <c r="B19" s="17" t="s">
        <v>14</v>
      </c>
      <c r="C19" s="36"/>
      <c r="D19" s="38"/>
      <c r="E19" s="155"/>
      <c r="J19" s="36"/>
      <c r="K19" s="38"/>
      <c r="M19" s="453"/>
      <c r="N19" s="453"/>
      <c r="P19" s="36"/>
      <c r="Q19" s="38"/>
      <c r="S19" s="36"/>
      <c r="T19" s="38"/>
    </row>
    <row r="20" spans="1:20" ht="30">
      <c r="A20" s="17" t="s">
        <v>283</v>
      </c>
      <c r="B20" s="17" t="s">
        <v>22</v>
      </c>
      <c r="C20" s="36"/>
      <c r="D20" s="39"/>
      <c r="E20" s="155"/>
      <c r="J20" s="36"/>
      <c r="K20" s="39"/>
      <c r="M20" s="453"/>
      <c r="N20" s="453"/>
      <c r="P20" s="36"/>
      <c r="Q20" s="39"/>
      <c r="S20" s="36"/>
      <c r="T20" s="39"/>
    </row>
    <row r="21" spans="1:20">
      <c r="A21" s="17" t="s">
        <v>284</v>
      </c>
      <c r="B21" s="17" t="s">
        <v>15</v>
      </c>
      <c r="C21" s="447">
        <v>203.68</v>
      </c>
      <c r="D21" s="439">
        <v>203.68</v>
      </c>
      <c r="E21" s="155"/>
      <c r="G21" s="454">
        <f>J21+M21+P21</f>
        <v>203.68</v>
      </c>
      <c r="H21" s="455">
        <f>K21+N21+Q21</f>
        <v>203.68</v>
      </c>
      <c r="J21" s="36">
        <v>0</v>
      </c>
      <c r="K21" s="39">
        <v>0</v>
      </c>
      <c r="M21" s="453">
        <v>203.68</v>
      </c>
      <c r="N21" s="453">
        <v>203.68</v>
      </c>
      <c r="P21" s="447"/>
      <c r="Q21" s="439"/>
      <c r="S21" s="447"/>
      <c r="T21" s="439"/>
    </row>
    <row r="22" spans="1:20">
      <c r="A22" s="17" t="s">
        <v>285</v>
      </c>
      <c r="B22" s="17" t="s">
        <v>16</v>
      </c>
      <c r="C22" s="36"/>
      <c r="D22" s="39"/>
      <c r="E22" s="155"/>
      <c r="J22" s="36"/>
      <c r="K22" s="39"/>
      <c r="M22" s="453"/>
      <c r="N22" s="453"/>
      <c r="P22" s="36"/>
      <c r="Q22" s="39"/>
      <c r="S22" s="36"/>
      <c r="T22" s="39"/>
    </row>
    <row r="23" spans="1:20">
      <c r="A23" s="17" t="s">
        <v>286</v>
      </c>
      <c r="B23" s="17" t="s">
        <v>17</v>
      </c>
      <c r="C23" s="118">
        <f>SUM(C24:C27)</f>
        <v>240.51</v>
      </c>
      <c r="D23" s="118">
        <f>SUM(D24:D27)</f>
        <v>240.51</v>
      </c>
      <c r="E23" s="155"/>
      <c r="J23" s="118">
        <f>SUM(J24:J27)</f>
        <v>0</v>
      </c>
      <c r="K23" s="118">
        <f>SUM(K24:K27)</f>
        <v>0</v>
      </c>
      <c r="M23" s="453">
        <v>240.51</v>
      </c>
      <c r="N23" s="453">
        <v>240.51</v>
      </c>
      <c r="P23" s="448">
        <f>SUM(P24:P27)</f>
        <v>0</v>
      </c>
      <c r="Q23" s="448">
        <f>SUM(Q24:Q27)</f>
        <v>0</v>
      </c>
      <c r="S23" s="448">
        <f>SUM(S24:S27)</f>
        <v>0</v>
      </c>
      <c r="T23" s="448">
        <f>SUM(T24:T27)</f>
        <v>0</v>
      </c>
    </row>
    <row r="24" spans="1:20" ht="16.5" customHeight="1">
      <c r="A24" s="18" t="s">
        <v>287</v>
      </c>
      <c r="B24" s="18" t="s">
        <v>18</v>
      </c>
      <c r="C24" s="447">
        <v>148.27000000000001</v>
      </c>
      <c r="D24" s="449">
        <v>148.27000000000001</v>
      </c>
      <c r="E24" s="155"/>
      <c r="G24" s="454">
        <f>J24+M24+P24</f>
        <v>148.27000000000001</v>
      </c>
      <c r="H24" s="455">
        <f>K24+N24+Q24</f>
        <v>148.27000000000001</v>
      </c>
      <c r="J24" s="36">
        <v>0</v>
      </c>
      <c r="K24" s="39">
        <v>0</v>
      </c>
      <c r="M24" s="453">
        <v>148.27000000000001</v>
      </c>
      <c r="N24" s="453">
        <v>148.27000000000001</v>
      </c>
      <c r="P24" s="447"/>
      <c r="Q24" s="449"/>
      <c r="S24" s="447"/>
      <c r="T24" s="449"/>
    </row>
    <row r="25" spans="1:20" ht="16.5" customHeight="1">
      <c r="A25" s="18" t="s">
        <v>288</v>
      </c>
      <c r="B25" s="18" t="s">
        <v>19</v>
      </c>
      <c r="C25" s="447">
        <v>92.24</v>
      </c>
      <c r="D25" s="449">
        <v>92.24</v>
      </c>
      <c r="E25" s="155"/>
      <c r="G25" s="454">
        <f>J25+M25+P25</f>
        <v>92.24</v>
      </c>
      <c r="H25" s="455">
        <f>K25+N25+Q25</f>
        <v>92.24</v>
      </c>
      <c r="J25" s="36">
        <v>0</v>
      </c>
      <c r="K25" s="39">
        <v>0</v>
      </c>
      <c r="M25" s="453">
        <v>92.24</v>
      </c>
      <c r="N25" s="453">
        <v>92.24</v>
      </c>
      <c r="P25" s="447"/>
      <c r="Q25" s="449"/>
      <c r="S25" s="447"/>
      <c r="T25" s="449"/>
    </row>
    <row r="26" spans="1:20" ht="16.5" customHeight="1">
      <c r="A26" s="18" t="s">
        <v>289</v>
      </c>
      <c r="B26" s="18" t="s">
        <v>20</v>
      </c>
      <c r="C26" s="36"/>
      <c r="D26" s="39"/>
      <c r="E26" s="155"/>
      <c r="J26" s="36">
        <v>0</v>
      </c>
      <c r="K26" s="39">
        <v>0</v>
      </c>
      <c r="M26" s="453">
        <v>0</v>
      </c>
      <c r="N26" s="453">
        <v>0</v>
      </c>
      <c r="P26" s="36">
        <v>0</v>
      </c>
      <c r="Q26" s="39">
        <v>0</v>
      </c>
      <c r="S26" s="36">
        <v>0</v>
      </c>
      <c r="T26" s="39">
        <v>0</v>
      </c>
    </row>
    <row r="27" spans="1:20" ht="16.5" customHeight="1">
      <c r="A27" s="18" t="s">
        <v>290</v>
      </c>
      <c r="B27" s="18" t="s">
        <v>23</v>
      </c>
      <c r="C27" s="36"/>
      <c r="D27" s="40"/>
      <c r="E27" s="155"/>
      <c r="J27" s="36">
        <v>0</v>
      </c>
      <c r="K27" s="446">
        <v>0</v>
      </c>
      <c r="M27" s="453">
        <v>0</v>
      </c>
      <c r="N27" s="453">
        <v>0</v>
      </c>
      <c r="P27" s="36">
        <v>0</v>
      </c>
      <c r="Q27" s="446">
        <v>0</v>
      </c>
      <c r="S27" s="36">
        <v>0</v>
      </c>
      <c r="T27" s="446">
        <v>0</v>
      </c>
    </row>
    <row r="28" spans="1:20">
      <c r="A28" s="17" t="s">
        <v>291</v>
      </c>
      <c r="B28" s="17" t="s">
        <v>21</v>
      </c>
      <c r="C28" s="36"/>
      <c r="D28" s="40"/>
      <c r="E28" s="155"/>
      <c r="J28" s="36"/>
      <c r="K28" s="446">
        <v>0</v>
      </c>
      <c r="M28" s="453"/>
      <c r="N28" s="453">
        <v>0</v>
      </c>
      <c r="P28" s="36"/>
      <c r="Q28" s="446">
        <v>0</v>
      </c>
      <c r="S28" s="36"/>
      <c r="T28" s="446">
        <v>0</v>
      </c>
    </row>
    <row r="29" spans="1:20">
      <c r="A29" s="16" t="s">
        <v>34</v>
      </c>
      <c r="B29" s="16" t="s">
        <v>3</v>
      </c>
      <c r="C29" s="32"/>
      <c r="D29" s="33"/>
      <c r="E29" s="155"/>
      <c r="J29" s="32"/>
      <c r="K29" s="33"/>
      <c r="M29" s="453"/>
      <c r="N29" s="453"/>
      <c r="P29" s="32"/>
      <c r="Q29" s="33"/>
      <c r="S29" s="32"/>
      <c r="T29" s="33"/>
    </row>
    <row r="30" spans="1:20">
      <c r="A30" s="16" t="s">
        <v>35</v>
      </c>
      <c r="B30" s="16" t="s">
        <v>4</v>
      </c>
      <c r="C30" s="32"/>
      <c r="D30" s="33"/>
      <c r="E30" s="155"/>
      <c r="J30" s="32"/>
      <c r="K30" s="33"/>
      <c r="M30" s="453"/>
      <c r="N30" s="453"/>
      <c r="P30" s="32"/>
      <c r="Q30" s="33"/>
      <c r="S30" s="32"/>
      <c r="T30" s="33"/>
    </row>
    <row r="31" spans="1:20">
      <c r="A31" s="16" t="s">
        <v>36</v>
      </c>
      <c r="B31" s="16" t="s">
        <v>5</v>
      </c>
      <c r="C31" s="32"/>
      <c r="D31" s="33"/>
      <c r="E31" s="155"/>
      <c r="J31" s="32"/>
      <c r="K31" s="33"/>
      <c r="M31" s="453"/>
      <c r="N31" s="453"/>
      <c r="P31" s="32"/>
      <c r="Q31" s="33"/>
      <c r="S31" s="32"/>
      <c r="T31" s="33"/>
    </row>
    <row r="32" spans="1:20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5"/>
      <c r="J32" s="83">
        <f>SUM(J33:J34)</f>
        <v>0</v>
      </c>
      <c r="K32" s="83">
        <f>SUM(K33:K34)</f>
        <v>0</v>
      </c>
      <c r="M32" s="453">
        <v>0</v>
      </c>
      <c r="N32" s="453">
        <v>0</v>
      </c>
      <c r="P32" s="83">
        <f>SUM(P33:P34)</f>
        <v>0</v>
      </c>
      <c r="Q32" s="83">
        <f>SUM(Q33:Q34)</f>
        <v>0</v>
      </c>
      <c r="S32" s="83">
        <f>SUM(S33:S34)</f>
        <v>0</v>
      </c>
      <c r="T32" s="83">
        <f>SUM(T33:T34)</f>
        <v>0</v>
      </c>
    </row>
    <row r="33" spans="1:20">
      <c r="A33" s="17" t="s">
        <v>292</v>
      </c>
      <c r="B33" s="17" t="s">
        <v>56</v>
      </c>
      <c r="C33" s="32"/>
      <c r="D33" s="33"/>
      <c r="E33" s="155"/>
      <c r="J33" s="32"/>
      <c r="K33" s="33"/>
      <c r="M33" s="453"/>
      <c r="N33" s="453"/>
      <c r="P33" s="32"/>
      <c r="Q33" s="33"/>
      <c r="S33" s="32"/>
      <c r="T33" s="33"/>
    </row>
    <row r="34" spans="1:20">
      <c r="A34" s="17" t="s">
        <v>293</v>
      </c>
      <c r="B34" s="17" t="s">
        <v>55</v>
      </c>
      <c r="C34" s="32"/>
      <c r="D34" s="33"/>
      <c r="E34" s="155"/>
      <c r="J34" s="32"/>
      <c r="K34" s="33"/>
      <c r="M34" s="453"/>
      <c r="N34" s="453"/>
      <c r="P34" s="32"/>
      <c r="Q34" s="33"/>
      <c r="S34" s="32"/>
      <c r="T34" s="33"/>
    </row>
    <row r="35" spans="1:20">
      <c r="A35" s="16" t="s">
        <v>38</v>
      </c>
      <c r="B35" s="16" t="s">
        <v>49</v>
      </c>
      <c r="C35" s="32"/>
      <c r="D35" s="33"/>
      <c r="E35" s="155"/>
      <c r="J35" s="32">
        <v>0</v>
      </c>
      <c r="K35" s="33">
        <v>0</v>
      </c>
      <c r="M35" s="453">
        <v>0</v>
      </c>
      <c r="N35" s="453">
        <v>0</v>
      </c>
      <c r="P35" s="32">
        <v>0</v>
      </c>
      <c r="Q35" s="33">
        <v>0</v>
      </c>
      <c r="S35" s="32">
        <v>0</v>
      </c>
      <c r="T35" s="33">
        <v>0</v>
      </c>
    </row>
    <row r="36" spans="1:20">
      <c r="A36" s="16" t="s">
        <v>39</v>
      </c>
      <c r="B36" s="16" t="s">
        <v>360</v>
      </c>
      <c r="C36" s="83">
        <f>SUM(C37:C42)</f>
        <v>22200</v>
      </c>
      <c r="D36" s="83">
        <f>SUM(D37:D42)</f>
        <v>22200</v>
      </c>
      <c r="E36" s="155"/>
      <c r="J36" s="83">
        <f>SUM(J37:J42)</f>
        <v>0</v>
      </c>
      <c r="K36" s="83">
        <f>SUM(K37:K42)</f>
        <v>0</v>
      </c>
      <c r="M36" s="453">
        <v>22199.63</v>
      </c>
      <c r="N36" s="453">
        <v>22199.63</v>
      </c>
      <c r="P36" s="83">
        <f>SUM(P37:P42)</f>
        <v>0</v>
      </c>
      <c r="Q36" s="83">
        <f>SUM(Q37:Q42)</f>
        <v>0</v>
      </c>
      <c r="S36" s="83">
        <f>SUM(S37:S42)</f>
        <v>0</v>
      </c>
      <c r="T36" s="83">
        <f>SUM(T37:T42)</f>
        <v>0</v>
      </c>
    </row>
    <row r="37" spans="1:20">
      <c r="A37" s="17" t="s">
        <v>357</v>
      </c>
      <c r="B37" s="17" t="s">
        <v>361</v>
      </c>
      <c r="C37" s="32"/>
      <c r="D37" s="32"/>
      <c r="E37" s="155"/>
      <c r="J37" s="32"/>
      <c r="K37" s="32"/>
      <c r="M37" s="453"/>
      <c r="N37" s="453"/>
      <c r="P37" s="32"/>
      <c r="Q37" s="32"/>
      <c r="S37" s="32"/>
      <c r="T37" s="32"/>
    </row>
    <row r="38" spans="1:20">
      <c r="A38" s="17" t="s">
        <v>358</v>
      </c>
      <c r="B38" s="17" t="s">
        <v>362</v>
      </c>
      <c r="C38" s="32">
        <v>238</v>
      </c>
      <c r="D38" s="32">
        <v>238</v>
      </c>
      <c r="E38" s="155"/>
      <c r="G38" s="456">
        <f>J38+M38+P38</f>
        <v>238</v>
      </c>
      <c r="H38" s="456">
        <f>K38+N38+Q38</f>
        <v>238</v>
      </c>
      <c r="J38" s="32"/>
      <c r="K38" s="32"/>
      <c r="M38" s="453">
        <v>238</v>
      </c>
      <c r="N38" s="453">
        <v>238</v>
      </c>
      <c r="P38" s="32"/>
      <c r="Q38" s="32"/>
      <c r="S38" s="32"/>
      <c r="T38" s="32"/>
    </row>
    <row r="39" spans="1:20">
      <c r="A39" s="17" t="s">
        <v>359</v>
      </c>
      <c r="B39" s="17" t="s">
        <v>365</v>
      </c>
      <c r="C39" s="32"/>
      <c r="D39" s="33"/>
      <c r="E39" s="155"/>
      <c r="J39" s="32"/>
      <c r="K39" s="33"/>
      <c r="M39" s="453"/>
      <c r="N39" s="453"/>
      <c r="P39" s="32"/>
      <c r="Q39" s="33"/>
      <c r="S39" s="32"/>
      <c r="T39" s="33"/>
    </row>
    <row r="40" spans="1:20">
      <c r="A40" s="17" t="s">
        <v>364</v>
      </c>
      <c r="B40" s="17" t="s">
        <v>366</v>
      </c>
      <c r="C40" s="32"/>
      <c r="D40" s="33"/>
      <c r="E40" s="155"/>
      <c r="J40" s="32"/>
      <c r="K40" s="33"/>
      <c r="M40" s="453"/>
      <c r="N40" s="453"/>
      <c r="P40" s="32"/>
      <c r="Q40" s="33"/>
      <c r="S40" s="32"/>
      <c r="T40" s="33"/>
    </row>
    <row r="41" spans="1:20">
      <c r="A41" s="17" t="s">
        <v>367</v>
      </c>
      <c r="B41" s="17" t="s">
        <v>504</v>
      </c>
      <c r="C41" s="32">
        <v>21962</v>
      </c>
      <c r="D41" s="33">
        <v>21962</v>
      </c>
      <c r="E41" s="155"/>
      <c r="G41" s="456">
        <f>J41+M41+P41</f>
        <v>21961.63</v>
      </c>
      <c r="H41" s="456">
        <f>K41+N41+Q41</f>
        <v>21961.63</v>
      </c>
      <c r="J41" s="32"/>
      <c r="K41" s="33"/>
      <c r="M41" s="453">
        <v>21961.63</v>
      </c>
      <c r="N41" s="453">
        <v>21961.63</v>
      </c>
      <c r="P41" s="32"/>
      <c r="Q41" s="33"/>
      <c r="S41" s="32"/>
      <c r="T41" s="33"/>
    </row>
    <row r="42" spans="1:20">
      <c r="A42" s="17" t="s">
        <v>505</v>
      </c>
      <c r="B42" s="17" t="s">
        <v>363</v>
      </c>
      <c r="C42" s="32"/>
      <c r="D42" s="33"/>
      <c r="E42" s="155"/>
      <c r="J42" s="32"/>
      <c r="K42" s="33"/>
      <c r="M42" s="453"/>
      <c r="N42" s="453"/>
      <c r="P42" s="32"/>
      <c r="Q42" s="33"/>
      <c r="S42" s="32"/>
      <c r="T42" s="33"/>
    </row>
    <row r="43" spans="1:20" ht="30">
      <c r="A43" s="16" t="s">
        <v>40</v>
      </c>
      <c r="B43" s="16" t="s">
        <v>28</v>
      </c>
      <c r="C43" s="32"/>
      <c r="D43" s="33"/>
      <c r="E43" s="155"/>
      <c r="J43" s="32"/>
      <c r="K43" s="33"/>
      <c r="M43" s="453"/>
      <c r="N43" s="453"/>
      <c r="P43" s="32"/>
      <c r="Q43" s="33"/>
      <c r="S43" s="32"/>
      <c r="T43" s="33"/>
    </row>
    <row r="44" spans="1:20">
      <c r="A44" s="16" t="s">
        <v>41</v>
      </c>
      <c r="B44" s="16" t="s">
        <v>24</v>
      </c>
      <c r="C44" s="32">
        <v>950</v>
      </c>
      <c r="D44" s="33">
        <v>950</v>
      </c>
      <c r="E44" s="155"/>
      <c r="G44" s="456">
        <f>J44+M44+P44</f>
        <v>950</v>
      </c>
      <c r="H44" s="456">
        <f>K44+N44+Q44</f>
        <v>950</v>
      </c>
      <c r="J44" s="32"/>
      <c r="K44" s="33"/>
      <c r="M44" s="453">
        <v>950</v>
      </c>
      <c r="N44" s="453">
        <v>950</v>
      </c>
      <c r="P44" s="32"/>
      <c r="Q44" s="33"/>
      <c r="S44" s="32"/>
      <c r="T44" s="33"/>
    </row>
    <row r="45" spans="1:20">
      <c r="A45" s="16" t="s">
        <v>42</v>
      </c>
      <c r="B45" s="16" t="s">
        <v>25</v>
      </c>
      <c r="C45" s="32">
        <v>5000</v>
      </c>
      <c r="D45" s="33">
        <v>5000</v>
      </c>
      <c r="E45" s="155"/>
      <c r="G45" s="456">
        <f>J45+M45+P45</f>
        <v>5000</v>
      </c>
      <c r="H45" s="456">
        <f>K45+N45+Q45</f>
        <v>5000</v>
      </c>
      <c r="J45" s="32"/>
      <c r="K45" s="33"/>
      <c r="M45" s="453">
        <v>5000</v>
      </c>
      <c r="N45" s="453">
        <v>5000</v>
      </c>
      <c r="P45" s="32"/>
      <c r="Q45" s="33"/>
      <c r="S45" s="32"/>
      <c r="T45" s="33"/>
    </row>
    <row r="46" spans="1:20">
      <c r="A46" s="16" t="s">
        <v>43</v>
      </c>
      <c r="B46" s="16" t="s">
        <v>26</v>
      </c>
      <c r="C46" s="32"/>
      <c r="D46" s="33"/>
      <c r="E46" s="155"/>
      <c r="J46" s="32">
        <v>0</v>
      </c>
      <c r="K46" s="33">
        <v>0</v>
      </c>
      <c r="M46" s="453">
        <v>0</v>
      </c>
      <c r="N46" s="453">
        <v>0</v>
      </c>
      <c r="P46" s="32"/>
      <c r="Q46" s="33"/>
      <c r="S46" s="32"/>
      <c r="T46" s="33"/>
    </row>
    <row r="47" spans="1:20">
      <c r="A47" s="16" t="s">
        <v>44</v>
      </c>
      <c r="B47" s="16" t="s">
        <v>298</v>
      </c>
      <c r="C47" s="83">
        <f>SUM(C48:C50)</f>
        <v>13582</v>
      </c>
      <c r="D47" s="83">
        <f>SUM(D48:D50)</f>
        <v>10957</v>
      </c>
      <c r="E47" s="155"/>
      <c r="J47" s="83">
        <f>SUM(J48:J50)</f>
        <v>325</v>
      </c>
      <c r="K47" s="83">
        <f>SUM(K48:K50)</f>
        <v>0</v>
      </c>
      <c r="M47" s="453">
        <v>13256.34</v>
      </c>
      <c r="N47" s="453">
        <v>10956.34</v>
      </c>
      <c r="P47" s="83">
        <f>SUM(P48:P50)</f>
        <v>0</v>
      </c>
      <c r="Q47" s="83">
        <f>SUM(Q48:Q50)</f>
        <v>0</v>
      </c>
      <c r="S47" s="83">
        <f>SUM(S48:S50)</f>
        <v>0</v>
      </c>
      <c r="T47" s="83">
        <f>SUM(T48:T50)</f>
        <v>0</v>
      </c>
    </row>
    <row r="48" spans="1:20">
      <c r="A48" s="97" t="s">
        <v>373</v>
      </c>
      <c r="B48" s="97" t="s">
        <v>376</v>
      </c>
      <c r="C48" s="32">
        <v>10855</v>
      </c>
      <c r="D48" s="33">
        <v>8230</v>
      </c>
      <c r="E48" s="155"/>
      <c r="G48" s="456">
        <f>J48+M48+P48</f>
        <v>10854.84</v>
      </c>
      <c r="H48" s="456">
        <f>K48+N48+Q48</f>
        <v>8229.84</v>
      </c>
      <c r="J48" s="32">
        <v>325</v>
      </c>
      <c r="K48" s="33">
        <v>0</v>
      </c>
      <c r="M48" s="453">
        <v>10529.84</v>
      </c>
      <c r="N48" s="453">
        <v>8229.84</v>
      </c>
      <c r="P48" s="32"/>
      <c r="Q48" s="33"/>
      <c r="S48" s="32"/>
      <c r="T48" s="33"/>
    </row>
    <row r="49" spans="1:20">
      <c r="A49" s="97" t="s">
        <v>374</v>
      </c>
      <c r="B49" s="97" t="s">
        <v>375</v>
      </c>
      <c r="C49" s="32">
        <v>2727</v>
      </c>
      <c r="D49" s="33">
        <v>2727</v>
      </c>
      <c r="E49" s="155"/>
      <c r="G49" s="456">
        <f>J49+M49+P49</f>
        <v>2726.5</v>
      </c>
      <c r="H49" s="456">
        <f>K49+N49+Q49</f>
        <v>2726.5</v>
      </c>
      <c r="J49" s="32"/>
      <c r="K49" s="33"/>
      <c r="M49" s="453">
        <v>2726.5</v>
      </c>
      <c r="N49" s="453">
        <v>2726.5</v>
      </c>
      <c r="P49" s="32"/>
      <c r="Q49" s="33"/>
      <c r="S49" s="32"/>
      <c r="T49" s="33"/>
    </row>
    <row r="50" spans="1:20">
      <c r="A50" s="97" t="s">
        <v>377</v>
      </c>
      <c r="B50" s="97" t="s">
        <v>378</v>
      </c>
      <c r="C50" s="32"/>
      <c r="D50" s="33"/>
      <c r="E50" s="155"/>
      <c r="J50" s="32"/>
      <c r="K50" s="33"/>
      <c r="M50" s="453"/>
      <c r="N50" s="453"/>
      <c r="P50" s="32"/>
      <c r="Q50" s="33"/>
      <c r="S50" s="32"/>
      <c r="T50" s="33"/>
    </row>
    <row r="51" spans="1:20" ht="26.25" customHeight="1">
      <c r="A51" s="16" t="s">
        <v>45</v>
      </c>
      <c r="B51" s="16" t="s">
        <v>29</v>
      </c>
      <c r="C51" s="32"/>
      <c r="D51" s="33"/>
      <c r="E51" s="155"/>
      <c r="J51" s="32"/>
      <c r="K51" s="33"/>
      <c r="M51" s="453"/>
      <c r="N51" s="453"/>
      <c r="P51" s="32"/>
      <c r="Q51" s="33"/>
      <c r="S51" s="32"/>
      <c r="T51" s="33"/>
    </row>
    <row r="52" spans="1:20">
      <c r="A52" s="16" t="s">
        <v>46</v>
      </c>
      <c r="B52" s="16" t="s">
        <v>6</v>
      </c>
      <c r="C52" s="32">
        <v>70344</v>
      </c>
      <c r="D52" s="33">
        <v>67676</v>
      </c>
      <c r="E52" s="155"/>
      <c r="F52" s="456"/>
      <c r="G52" s="456">
        <f>J52+M52+P52+S52</f>
        <v>70344.209999999992</v>
      </c>
      <c r="H52" s="456">
        <f>K52+N52+Q52</f>
        <v>67675.8</v>
      </c>
      <c r="J52" s="32">
        <v>1975</v>
      </c>
      <c r="K52" s="33">
        <v>1975</v>
      </c>
      <c r="M52" s="453">
        <v>65693.399999999994</v>
      </c>
      <c r="N52" s="453">
        <v>65613.3</v>
      </c>
      <c r="P52" s="32">
        <v>87.5</v>
      </c>
      <c r="Q52" s="33">
        <v>87.5</v>
      </c>
      <c r="S52" s="32">
        <f>410+2178.31</f>
        <v>2588.31</v>
      </c>
      <c r="T52" s="33">
        <v>0</v>
      </c>
    </row>
    <row r="53" spans="1:20" ht="30">
      <c r="A53" s="14">
        <v>1.3</v>
      </c>
      <c r="B53" s="87" t="s">
        <v>417</v>
      </c>
      <c r="C53" s="84">
        <f>SUM(C54:C55)</f>
        <v>45307</v>
      </c>
      <c r="D53" s="84">
        <f>SUM(D54:D55)</f>
        <v>45307</v>
      </c>
      <c r="E53" s="155"/>
      <c r="J53" s="84">
        <f>SUM(J54:J55)</f>
        <v>0</v>
      </c>
      <c r="K53" s="84">
        <f>SUM(K54:K55)</f>
        <v>0</v>
      </c>
      <c r="M53" s="453">
        <v>45306.5</v>
      </c>
      <c r="N53" s="453">
        <v>45306.5</v>
      </c>
      <c r="P53" s="84">
        <f>SUM(P54:P55)</f>
        <v>0</v>
      </c>
      <c r="Q53" s="84">
        <f>SUM(Q54:Q55)</f>
        <v>0</v>
      </c>
      <c r="S53" s="84">
        <f>SUM(S54:S55)</f>
        <v>0</v>
      </c>
      <c r="T53" s="84">
        <f>SUM(T54:T55)</f>
        <v>0</v>
      </c>
    </row>
    <row r="54" spans="1:20" ht="30">
      <c r="A54" s="16" t="s">
        <v>50</v>
      </c>
      <c r="B54" s="16" t="s">
        <v>48</v>
      </c>
      <c r="C54" s="32">
        <v>45307</v>
      </c>
      <c r="D54" s="33">
        <v>45307</v>
      </c>
      <c r="E54" s="155"/>
      <c r="G54" s="456">
        <f>J54+M54+P54</f>
        <v>45306.5</v>
      </c>
      <c r="H54" s="456">
        <f>K54+N54+Q54</f>
        <v>45306.5</v>
      </c>
      <c r="J54" s="32"/>
      <c r="K54" s="33"/>
      <c r="M54" s="453">
        <v>45306.5</v>
      </c>
      <c r="N54" s="453">
        <v>45306.5</v>
      </c>
      <c r="P54" s="32"/>
      <c r="Q54" s="33"/>
      <c r="S54" s="32"/>
      <c r="T54" s="33"/>
    </row>
    <row r="55" spans="1:20">
      <c r="A55" s="16" t="s">
        <v>51</v>
      </c>
      <c r="B55" s="16" t="s">
        <v>47</v>
      </c>
      <c r="C55" s="32"/>
      <c r="D55" s="33"/>
      <c r="E55" s="155"/>
      <c r="J55" s="32"/>
      <c r="K55" s="33"/>
      <c r="M55" s="453"/>
      <c r="N55" s="453"/>
      <c r="P55" s="32"/>
      <c r="Q55" s="33"/>
      <c r="S55" s="32"/>
      <c r="T55" s="33"/>
    </row>
    <row r="56" spans="1:20">
      <c r="A56" s="14">
        <v>1.4</v>
      </c>
      <c r="B56" s="14" t="s">
        <v>419</v>
      </c>
      <c r="C56" s="32"/>
      <c r="D56" s="33"/>
      <c r="E56" s="155"/>
      <c r="J56" s="32"/>
      <c r="K56" s="33"/>
      <c r="M56" s="453"/>
      <c r="N56" s="453"/>
      <c r="P56" s="32"/>
      <c r="Q56" s="33"/>
      <c r="S56" s="32"/>
      <c r="T56" s="33"/>
    </row>
    <row r="57" spans="1:20">
      <c r="A57" s="14">
        <v>1.5</v>
      </c>
      <c r="B57" s="14" t="s">
        <v>7</v>
      </c>
      <c r="C57" s="36"/>
      <c r="D57" s="39"/>
      <c r="E57" s="155"/>
      <c r="J57" s="36"/>
      <c r="K57" s="39"/>
      <c r="M57" s="453"/>
      <c r="N57" s="453"/>
      <c r="P57" s="36"/>
      <c r="Q57" s="39"/>
      <c r="S57" s="36"/>
      <c r="T57" s="39"/>
    </row>
    <row r="58" spans="1:20">
      <c r="A58" s="14">
        <v>1.6</v>
      </c>
      <c r="B58" s="44" t="s">
        <v>8</v>
      </c>
      <c r="C58" s="84">
        <f>SUM(C59:C63)</f>
        <v>0</v>
      </c>
      <c r="D58" s="84">
        <f>SUM(D59:D63)</f>
        <v>0</v>
      </c>
      <c r="E58" s="155"/>
      <c r="J58" s="84">
        <f>SUM(J59:J63)</f>
        <v>0</v>
      </c>
      <c r="K58" s="84">
        <f>SUM(K59:K63)</f>
        <v>0</v>
      </c>
      <c r="M58" s="453">
        <v>0</v>
      </c>
      <c r="N58" s="453">
        <v>0</v>
      </c>
      <c r="P58" s="84">
        <f>SUM(P59:P63)</f>
        <v>0</v>
      </c>
      <c r="Q58" s="84">
        <f>SUM(Q59:Q63)</f>
        <v>0</v>
      </c>
      <c r="S58" s="84">
        <f>SUM(S59:S63)</f>
        <v>0</v>
      </c>
      <c r="T58" s="84">
        <f>SUM(T59:T63)</f>
        <v>0</v>
      </c>
    </row>
    <row r="59" spans="1:20">
      <c r="A59" s="16" t="s">
        <v>299</v>
      </c>
      <c r="B59" s="45" t="s">
        <v>52</v>
      </c>
      <c r="C59" s="36"/>
      <c r="D59" s="39"/>
      <c r="E59" s="155"/>
      <c r="J59" s="36"/>
      <c r="K59" s="39"/>
      <c r="M59" s="453"/>
      <c r="N59" s="453"/>
      <c r="P59" s="36"/>
      <c r="Q59" s="39"/>
      <c r="S59" s="36"/>
      <c r="T59" s="39"/>
    </row>
    <row r="60" spans="1:20" ht="30">
      <c r="A60" s="16" t="s">
        <v>300</v>
      </c>
      <c r="B60" s="45" t="s">
        <v>54</v>
      </c>
      <c r="C60" s="36"/>
      <c r="D60" s="39"/>
      <c r="E60" s="155"/>
      <c r="J60" s="36"/>
      <c r="K60" s="39"/>
      <c r="M60" s="453"/>
      <c r="N60" s="453"/>
      <c r="P60" s="36"/>
      <c r="Q60" s="39"/>
      <c r="S60" s="36"/>
      <c r="T60" s="39"/>
    </row>
    <row r="61" spans="1:20">
      <c r="A61" s="16" t="s">
        <v>301</v>
      </c>
      <c r="B61" s="45" t="s">
        <v>53</v>
      </c>
      <c r="C61" s="39"/>
      <c r="D61" s="39"/>
      <c r="E61" s="155"/>
      <c r="J61" s="39"/>
      <c r="K61" s="39"/>
      <c r="M61" s="453"/>
      <c r="N61" s="453"/>
      <c r="P61" s="39"/>
      <c r="Q61" s="39"/>
      <c r="S61" s="39"/>
      <c r="T61" s="39"/>
    </row>
    <row r="62" spans="1:20">
      <c r="A62" s="16" t="s">
        <v>302</v>
      </c>
      <c r="B62" s="45" t="s">
        <v>27</v>
      </c>
      <c r="C62" s="36"/>
      <c r="D62" s="39"/>
      <c r="E62" s="155"/>
      <c r="J62" s="36"/>
      <c r="K62" s="39"/>
      <c r="M62" s="453"/>
      <c r="N62" s="453"/>
      <c r="P62" s="36"/>
      <c r="Q62" s="39"/>
      <c r="S62" s="36"/>
      <c r="T62" s="39"/>
    </row>
    <row r="63" spans="1:20">
      <c r="A63" s="16" t="s">
        <v>339</v>
      </c>
      <c r="B63" s="219" t="s">
        <v>340</v>
      </c>
      <c r="C63" s="36"/>
      <c r="D63" s="220"/>
      <c r="E63" s="155"/>
      <c r="J63" s="36"/>
      <c r="K63" s="220"/>
      <c r="M63" s="453"/>
      <c r="N63" s="453"/>
      <c r="P63" s="36"/>
      <c r="Q63" s="220"/>
      <c r="S63" s="36"/>
      <c r="T63" s="220"/>
    </row>
    <row r="64" spans="1:20">
      <c r="A64" s="13">
        <v>2</v>
      </c>
      <c r="B64" s="46" t="s">
        <v>106</v>
      </c>
      <c r="C64" s="289"/>
      <c r="D64" s="119">
        <f>SUM(D65:D70)</f>
        <v>0</v>
      </c>
      <c r="E64" s="155"/>
      <c r="J64" s="289"/>
      <c r="K64" s="119">
        <f>SUM(K65:K70)</f>
        <v>0</v>
      </c>
      <c r="M64" s="453"/>
      <c r="N64" s="453">
        <v>0</v>
      </c>
      <c r="P64" s="289"/>
      <c r="Q64" s="119">
        <f>SUM(Q65:Q70)</f>
        <v>0</v>
      </c>
      <c r="S64" s="289"/>
      <c r="T64" s="119">
        <f>SUM(T65:T70)</f>
        <v>0</v>
      </c>
    </row>
    <row r="65" spans="1:20">
      <c r="A65" s="15">
        <v>2.1</v>
      </c>
      <c r="B65" s="47" t="s">
        <v>100</v>
      </c>
      <c r="C65" s="289"/>
      <c r="D65" s="41"/>
      <c r="E65" s="155"/>
      <c r="J65" s="289"/>
      <c r="K65" s="41"/>
      <c r="M65" s="453"/>
      <c r="N65" s="453"/>
      <c r="P65" s="289"/>
      <c r="Q65" s="41"/>
      <c r="S65" s="289"/>
      <c r="T65" s="41"/>
    </row>
    <row r="66" spans="1:20">
      <c r="A66" s="15">
        <v>2.2000000000000002</v>
      </c>
      <c r="B66" s="47" t="s">
        <v>104</v>
      </c>
      <c r="C66" s="291"/>
      <c r="D66" s="42"/>
      <c r="E66" s="155"/>
      <c r="J66" s="291"/>
      <c r="K66" s="42"/>
      <c r="M66" s="453"/>
      <c r="N66" s="453"/>
      <c r="P66" s="291"/>
      <c r="Q66" s="42"/>
      <c r="S66" s="291"/>
      <c r="T66" s="42"/>
    </row>
    <row r="67" spans="1:20">
      <c r="A67" s="15">
        <v>2.2999999999999998</v>
      </c>
      <c r="B67" s="47" t="s">
        <v>103</v>
      </c>
      <c r="C67" s="291"/>
      <c r="D67" s="42"/>
      <c r="E67" s="155"/>
      <c r="J67" s="291"/>
      <c r="K67" s="42"/>
      <c r="M67" s="453"/>
      <c r="N67" s="453"/>
      <c r="P67" s="291"/>
      <c r="Q67" s="42"/>
      <c r="S67" s="291"/>
      <c r="T67" s="42"/>
    </row>
    <row r="68" spans="1:20">
      <c r="A68" s="15">
        <v>2.4</v>
      </c>
      <c r="B68" s="47" t="s">
        <v>105</v>
      </c>
      <c r="C68" s="291"/>
      <c r="D68" s="42"/>
      <c r="E68" s="155"/>
      <c r="J68" s="291"/>
      <c r="K68" s="42"/>
      <c r="M68" s="453"/>
      <c r="N68" s="453"/>
      <c r="P68" s="291"/>
      <c r="Q68" s="42"/>
      <c r="S68" s="291"/>
      <c r="T68" s="42"/>
    </row>
    <row r="69" spans="1:20">
      <c r="A69" s="15">
        <v>2.5</v>
      </c>
      <c r="B69" s="47" t="s">
        <v>101</v>
      </c>
      <c r="C69" s="291"/>
      <c r="D69" s="42"/>
      <c r="E69" s="155"/>
      <c r="J69" s="291"/>
      <c r="K69" s="42"/>
      <c r="M69" s="453"/>
      <c r="N69" s="453"/>
      <c r="P69" s="291"/>
      <c r="Q69" s="42"/>
      <c r="S69" s="291"/>
      <c r="T69" s="42"/>
    </row>
    <row r="70" spans="1:20">
      <c r="A70" s="15">
        <v>2.6</v>
      </c>
      <c r="B70" s="47" t="s">
        <v>102</v>
      </c>
      <c r="C70" s="291"/>
      <c r="D70" s="42"/>
      <c r="E70" s="155"/>
      <c r="J70" s="291"/>
      <c r="K70" s="42"/>
      <c r="M70" s="453"/>
      <c r="N70" s="453"/>
      <c r="P70" s="291"/>
      <c r="Q70" s="42"/>
      <c r="S70" s="291"/>
      <c r="T70" s="42"/>
    </row>
    <row r="71" spans="1:20" s="2" customFormat="1">
      <c r="A71" s="13">
        <v>3</v>
      </c>
      <c r="B71" s="287" t="s">
        <v>453</v>
      </c>
      <c r="C71" s="290"/>
      <c r="D71" s="288"/>
      <c r="E71" s="105"/>
      <c r="J71" s="290"/>
      <c r="K71" s="288"/>
      <c r="M71" s="8"/>
      <c r="N71" s="8"/>
      <c r="P71" s="290"/>
      <c r="Q71" s="288"/>
      <c r="S71" s="290"/>
      <c r="T71" s="288"/>
    </row>
    <row r="72" spans="1:20" s="2" customFormat="1">
      <c r="A72" s="13">
        <v>4</v>
      </c>
      <c r="B72" s="13" t="s">
        <v>253</v>
      </c>
      <c r="C72" s="290">
        <f>SUM(C73:C74)</f>
        <v>0</v>
      </c>
      <c r="D72" s="85">
        <f>SUM(D73:D74)</f>
        <v>0</v>
      </c>
      <c r="E72" s="105"/>
      <c r="J72" s="290">
        <f>SUM(J73:J74)</f>
        <v>0</v>
      </c>
      <c r="K72" s="85">
        <f>SUM(K73:K74)</f>
        <v>0</v>
      </c>
      <c r="M72" s="8">
        <v>0</v>
      </c>
      <c r="N72" s="8">
        <v>0</v>
      </c>
      <c r="P72" s="290">
        <f>SUM(P73:P74)</f>
        <v>0</v>
      </c>
      <c r="Q72" s="85">
        <f>SUM(Q73:Q74)</f>
        <v>0</v>
      </c>
      <c r="S72" s="290">
        <f>SUM(S73:S74)</f>
        <v>0</v>
      </c>
      <c r="T72" s="85">
        <f>SUM(T73:T74)</f>
        <v>0</v>
      </c>
    </row>
    <row r="73" spans="1:20" s="2" customFormat="1">
      <c r="A73" s="15">
        <v>4.0999999999999996</v>
      </c>
      <c r="B73" s="15" t="s">
        <v>254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</row>
    <row r="74" spans="1:20" s="2" customFormat="1">
      <c r="A74" s="15">
        <v>4.2</v>
      </c>
      <c r="B74" s="15" t="s">
        <v>255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</row>
    <row r="75" spans="1:20" s="2" customFormat="1">
      <c r="A75" s="13">
        <v>5</v>
      </c>
      <c r="B75" s="285" t="s">
        <v>281</v>
      </c>
      <c r="C75" s="8"/>
      <c r="D75" s="85"/>
      <c r="E75" s="105"/>
      <c r="J75" s="8"/>
      <c r="K75" s="85"/>
      <c r="M75" s="8"/>
      <c r="N75" s="8"/>
      <c r="P75" s="8"/>
      <c r="Q75" s="85"/>
      <c r="S75" s="8"/>
      <c r="T75" s="85"/>
    </row>
    <row r="76" spans="1:20" s="2" customFormat="1">
      <c r="A76" s="374"/>
      <c r="B76" s="374"/>
      <c r="C76" s="12"/>
      <c r="D76" s="12"/>
      <c r="E76" s="105"/>
    </row>
    <row r="77" spans="1:20" s="2" customFormat="1">
      <c r="A77" s="542" t="s">
        <v>506</v>
      </c>
      <c r="B77" s="542"/>
      <c r="C77" s="542"/>
      <c r="D77" s="542"/>
      <c r="E77" s="105"/>
    </row>
    <row r="78" spans="1:20" s="2" customFormat="1">
      <c r="A78" s="374"/>
      <c r="B78" s="374"/>
      <c r="C78" s="12"/>
      <c r="D78" s="12"/>
      <c r="E78" s="105"/>
    </row>
    <row r="79" spans="1:20" s="22" customFormat="1" ht="12.75"/>
    <row r="80" spans="1:20" s="2" customFormat="1">
      <c r="A80" s="69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507</v>
      </c>
      <c r="D83" s="12"/>
      <c r="E83"/>
      <c r="F83"/>
      <c r="G83"/>
      <c r="H83"/>
      <c r="I83"/>
    </row>
    <row r="84" spans="1:9" s="2" customFormat="1">
      <c r="A84"/>
      <c r="B84" s="543" t="s">
        <v>508</v>
      </c>
      <c r="C84" s="543"/>
      <c r="D84" s="543"/>
      <c r="E84"/>
      <c r="F84"/>
      <c r="G84"/>
      <c r="H84"/>
      <c r="I84"/>
    </row>
    <row r="85" spans="1:9" customFormat="1" ht="12.75">
      <c r="B85" s="65" t="s">
        <v>509</v>
      </c>
    </row>
    <row r="86" spans="1:9" s="2" customFormat="1">
      <c r="A86" s="11"/>
      <c r="B86" s="543" t="s">
        <v>510</v>
      </c>
      <c r="C86" s="543"/>
      <c r="D86" s="543"/>
    </row>
    <row r="87" spans="1:9" s="22" customFormat="1" ht="12.75"/>
    <row r="88" spans="1:9" s="22" customFormat="1" ht="12.75"/>
  </sheetData>
  <mergeCells count="8">
    <mergeCell ref="B86:D86"/>
    <mergeCell ref="J2:K2"/>
    <mergeCell ref="P2:Q2"/>
    <mergeCell ref="S2:T2"/>
    <mergeCell ref="C1:D1"/>
    <mergeCell ref="C2:D2"/>
    <mergeCell ref="A77:D77"/>
    <mergeCell ref="B84:D84"/>
  </mergeCells>
  <printOptions gridLines="1"/>
  <pageMargins left="1" right="1" top="1" bottom="1" header="0.5" footer="0.5"/>
  <pageSetup paperSize="9"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2016-01-23T11:20:44Z</cp:lastPrinted>
  <dcterms:created xsi:type="dcterms:W3CDTF">2011-12-27T13:20:18Z</dcterms:created>
  <dcterms:modified xsi:type="dcterms:W3CDTF">2016-01-23T11:21:31Z</dcterms:modified>
</cp:coreProperties>
</file>