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9.5'!$A$1:$L$77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N1'!$A$1:$M$90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11" i="40" l="1"/>
  <c r="F69" i="33"/>
  <c r="F66" i="33"/>
  <c r="F70" i="33"/>
  <c r="F64" i="33"/>
  <c r="F60" i="33"/>
  <c r="F57" i="33"/>
  <c r="F56" i="33"/>
  <c r="F54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7" i="33"/>
  <c r="F36" i="33"/>
  <c r="F35" i="33"/>
  <c r="F34" i="33"/>
  <c r="F32" i="33"/>
  <c r="F30" i="33"/>
  <c r="F28" i="33"/>
  <c r="F27" i="33"/>
  <c r="F26" i="33"/>
  <c r="F23" i="33"/>
  <c r="F21" i="33"/>
  <c r="F20" i="33"/>
  <c r="F18" i="33"/>
  <c r="F17" i="33"/>
  <c r="F16" i="33"/>
  <c r="F15" i="33"/>
  <c r="F14" i="33"/>
  <c r="F13" i="33"/>
  <c r="F9" i="33"/>
  <c r="F12" i="33"/>
  <c r="F19" i="33"/>
  <c r="F25" i="33"/>
  <c r="F22" i="33"/>
  <c r="F31" i="33"/>
  <c r="E16" i="10"/>
  <c r="G34" i="30"/>
  <c r="H34" i="30" s="1"/>
  <c r="D14" i="40"/>
  <c r="C12" i="40"/>
  <c r="D12" i="40" s="1"/>
  <c r="G9" i="29"/>
  <c r="F81" i="33" l="1"/>
  <c r="C49" i="40" s="1"/>
  <c r="D49" i="40" s="1"/>
  <c r="C48" i="40" l="1"/>
  <c r="D48" i="40" s="1"/>
  <c r="G146" i="29"/>
  <c r="G60" i="29"/>
  <c r="G27" i="29"/>
  <c r="G116" i="29"/>
  <c r="G162" i="29"/>
  <c r="G101" i="29"/>
  <c r="G70" i="29"/>
  <c r="G135" i="29"/>
  <c r="G104" i="29"/>
  <c r="G134" i="29"/>
  <c r="G84" i="29"/>
  <c r="G85" i="29"/>
  <c r="G161" i="29"/>
  <c r="G160" i="29"/>
  <c r="G159" i="29"/>
  <c r="G78" i="29"/>
  <c r="G158" i="29"/>
  <c r="G73" i="29"/>
  <c r="G155" i="29"/>
  <c r="G154" i="29"/>
  <c r="G46" i="29"/>
  <c r="G132" i="29"/>
  <c r="G130" i="29"/>
  <c r="G95" i="29"/>
  <c r="G96" i="29"/>
  <c r="G153" i="29"/>
  <c r="G129" i="29"/>
  <c r="G152" i="29"/>
  <c r="G69" i="29"/>
  <c r="G124" i="29"/>
  <c r="G126" i="29"/>
  <c r="G125" i="29"/>
  <c r="G151" i="29"/>
  <c r="G131" i="29"/>
  <c r="G24" i="29"/>
  <c r="G123" i="29"/>
  <c r="G79" i="29"/>
  <c r="G122" i="29"/>
  <c r="G36" i="29"/>
  <c r="G119" i="29"/>
  <c r="G128" i="29"/>
  <c r="G54" i="29"/>
  <c r="G61" i="29"/>
  <c r="G41" i="29"/>
  <c r="G109" i="29"/>
  <c r="G108" i="29"/>
  <c r="G115" i="29"/>
  <c r="G106" i="29"/>
  <c r="G57" i="29"/>
  <c r="G92" i="29"/>
  <c r="G114" i="29"/>
  <c r="G113" i="29"/>
  <c r="G40" i="29"/>
  <c r="G91" i="29"/>
  <c r="G112" i="29"/>
  <c r="G111" i="29"/>
  <c r="G98" i="29"/>
  <c r="G94" i="29"/>
  <c r="G30" i="29"/>
  <c r="G44" i="29"/>
  <c r="G97" i="29"/>
  <c r="G32" i="29"/>
  <c r="G29" i="29"/>
  <c r="G147" i="29"/>
  <c r="G80" i="29"/>
  <c r="G144" i="29"/>
  <c r="G110" i="29"/>
  <c r="G142" i="29"/>
  <c r="G28" i="29"/>
  <c r="G15" i="29"/>
  <c r="G140" i="29"/>
  <c r="G139" i="29"/>
  <c r="G137" i="29"/>
  <c r="G136" i="29"/>
  <c r="G45" i="29"/>
  <c r="G88" i="29"/>
  <c r="G86" i="29"/>
  <c r="G35" i="29"/>
  <c r="G21" i="29"/>
  <c r="G62" i="29"/>
  <c r="G52" i="29"/>
  <c r="G100" i="29"/>
  <c r="G105" i="29"/>
  <c r="G117" i="29"/>
  <c r="G55" i="29"/>
  <c r="G103" i="29"/>
  <c r="G26" i="29"/>
  <c r="G25" i="29"/>
  <c r="G23" i="29"/>
  <c r="G22" i="29"/>
  <c r="G20" i="29"/>
  <c r="G19" i="29"/>
  <c r="G18" i="29"/>
  <c r="G17" i="29"/>
  <c r="G16" i="29"/>
  <c r="G14" i="29"/>
  <c r="G13" i="29"/>
  <c r="G12" i="29"/>
  <c r="G11" i="29"/>
  <c r="G10" i="29"/>
  <c r="G31" i="29"/>
  <c r="G89" i="29"/>
  <c r="G87" i="29"/>
  <c r="G83" i="29"/>
  <c r="G74" i="29"/>
  <c r="G59" i="29"/>
  <c r="G56" i="29"/>
  <c r="G51" i="29"/>
  <c r="G48" i="29"/>
  <c r="G43" i="29"/>
  <c r="G39" i="29"/>
  <c r="G37" i="29"/>
  <c r="G34" i="29"/>
  <c r="G33" i="29"/>
  <c r="D17" i="40"/>
  <c r="C16" i="40"/>
  <c r="C39" i="40"/>
  <c r="D39" i="40" s="1"/>
  <c r="C35" i="40"/>
  <c r="D35" i="40" s="1"/>
  <c r="C46" i="40"/>
  <c r="D46" i="40" s="1"/>
  <c r="C45" i="40"/>
  <c r="D45" i="40" s="1"/>
  <c r="C44" i="40"/>
  <c r="D44" i="40" s="1"/>
  <c r="C43" i="40"/>
  <c r="C42" i="40"/>
  <c r="D42" i="40" s="1"/>
  <c r="C41" i="40"/>
  <c r="D41" i="40" s="1"/>
  <c r="C40" i="40"/>
  <c r="D40" i="40" s="1"/>
  <c r="D37" i="40"/>
  <c r="C36" i="40"/>
  <c r="C32" i="40"/>
  <c r="D32" i="40" s="1"/>
  <c r="C31" i="40"/>
  <c r="D31" i="40" s="1"/>
  <c r="C29" i="40"/>
  <c r="D29" i="40" s="1"/>
  <c r="C28" i="40"/>
  <c r="D28" i="40" s="1"/>
  <c r="C27" i="40"/>
  <c r="D27" i="40" s="1"/>
  <c r="C26" i="40"/>
  <c r="C24" i="40"/>
  <c r="D24" i="40" s="1"/>
  <c r="C23" i="40"/>
  <c r="D23" i="40" s="1"/>
  <c r="C22" i="40"/>
  <c r="C21" i="40"/>
  <c r="D21" i="40" s="1"/>
  <c r="C20" i="40"/>
  <c r="D13" i="40"/>
  <c r="D50" i="15"/>
  <c r="D49" i="15"/>
  <c r="D72" i="15" s="1"/>
  <c r="C13" i="3" s="1"/>
  <c r="C12" i="3" s="1"/>
  <c r="C9" i="3" s="1"/>
  <c r="C34" i="40" l="1"/>
  <c r="D34" i="40" s="1"/>
  <c r="C25" i="40"/>
  <c r="D25" i="40" s="1"/>
  <c r="G184" i="29"/>
  <c r="G183" i="29"/>
  <c r="G179" i="29"/>
  <c r="C19" i="40"/>
  <c r="D19" i="40" s="1"/>
  <c r="D36" i="40"/>
  <c r="C38" i="40"/>
  <c r="D38" i="40" s="1"/>
  <c r="D26" i="40"/>
  <c r="D20" i="40"/>
  <c r="D16" i="40"/>
  <c r="D13" i="3"/>
  <c r="D12" i="3" s="1"/>
  <c r="D9" i="3" s="1"/>
  <c r="C15" i="40" l="1"/>
  <c r="H10" i="9"/>
  <c r="I10" i="9" s="1"/>
  <c r="D75" i="8" l="1"/>
  <c r="C75" i="8"/>
  <c r="I38" i="35" l="1"/>
  <c r="D26" i="7" l="1"/>
  <c r="C26" i="7"/>
  <c r="D26" i="3"/>
  <c r="C26" i="3"/>
  <c r="D17" i="28" l="1"/>
  <c r="C17" i="28"/>
  <c r="C18" i="7" l="1"/>
  <c r="I179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A6" i="40"/>
  <c r="D15" i="40" l="1"/>
  <c r="C46" i="8"/>
  <c r="C36" i="8"/>
  <c r="H39" i="10" l="1"/>
  <c r="H36" i="10" s="1"/>
  <c r="H32" i="10"/>
  <c r="H24" i="10"/>
  <c r="H19" i="10"/>
  <c r="H17" i="10"/>
  <c r="H14" i="10"/>
  <c r="A4" i="39" l="1"/>
  <c r="D14" i="8"/>
  <c r="D46" i="8"/>
  <c r="D36" i="8"/>
  <c r="A4" i="35" l="1"/>
  <c r="H34" i="34" l="1"/>
  <c r="G34" i="34"/>
  <c r="A4" i="34"/>
  <c r="A4" i="33" l="1"/>
  <c r="A4" i="32"/>
  <c r="A4" i="30" l="1"/>
  <c r="H179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l="1"/>
  <c r="C10" i="5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</calcChain>
</file>

<file path=xl/sharedStrings.xml><?xml version="1.0" encoding="utf-8"?>
<sst xmlns="http://schemas.openxmlformats.org/spreadsheetml/2006/main" count="2694" uniqueCount="1156">
  <si>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</si>
  <si>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</si>
  <si>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</si>
  <si>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</si>
  <si>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</si>
  <si>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</si>
  <si>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</si>
  <si>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</si>
  <si>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</si>
  <si>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</si>
  <si>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</si>
  <si>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</si>
  <si>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</si>
  <si>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</si>
  <si>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</si>
  <si>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</si>
  <si>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</si>
  <si>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</si>
  <si>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</si>
  <si>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</si>
  <si>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</si>
  <si>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</si>
  <si>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</si>
  <si>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</si>
  <si>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</si>
  <si>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</si>
  <si>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</si>
  <si>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</si>
  <si>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</si>
  <si>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</si>
  <si>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</si>
  <si>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</si>
  <si>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</si>
  <si>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</si>
  <si>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</si>
  <si>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</si>
  <si>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</si>
  <si>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</si>
  <si>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</si>
  <si>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</si>
  <si>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</si>
  <si>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</si>
  <si>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</si>
  <si>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</si>
  <si>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</si>
  <si>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</si>
  <si>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</si>
  <si>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</si>
  <si>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</si>
  <si>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</si>
  <si>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</si>
  <si>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</si>
  <si>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</si>
  <si>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</si>
  <si>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</si>
  <si>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</si>
  <si>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</si>
  <si>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</si>
  <si>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</si>
  <si>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</si>
  <si>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</si>
  <si>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</si>
  <si>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</si>
  <si>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</si>
  <si>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</si>
  <si>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</si>
  <si>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</si>
  <si>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</si>
  <si>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</si>
  <si>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</si>
  <si>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</si>
  <si>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</si>
  <si>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</si>
  <si>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</si>
  <si>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</si>
  <si>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</si>
  <si>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</si>
  <si>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</si>
  <si>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</si>
  <si>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</si>
  <si>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</si>
  <si>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</si>
  <si>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</si>
  <si>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</si>
  <si>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</si>
  <si>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</si>
  <si>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</si>
  <si>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</si>
  <si>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</si>
  <si>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</si>
  <si>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</si>
  <si>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</si>
  <si>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</si>
  <si>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</si>
  <si>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</si>
  <si>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</si>
  <si>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</si>
  <si>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</si>
  <si>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</si>
  <si>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</si>
  <si>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</si>
  <si>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</si>
  <si>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</si>
  <si>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</si>
  <si>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</si>
  <si>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</si>
  <si>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</si>
  <si>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</si>
  <si>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</si>
  <si>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</si>
  <si>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</si>
  <si>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</si>
  <si>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</si>
  <si>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</si>
  <si>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</si>
  <si>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</si>
  <si>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</si>
  <si>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</si>
  <si>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</si>
  <si>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</si>
  <si>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</si>
  <si>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</si>
  <si>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</si>
  <si>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</si>
  <si>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</si>
  <si>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</si>
  <si>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</si>
  <si>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</si>
  <si>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</si>
  <si>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</si>
  <si>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</si>
  <si>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</si>
  <si>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</si>
  <si>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</si>
  <si>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</si>
  <si>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</si>
  <si>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</si>
  <si>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</si>
  <si>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</si>
  <si>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</si>
  <si>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</si>
  <si>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</si>
  <si>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</si>
  <si>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</si>
  <si>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</si>
  <si>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</si>
  <si>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</si>
  <si>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</si>
  <si>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</si>
  <si>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</si>
  <si>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</si>
  <si>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</si>
  <si>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</si>
  <si>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</si>
  <si>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</si>
  <si>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</si>
  <si>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</si>
  <si>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</si>
  <si>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</si>
  <si>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</si>
  <si>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</si>
  <si>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</si>
  <si>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</si>
  <si>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</si>
  <si>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</si>
  <si>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</si>
  <si>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</si>
  <si>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</si>
  <si>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</si>
  <si>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</si>
  <si>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</si>
  <si>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</si>
  <si>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</si>
  <si>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</si>
  <si>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</si>
  <si>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</si>
  <si>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</si>
  <si>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</si>
  <si>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</si>
  <si>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</si>
  <si>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</si>
  <si>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</si>
  <si>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</si>
  <si>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</si>
  <si>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</si>
  <si>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</si>
  <si>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</si>
  <si>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</si>
  <si>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</si>
  <si>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</si>
  <si>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</si>
  <si>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</si>
  <si>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</si>
  <si>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</si>
  <si>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</si>
  <si>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</si>
  <si>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</si>
  <si>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</si>
  <si>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</si>
  <si>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</si>
  <si>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</si>
  <si>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</si>
  <si>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</si>
  <si>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</si>
  <si>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</si>
  <si>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</si>
  <si>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</si>
  <si>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</si>
  <si>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</si>
  <si>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</si>
  <si>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</si>
  <si>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</si>
  <si>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</si>
  <si>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</si>
  <si>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</si>
  <si>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</si>
  <si>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</si>
  <si>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</si>
  <si>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</si>
  <si>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</si>
  <si>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</si>
  <si>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</si>
  <si>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</si>
  <si>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</si>
  <si>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</si>
  <si>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</si>
  <si>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</si>
  <si>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</si>
  <si>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</si>
  <si>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</si>
  <si>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</si>
  <si>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</si>
  <si>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</si>
  <si>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</si>
  <si>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</si>
  <si>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</si>
  <si>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</si>
  <si>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</si>
  <si>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</si>
  <si>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</si>
  <si>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</si>
  <si>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</si>
  <si>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</si>
  <si>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</si>
  <si>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</si>
  <si>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</si>
  <si>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</si>
  <si>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</si>
  <si>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</si>
  <si>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</si>
  <si>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</si>
  <si>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</si>
  <si>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</si>
  <si>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</si>
  <si>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</si>
  <si>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</si>
  <si>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</si>
  <si>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</si>
  <si>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</si>
  <si>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</si>
  <si>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</si>
  <si>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</si>
  <si>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</si>
  <si>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</si>
  <si>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</si>
  <si>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</si>
  <si>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</si>
  <si>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</si>
  <si>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</si>
  <si>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</si>
  <si>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</si>
  <si>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</si>
  <si>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</si>
  <si>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</si>
  <si>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</si>
  <si>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</si>
  <si>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</si>
  <si>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</si>
  <si>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</si>
  <si>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</si>
  <si>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</si>
  <si>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</si>
  <si>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</si>
  <si>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</si>
  <si>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</si>
  <si>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</si>
  <si>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</si>
  <si>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</si>
  <si>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</si>
  <si>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</si>
  <si>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</si>
  <si>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</si>
  <si>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</si>
  <si>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</si>
  <si>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</si>
  <si>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</si>
  <si>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</si>
  <si>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</si>
  <si>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</si>
  <si>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</si>
  <si>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</si>
  <si>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</si>
  <si>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</si>
  <si>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</si>
  <si>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</si>
  <si>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</si>
  <si>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</si>
  <si>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</si>
  <si>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</si>
  <si>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</si>
  <si>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</si>
  <si>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</si>
  <si>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</si>
  <si>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</si>
  <si>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</si>
  <si>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</si>
  <si>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</si>
  <si>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</si>
  <si>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</si>
  <si>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</si>
  <si>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</si>
  <si>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</si>
  <si>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</si>
  <si>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</si>
  <si>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</si>
  <si>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</si>
  <si>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</si>
  <si>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</si>
  <si>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</si>
  <si>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</si>
  <si>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</si>
  <si>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</si>
  <si>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</si>
  <si>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</si>
  <si>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</si>
  <si>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</si>
  <si>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</si>
  <si>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</si>
  <si>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</si>
  <si>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</si>
  <si>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</si>
  <si>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</si>
  <si>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</si>
  <si>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</si>
  <si>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</si>
  <si>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</si>
  <si>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</si>
  <si>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</si>
  <si>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</si>
  <si>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</si>
  <si>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</si>
  <si>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</si>
  <si>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</si>
  <si>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</si>
  <si>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</si>
  <si>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</si>
  <si>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</si>
  <si>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</si>
  <si>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</si>
  <si>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</si>
  <si>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</si>
  <si>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</si>
  <si>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</si>
  <si>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</si>
  <si>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</si>
  <si>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</si>
  <si>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</si>
  <si>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</si>
  <si>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</si>
  <si>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</si>
  <si>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</si>
  <si>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</si>
  <si>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</si>
  <si>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</si>
  <si>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</si>
  <si>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</si>
  <si>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</si>
  <si>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</si>
  <si>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</si>
  <si>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</si>
  <si>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</si>
  <si>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</si>
  <si>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</si>
  <si>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</si>
  <si>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</si>
  <si>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</si>
  <si>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</si>
  <si>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</si>
  <si>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</si>
  <si>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</si>
  <si>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</si>
  <si>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</si>
  <si>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</si>
  <si>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</si>
  <si>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</si>
  <si>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</si>
  <si>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</si>
  <si>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</si>
  <si>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</si>
  <si>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</si>
  <si>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</si>
  <si>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</si>
  <si>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</si>
  <si>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</si>
  <si>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</si>
  <si>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</si>
  <si>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</si>
  <si>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</si>
  <si>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</si>
  <si>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</si>
  <si>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</si>
  <si>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</si>
  <si>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</si>
  <si>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</si>
  <si>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</si>
  <si>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</si>
  <si>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</si>
  <si>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</si>
  <si>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</si>
  <si>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</si>
  <si>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</si>
  <si>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</si>
  <si>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</si>
  <si>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</si>
  <si>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</si>
  <si>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</si>
  <si>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</si>
  <si>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</si>
  <si>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</si>
  <si>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</si>
  <si>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</si>
  <si>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</si>
  <si>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</si>
  <si>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</si>
  <si>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</si>
  <si>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</si>
  <si>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</si>
  <si>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</si>
  <si>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</si>
  <si>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</si>
  <si>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</si>
  <si>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</si>
  <si>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</si>
  <si>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</si>
  <si>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</si>
  <si>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</si>
  <si>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</si>
  <si>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</si>
  <si>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</si>
  <si>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</si>
  <si>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</si>
  <si>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</si>
  <si>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</si>
  <si>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</si>
  <si>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</si>
  <si>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</si>
  <si>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</si>
  <si>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</si>
  <si>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</si>
  <si>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</si>
  <si>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</si>
  <si>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</si>
  <si>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</si>
  <si>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</si>
  <si>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</si>
  <si>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</si>
  <si>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</si>
  <si>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</si>
  <si>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</si>
  <si>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</si>
  <si>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</si>
  <si>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</si>
  <si>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</si>
  <si>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</si>
  <si>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</si>
  <si>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</si>
  <si>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</si>
  <si>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</si>
  <si>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</si>
  <si>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</si>
  <si>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ფულადი შემოწირულობა</t>
  </si>
  <si>
    <t xml:space="preserve">ჭუბაბრია </t>
  </si>
  <si>
    <t>ირაკლი</t>
  </si>
  <si>
    <t>18001003346</t>
  </si>
  <si>
    <t>36010300049</t>
  </si>
  <si>
    <t>GE10TB19584</t>
  </si>
  <si>
    <t>მოსიაშვილი</t>
  </si>
  <si>
    <t>გიორგი</t>
  </si>
  <si>
    <t>20001023451</t>
  </si>
  <si>
    <t>36010100049</t>
  </si>
  <si>
    <t>GE21TB09667</t>
  </si>
  <si>
    <t>შალამბერიძე</t>
  </si>
  <si>
    <t>ალექსანდრე</t>
  </si>
  <si>
    <t>01008003871</t>
  </si>
  <si>
    <t>36010100070</t>
  </si>
  <si>
    <t>GE95TB70487</t>
  </si>
  <si>
    <t>თალაკვაძე</t>
  </si>
  <si>
    <t>დავით</t>
  </si>
  <si>
    <t>61003005911</t>
  </si>
  <si>
    <t>00891783601</t>
  </si>
  <si>
    <t>GE74CR00000</t>
  </si>
  <si>
    <t>თოლორდავა</t>
  </si>
  <si>
    <t>ხვიჩა</t>
  </si>
  <si>
    <t>65002012915</t>
  </si>
  <si>
    <t>00891923601</t>
  </si>
  <si>
    <t>GE81CR00000</t>
  </si>
  <si>
    <t>ცინცქილაძე</t>
  </si>
  <si>
    <t>ბადრი</t>
  </si>
  <si>
    <t>61007001745</t>
  </si>
  <si>
    <t>36010100006</t>
  </si>
  <si>
    <t>GE17TB79627</t>
  </si>
  <si>
    <t>ღლონტი</t>
  </si>
  <si>
    <t>ვახტანგ</t>
  </si>
  <si>
    <t>26001003838</t>
  </si>
  <si>
    <t>00973344900</t>
  </si>
  <si>
    <t>GE80BG00000</t>
  </si>
  <si>
    <t xml:space="preserve">შანიძე </t>
  </si>
  <si>
    <t>ნინო</t>
  </si>
  <si>
    <t>01001023350</t>
  </si>
  <si>
    <t>36010100058</t>
  </si>
  <si>
    <t>GE90TB70973</t>
  </si>
  <si>
    <t>ბაირამოვა</t>
  </si>
  <si>
    <t>რადა</t>
  </si>
  <si>
    <t>01003012635</t>
  </si>
  <si>
    <t>GE22TB71752</t>
  </si>
  <si>
    <t>კუკავა</t>
  </si>
  <si>
    <t>კახა</t>
  </si>
  <si>
    <t>01010008849</t>
  </si>
  <si>
    <t>00160070845</t>
  </si>
  <si>
    <t>GE10TB06000</t>
  </si>
  <si>
    <t>61001012726</t>
  </si>
  <si>
    <t>ი/მ ციური ბოლქვაძე</t>
  </si>
  <si>
    <t>გელენიძე</t>
  </si>
  <si>
    <t>ნუგზარი</t>
  </si>
  <si>
    <t>GE14TB75428</t>
  </si>
  <si>
    <t>წულაია</t>
  </si>
  <si>
    <t>ლარისა</t>
  </si>
  <si>
    <t>60001088882</t>
  </si>
  <si>
    <t>36010100007</t>
  </si>
  <si>
    <t>GE02TB77702</t>
  </si>
  <si>
    <t xml:space="preserve">ქორიძე </t>
  </si>
  <si>
    <t>ვერა</t>
  </si>
  <si>
    <t>60001084034</t>
  </si>
  <si>
    <t>45063600008</t>
  </si>
  <si>
    <t>GE82TB78218</t>
  </si>
  <si>
    <t>ღოღობერიძე</t>
  </si>
  <si>
    <t>მერაბ</t>
  </si>
  <si>
    <t>61001031262</t>
  </si>
  <si>
    <t>23010100003</t>
  </si>
  <si>
    <t>GE81TB79242</t>
  </si>
  <si>
    <t>გურეშიძე</t>
  </si>
  <si>
    <t>გურამი</t>
  </si>
  <si>
    <t>60001157273</t>
  </si>
  <si>
    <t>36110100025</t>
  </si>
  <si>
    <t>GE87TB70140</t>
  </si>
  <si>
    <t>დათა</t>
  </si>
  <si>
    <t>51001012497</t>
  </si>
  <si>
    <t>45063600045</t>
  </si>
  <si>
    <t>GE44TB70665</t>
  </si>
  <si>
    <t>ქორიძე</t>
  </si>
  <si>
    <t>60001069392</t>
  </si>
  <si>
    <t>შუბითიძე</t>
  </si>
  <si>
    <t>ანი</t>
  </si>
  <si>
    <t>01019087417</t>
  </si>
  <si>
    <t>45063600011</t>
  </si>
  <si>
    <t>GE37TB71861</t>
  </si>
  <si>
    <t>დავითაშვილი</t>
  </si>
  <si>
    <t>01003003214</t>
  </si>
  <si>
    <t>36010100056</t>
  </si>
  <si>
    <t>GE97TB70599</t>
  </si>
  <si>
    <t>ძნელაძე</t>
  </si>
  <si>
    <t>36010100004</t>
  </si>
  <si>
    <t>GE35TB77448</t>
  </si>
  <si>
    <t>09/12/0212</t>
  </si>
  <si>
    <t>დეკანოსიძე</t>
  </si>
  <si>
    <t>მაია</t>
  </si>
  <si>
    <t>01017037075</t>
  </si>
  <si>
    <t>45063600022</t>
  </si>
  <si>
    <t>GE57TB71748</t>
  </si>
  <si>
    <t>ოზიაშვილი</t>
  </si>
  <si>
    <t>გალინა</t>
  </si>
  <si>
    <t>01003010494</t>
  </si>
  <si>
    <t>36010100009</t>
  </si>
  <si>
    <t>GE38TB76020</t>
  </si>
  <si>
    <t>დავითულიანი</t>
  </si>
  <si>
    <t>ანა</t>
  </si>
  <si>
    <t>01005024458</t>
  </si>
  <si>
    <t>36080100007</t>
  </si>
  <si>
    <t>GE63TB70295</t>
  </si>
  <si>
    <t>09/13/02012</t>
  </si>
  <si>
    <t>ჩიტიშვილი</t>
  </si>
  <si>
    <t>ზვიადი</t>
  </si>
  <si>
    <t>01008059946</t>
  </si>
  <si>
    <t>GE22TB77456</t>
  </si>
  <si>
    <t>ბუთხუზი</t>
  </si>
  <si>
    <t>მალხაზი</t>
  </si>
  <si>
    <t>01017015090</t>
  </si>
  <si>
    <t>36010100005</t>
  </si>
  <si>
    <t>GE94TB73045</t>
  </si>
  <si>
    <t>ბულბულაშვილი</t>
  </si>
  <si>
    <t>ვლადიმერ</t>
  </si>
  <si>
    <t>01013028545</t>
  </si>
  <si>
    <t>45062122343</t>
  </si>
  <si>
    <t>GE08TB34013</t>
  </si>
  <si>
    <t>ომანიძე</t>
  </si>
  <si>
    <t>თენგიზ</t>
  </si>
  <si>
    <t>01005019099</t>
  </si>
  <si>
    <t>45062100003</t>
  </si>
  <si>
    <t>GE30TB11397</t>
  </si>
  <si>
    <t>01/03/2012-31/12/2012</t>
  </si>
  <si>
    <t>პ/გ "თავისუფალი საქართველო"</t>
  </si>
  <si>
    <t xml:space="preserve">ვლადიმერ </t>
  </si>
  <si>
    <t xml:space="preserve">ნათია </t>
  </si>
  <si>
    <t>ვაშაყმაძე</t>
  </si>
  <si>
    <t>აპარატის უფროსი</t>
  </si>
  <si>
    <t>ქეთევან</t>
  </si>
  <si>
    <t>ურდულაშვილი</t>
  </si>
  <si>
    <t>ბუღალტერი</t>
  </si>
  <si>
    <t xml:space="preserve">მომსახ </t>
  </si>
  <si>
    <t>ირინე</t>
  </si>
  <si>
    <t>გოგოლაძე</t>
  </si>
  <si>
    <t>კანდელაკი</t>
  </si>
  <si>
    <t>იურისტი</t>
  </si>
  <si>
    <t>ნატალია</t>
  </si>
  <si>
    <t>წერეთელი</t>
  </si>
  <si>
    <t>ნანა</t>
  </si>
  <si>
    <t>დევდარიანი</t>
  </si>
  <si>
    <t>ბერიძე</t>
  </si>
  <si>
    <t>სალომე</t>
  </si>
  <si>
    <t>მშვილდაძე</t>
  </si>
  <si>
    <t>მარინა</t>
  </si>
  <si>
    <t>ჯამაგიძე</t>
  </si>
  <si>
    <t>ეკა</t>
  </si>
  <si>
    <t>გუგეშაშვილი</t>
  </si>
  <si>
    <t>გელაშვილი</t>
  </si>
  <si>
    <t>მირიან</t>
  </si>
  <si>
    <t>ზაალიშვილი</t>
  </si>
  <si>
    <t>მეგი</t>
  </si>
  <si>
    <t>ჩუგუაშვილი</t>
  </si>
  <si>
    <t xml:space="preserve">ელენე </t>
  </si>
  <si>
    <t>შანიძე</t>
  </si>
  <si>
    <t>რომან</t>
  </si>
  <si>
    <t>ბედინაძე</t>
  </si>
  <si>
    <t>ვაშაკიძე</t>
  </si>
  <si>
    <t>ჟუჟუნა</t>
  </si>
  <si>
    <t>პაპუნაშვილი</t>
  </si>
  <si>
    <t>მიხეილ</t>
  </si>
  <si>
    <t>გუბელაძე</t>
  </si>
  <si>
    <t>ჯურხაძე</t>
  </si>
  <si>
    <t>სოფიო</t>
  </si>
  <si>
    <t>ამბოკაძე</t>
  </si>
  <si>
    <t>რაზმაძე</t>
  </si>
  <si>
    <t>01024015491</t>
  </si>
  <si>
    <t xml:space="preserve">თინათინ </t>
  </si>
  <si>
    <t>ბასილაძე</t>
  </si>
  <si>
    <t>01018004942</t>
  </si>
  <si>
    <t>ბიძინა</t>
  </si>
  <si>
    <t>გაჩეჩილაძე</t>
  </si>
  <si>
    <t>01011054736</t>
  </si>
  <si>
    <t>ჭუბაბრია</t>
  </si>
  <si>
    <t xml:space="preserve">ბორის </t>
  </si>
  <si>
    <t>მანჟუკოვი</t>
  </si>
  <si>
    <t>01012013798</t>
  </si>
  <si>
    <t>მარიამ</t>
  </si>
  <si>
    <t>ენუქიძე</t>
  </si>
  <si>
    <t>01019027824</t>
  </si>
  <si>
    <t>კონსტანტინე</t>
  </si>
  <si>
    <t>ჩიკვილაძე</t>
  </si>
  <si>
    <t>01024001047</t>
  </si>
  <si>
    <t xml:space="preserve">გულადი </t>
  </si>
  <si>
    <t>ყრუაშვილი</t>
  </si>
  <si>
    <t>გვანცა</t>
  </si>
  <si>
    <t>ფიფია</t>
  </si>
  <si>
    <t>ნონა</t>
  </si>
  <si>
    <t>ხოფერია</t>
  </si>
  <si>
    <t>კუჭაშვილი</t>
  </si>
  <si>
    <t xml:space="preserve">რუსუდან </t>
  </si>
  <si>
    <t>ჯოჯუა</t>
  </si>
  <si>
    <t>მაყაძე</t>
  </si>
  <si>
    <t>შოთა</t>
  </si>
  <si>
    <t>კაპანაძე</t>
  </si>
  <si>
    <t>გელა</t>
  </si>
  <si>
    <t>პატარაია</t>
  </si>
  <si>
    <t>ხეჩიაშვილი</t>
  </si>
  <si>
    <t>გაგა</t>
  </si>
  <si>
    <t>ვარდანაძე</t>
  </si>
  <si>
    <t>ამირან</t>
  </si>
  <si>
    <t>წაქაძე</t>
  </si>
  <si>
    <t xml:space="preserve">თამაზი </t>
  </si>
  <si>
    <t>მაჭავარიანი</t>
  </si>
  <si>
    <t>თეონა</t>
  </si>
  <si>
    <t>ქარდავა</t>
  </si>
  <si>
    <t>გობრონიძე</t>
  </si>
  <si>
    <t>კვიტაიშვილი</t>
  </si>
  <si>
    <t>კირვალიძე</t>
  </si>
  <si>
    <t>რაულ</t>
  </si>
  <si>
    <t>ბოლქვაძე</t>
  </si>
  <si>
    <t>კობა</t>
  </si>
  <si>
    <t>გველესიანი</t>
  </si>
  <si>
    <t>ჯინჭარაძე</t>
  </si>
  <si>
    <t>ნატო</t>
  </si>
  <si>
    <t>ხვიჩია</t>
  </si>
  <si>
    <t>პაიჭაძე</t>
  </si>
  <si>
    <t>ნატია</t>
  </si>
  <si>
    <t>სოყურაშვილი</t>
  </si>
  <si>
    <t>ქვათაძე</t>
  </si>
  <si>
    <t>ნიკოლოზ</t>
  </si>
  <si>
    <t>კარტოზია</t>
  </si>
  <si>
    <t>01005011516</t>
  </si>
  <si>
    <t>ზვიად</t>
  </si>
  <si>
    <t>დოლიძე</t>
  </si>
  <si>
    <t>ჭოხონელიძე</t>
  </si>
  <si>
    <t>გაიოზ</t>
  </si>
  <si>
    <t>ჩარკვიანი</t>
  </si>
  <si>
    <t>თამარ</t>
  </si>
  <si>
    <t>ხომასურიძე</t>
  </si>
  <si>
    <t>ეთერ</t>
  </si>
  <si>
    <t>ქალიბაშვილი</t>
  </si>
  <si>
    <t>ნათელა</t>
  </si>
  <si>
    <t>ოთარაშვილი</t>
  </si>
  <si>
    <t>მოწონელიძე</t>
  </si>
  <si>
    <t>ვაჭრიშვილი</t>
  </si>
  <si>
    <t>01005017372</t>
  </si>
  <si>
    <t>ჯემალ</t>
  </si>
  <si>
    <t>ვანაძე</t>
  </si>
  <si>
    <t>მარინე</t>
  </si>
  <si>
    <t>კოლხიდაშვილი</t>
  </si>
  <si>
    <t>გაიოხ</t>
  </si>
  <si>
    <t>01019037743</t>
  </si>
  <si>
    <t>კორძახია</t>
  </si>
  <si>
    <t>01024003089</t>
  </si>
  <si>
    <t>ირემაშვილი</t>
  </si>
  <si>
    <t>01019044546</t>
  </si>
  <si>
    <t>ხინთიბაძე</t>
  </si>
  <si>
    <t>ლენა</t>
  </si>
  <si>
    <t>ფცქიალაძე</t>
  </si>
  <si>
    <t>ჭიღლაძე</t>
  </si>
  <si>
    <t>თამილა</t>
  </si>
  <si>
    <t>ქიტუაშვილი</t>
  </si>
  <si>
    <t>ღვინაშვილი</t>
  </si>
  <si>
    <t>იასონ</t>
  </si>
  <si>
    <t>აბულაძე</t>
  </si>
  <si>
    <t>მაკა</t>
  </si>
  <si>
    <t>კვირკველია</t>
  </si>
  <si>
    <t xml:space="preserve">თამარ </t>
  </si>
  <si>
    <t>ხარაიშვილი</t>
  </si>
  <si>
    <t>კუპრეიშვილი</t>
  </si>
  <si>
    <t>გურაშვილი</t>
  </si>
  <si>
    <t>კახაბერ</t>
  </si>
  <si>
    <t>ლაფერაშვილი</t>
  </si>
  <si>
    <t>მერაბი</t>
  </si>
  <si>
    <t>ბაბუხადია</t>
  </si>
  <si>
    <t>თემურ</t>
  </si>
  <si>
    <t>კოჩალიძე</t>
  </si>
  <si>
    <t>ასლან</t>
  </si>
  <si>
    <t>გერლიანი</t>
  </si>
  <si>
    <t>დარეჯან</t>
  </si>
  <si>
    <t>ბეუქლიშვილი</t>
  </si>
  <si>
    <t xml:space="preserve">კოტე </t>
  </si>
  <si>
    <t>შენგელია</t>
  </si>
  <si>
    <t>მევლუდი</t>
  </si>
  <si>
    <t>შარვაძე</t>
  </si>
  <si>
    <t>გუცაშვილი</t>
  </si>
  <si>
    <t>დალი</t>
  </si>
  <si>
    <t>ფხაკაძე</t>
  </si>
  <si>
    <t xml:space="preserve">დემურ </t>
  </si>
  <si>
    <t>ანთია</t>
  </si>
  <si>
    <t>ზურიკო</t>
  </si>
  <si>
    <t>ჩხვიმიანი</t>
  </si>
  <si>
    <t>ზაზა</t>
  </si>
  <si>
    <t>მაისურაძე</t>
  </si>
  <si>
    <t>ნანი</t>
  </si>
  <si>
    <t>მელანაშვილი</t>
  </si>
  <si>
    <t>ტყეშელაშვილი</t>
  </si>
  <si>
    <t>ახალგაზრდ ხელმძ</t>
  </si>
  <si>
    <t>თარჯიმანი</t>
  </si>
  <si>
    <t>01022010229</t>
  </si>
  <si>
    <t>აპ/უფ თანაშემწე</t>
  </si>
  <si>
    <t>პარტ.მდივანი</t>
  </si>
  <si>
    <t xml:space="preserve">სოფიკო </t>
  </si>
  <si>
    <t>მაქაცარია</t>
  </si>
  <si>
    <t>01024069845</t>
  </si>
  <si>
    <t>იურისტის თანაშემწე</t>
  </si>
  <si>
    <t>პრესსამსახურ</t>
  </si>
  <si>
    <t>დამლაგებელი</t>
  </si>
  <si>
    <t>01017003862</t>
  </si>
  <si>
    <t>01030052822</t>
  </si>
  <si>
    <t>ტარჯიმანი</t>
  </si>
  <si>
    <t>მძროლი</t>
  </si>
  <si>
    <t>დიზაინერი</t>
  </si>
  <si>
    <t>გურამ</t>
  </si>
  <si>
    <t>შელია</t>
  </si>
  <si>
    <t xml:space="preserve">აველ </t>
  </si>
  <si>
    <t>ორდენიძე</t>
  </si>
  <si>
    <t xml:space="preserve">როსტომ </t>
  </si>
  <si>
    <t>ცარციძე</t>
  </si>
  <si>
    <t xml:space="preserve">ავთანდილ </t>
  </si>
  <si>
    <t>იოსელიანი</t>
  </si>
  <si>
    <t>გუბაზ</t>
  </si>
  <si>
    <t>მეგრელიძე</t>
  </si>
  <si>
    <t>მუმლაძე</t>
  </si>
  <si>
    <t>ოქროპირიძე</t>
  </si>
  <si>
    <t>თეიმურაზ</t>
  </si>
  <si>
    <t xml:space="preserve">დავით </t>
  </si>
  <si>
    <t>ლუაშვილი</t>
  </si>
  <si>
    <t>ნოზაძე</t>
  </si>
  <si>
    <t>რევაზ</t>
  </si>
  <si>
    <t>რევაზიშვილი</t>
  </si>
  <si>
    <t>ბექაური</t>
  </si>
  <si>
    <t>შორენა</t>
  </si>
  <si>
    <t>ჯიშკარიანი</t>
  </si>
  <si>
    <t>ჯოხაძე</t>
  </si>
  <si>
    <t>ივანე</t>
  </si>
  <si>
    <t>გოგლაძე</t>
  </si>
  <si>
    <t>კარინა</t>
  </si>
  <si>
    <t>ბარსეგიანი</t>
  </si>
  <si>
    <t>ბიქტორ</t>
  </si>
  <si>
    <t>შერმადინი</t>
  </si>
  <si>
    <t>გიგაური</t>
  </si>
  <si>
    <t>გივი</t>
  </si>
  <si>
    <t>თუთბერიძე</t>
  </si>
  <si>
    <t>ხათუნა</t>
  </si>
  <si>
    <t>ბაზანდარაშვილი</t>
  </si>
  <si>
    <t xml:space="preserve"> ბაირამოვა</t>
  </si>
  <si>
    <t>ჯავაშვილი</t>
  </si>
  <si>
    <t>გამეზარდაშვილი</t>
  </si>
  <si>
    <t>ბერიკა</t>
  </si>
  <si>
    <t>ეკატერინე</t>
  </si>
  <si>
    <t>ჭუაძე</t>
  </si>
  <si>
    <t>ედვარდი</t>
  </si>
  <si>
    <t>ქოჩარიანი</t>
  </si>
  <si>
    <t>ბექა</t>
  </si>
  <si>
    <t>ელბაქიძე</t>
  </si>
  <si>
    <t>სულიკო</t>
  </si>
  <si>
    <t>მორბედაძე</t>
  </si>
  <si>
    <t>აგაბალაევა</t>
  </si>
  <si>
    <t>თოდუა</t>
  </si>
  <si>
    <t>ლორთქიფანიძე</t>
  </si>
  <si>
    <t>ჭაავა</t>
  </si>
  <si>
    <t>კვარაცხელია</t>
  </si>
  <si>
    <t>ბერუაშვილი</t>
  </si>
  <si>
    <t>ანზორ</t>
  </si>
  <si>
    <t>ქუთათელაძე</t>
  </si>
  <si>
    <t>ანდღულაძე</t>
  </si>
  <si>
    <t>ოთარ</t>
  </si>
  <si>
    <t>ჩართოლანი</t>
  </si>
  <si>
    <t xml:space="preserve">თემურ </t>
  </si>
  <si>
    <t>სუჯაშვილი</t>
  </si>
  <si>
    <t>ლეილა</t>
  </si>
  <si>
    <t>ჩიტაძე</t>
  </si>
  <si>
    <t>ლილი</t>
  </si>
  <si>
    <t xml:space="preserve"> გულბიანი</t>
  </si>
  <si>
    <t>ქალებაშვილი</t>
  </si>
  <si>
    <t>ნიკა</t>
  </si>
  <si>
    <t>დემეტრაშვილი</t>
  </si>
  <si>
    <t>ელმირა</t>
  </si>
  <si>
    <t>ებრალიძე</t>
  </si>
  <si>
    <t>შეყლაშვილი</t>
  </si>
  <si>
    <t>ლელა</t>
  </si>
  <si>
    <t>გუჯაბიძე</t>
  </si>
  <si>
    <t>როდამი</t>
  </si>
  <si>
    <t>ჯულიეტა</t>
  </si>
  <si>
    <t>ონიანი</t>
  </si>
  <si>
    <t>ნანული</t>
  </si>
  <si>
    <t>კაკალაძე</t>
  </si>
  <si>
    <t>გოჩა</t>
  </si>
  <si>
    <t>ხორგუაშვილი</t>
  </si>
  <si>
    <t>ციმინტია</t>
  </si>
  <si>
    <t>ქოჩიშვილი</t>
  </si>
  <si>
    <t>ვალერი</t>
  </si>
  <si>
    <t>ძაძამია</t>
  </si>
  <si>
    <t>კობერიძე</t>
  </si>
  <si>
    <t>მერი</t>
  </si>
  <si>
    <t>ავსაჯანაშვილი</t>
  </si>
  <si>
    <t>ნაზიკო</t>
  </si>
  <si>
    <t>გოდერძიშვილი</t>
  </si>
  <si>
    <t>უშანგი</t>
  </si>
  <si>
    <t>აფციაური</t>
  </si>
  <si>
    <t>ნუნუ</t>
  </si>
  <si>
    <t>სულიაური</t>
  </si>
  <si>
    <t>ხეუილელიძე</t>
  </si>
  <si>
    <t>მანაან</t>
  </si>
  <si>
    <t>წიკაური</t>
  </si>
  <si>
    <t>არკადი</t>
  </si>
  <si>
    <t>ბერიკაშვილი</t>
  </si>
  <si>
    <t>იაშვილი</t>
  </si>
  <si>
    <t>რეგიონ, სამსახ</t>
  </si>
  <si>
    <t>23/06/2012</t>
  </si>
  <si>
    <t>თიბისი</t>
  </si>
  <si>
    <t>GE63Tb7029536080100007</t>
  </si>
  <si>
    <t>დაბა შუახევი რუსთაველის 17</t>
  </si>
  <si>
    <t>ოფისი</t>
  </si>
  <si>
    <t>3 თვე</t>
  </si>
  <si>
    <t>24.02.34.020</t>
  </si>
  <si>
    <t>ი/მ ზურაბ დავითაძე</t>
  </si>
  <si>
    <t>მარნეული  აღმაშენებლის ქ.</t>
  </si>
  <si>
    <t>6 თვე</t>
  </si>
  <si>
    <t>83.02.05.489</t>
  </si>
  <si>
    <t>მარტვილი მშვიდობის 4</t>
  </si>
  <si>
    <t>41.09.04.067.01.006</t>
  </si>
  <si>
    <t xml:space="preserve">ვაჟა </t>
  </si>
  <si>
    <t>გეგია</t>
  </si>
  <si>
    <t>თბილისი აკ.წერეთლის 113</t>
  </si>
  <si>
    <t>01.13.06.003.002.01.002</t>
  </si>
  <si>
    <t>დიასამიძე</t>
  </si>
  <si>
    <t>თბილისი მიცკევიჩის 29</t>
  </si>
  <si>
    <t>01.10.14.015.039.03.566</t>
  </si>
  <si>
    <t>რუსუდან</t>
  </si>
  <si>
    <t>დაუშვილი</t>
  </si>
  <si>
    <t>თბილისი. დადიანის 4</t>
  </si>
  <si>
    <t>01.18.03.039.012.01.503</t>
  </si>
  <si>
    <t xml:space="preserve">ზაალ </t>
  </si>
  <si>
    <t>ნერგაძე</t>
  </si>
  <si>
    <t>დუშეთი. სტალინის 82</t>
  </si>
  <si>
    <t>5 თვე</t>
  </si>
  <si>
    <t>71.51.01.360</t>
  </si>
  <si>
    <t>შპს ნიკე</t>
  </si>
  <si>
    <t>წალენჯიხა რუსთაველის 10/3</t>
  </si>
  <si>
    <t>47.11.01.078</t>
  </si>
  <si>
    <t>ჩხოროწყუ ლ.გობეჩია 20</t>
  </si>
  <si>
    <t>46.02.45.054</t>
  </si>
  <si>
    <t>ნაზი</t>
  </si>
  <si>
    <t>ჯალაღონია</t>
  </si>
  <si>
    <t>ლანჩხუთი. ჟორდა ნიას 114</t>
  </si>
  <si>
    <t>ს/კოდი 27.06.52.060.01.502</t>
  </si>
  <si>
    <t>ლევან</t>
  </si>
  <si>
    <t>გურგენაძე</t>
  </si>
  <si>
    <t>დაბა ხულო. წერეთლის 4</t>
  </si>
  <si>
    <t>23.11.31.014</t>
  </si>
  <si>
    <t>მახარაძე</t>
  </si>
  <si>
    <t>ქუთაისინიუპორტი ქ.13</t>
  </si>
  <si>
    <t>შარვაშიძე</t>
  </si>
  <si>
    <t>თბილისი ფალიაშვილის 33</t>
  </si>
  <si>
    <t>12 თვე</t>
  </si>
  <si>
    <t>ს/კოდი: 01.14.11.016.009.01.028</t>
  </si>
  <si>
    <t>ბონდო</t>
  </si>
  <si>
    <t>ხობელავა</t>
  </si>
  <si>
    <t>საჩხერე მ.კოსტავას 17</t>
  </si>
  <si>
    <t>ს/კოდი</t>
  </si>
  <si>
    <t>ი/მ ზაზა კურტანიძე</t>
  </si>
  <si>
    <t>ბოლნისი, სულხან-საბას 138</t>
  </si>
  <si>
    <t>ს/კოდი 80.06.64.154</t>
  </si>
  <si>
    <t>10001016250</t>
  </si>
  <si>
    <t xml:space="preserve">არშა </t>
  </si>
  <si>
    <t>მაღალიანი</t>
  </si>
  <si>
    <t>ბათუმი, ფარნავაზ მეფის 74, ბ.9</t>
  </si>
  <si>
    <t>ს/კოდი 250.013.003.166</t>
  </si>
  <si>
    <t>ელზა</t>
  </si>
  <si>
    <t>ლეთოდიანი</t>
  </si>
  <si>
    <t>თბილისი, აწყურის 50/15</t>
  </si>
  <si>
    <t>ს/კოდი 01.17.13.012.019</t>
  </si>
  <si>
    <t>გაიანე</t>
  </si>
  <si>
    <t>რუსტამიანი</t>
  </si>
  <si>
    <t>გორი, სტალინის 9</t>
  </si>
  <si>
    <t>ს/კოდი 66.05.17.270.01.501</t>
  </si>
  <si>
    <t>ლია</t>
  </si>
  <si>
    <t>კალანდაძე</t>
  </si>
  <si>
    <t>სენაკი, მ.ქურდოვანის 5</t>
  </si>
  <si>
    <t>ს/კოდი 44.01.31.312</t>
  </si>
  <si>
    <t>იოსებ</t>
  </si>
  <si>
    <t>მიხელაშვილი</t>
  </si>
  <si>
    <t>თბილისი, წამებულის 25</t>
  </si>
  <si>
    <t>ს/კოდი 01.17.01.122.006.01.008</t>
  </si>
  <si>
    <t>დონარა</t>
  </si>
  <si>
    <t>სუქისიანი</t>
  </si>
  <si>
    <t>ოზურგეთი, 9 აპრილის ქ. 1</t>
  </si>
  <si>
    <t xml:space="preserve">ს/კოდი </t>
  </si>
  <si>
    <t>ზინაიდა</t>
  </si>
  <si>
    <t>თინიეშვილი</t>
  </si>
  <si>
    <t>თელავი, თავისუფლების მოედანი 1</t>
  </si>
  <si>
    <t>ს/კოდი 53.17.108.082.01.501</t>
  </si>
  <si>
    <t>თბილისი, ბაქოს ქ. 6</t>
  </si>
  <si>
    <t>კიკაბიძე</t>
  </si>
  <si>
    <t>ჭიათურა, ქუთაისის ქ.2</t>
  </si>
  <si>
    <t>ს/კოდი 38.10.36.070</t>
  </si>
  <si>
    <t>პეტრე</t>
  </si>
  <si>
    <t>ბარათაშვილი</t>
  </si>
  <si>
    <t>თბილისი, ფორე მოსულიშვილის 1</t>
  </si>
  <si>
    <t>ს/კოდი 01.11.12.015.051.01.502</t>
  </si>
  <si>
    <t>აბესაძე</t>
  </si>
  <si>
    <t>რუსთავი, კოსტავას გამზ. 10</t>
  </si>
  <si>
    <t>ს/კოდი 02.05.06.118.01.002</t>
  </si>
  <si>
    <t>ლაშხიძე</t>
  </si>
  <si>
    <t>ზესტაფონი, ბიბილაშვილის 2</t>
  </si>
  <si>
    <t>ს/კოდი 32.10.07.040.01.506</t>
  </si>
  <si>
    <t>01022000822</t>
  </si>
  <si>
    <t>ნაილი</t>
  </si>
  <si>
    <t>ნებიერიძე</t>
  </si>
  <si>
    <t>ხარაგაული,სოლომონ მეფის 7</t>
  </si>
  <si>
    <t>ს/კოდი:  36.01.02.002</t>
  </si>
  <si>
    <t>წიქარიშვილი</t>
  </si>
  <si>
    <t>თბილისი, გურამიშვილის 25</t>
  </si>
  <si>
    <t>ს/კოდი 01.12.07.003.01.054</t>
  </si>
  <si>
    <t>კუტალია</t>
  </si>
  <si>
    <t>დმანისი.9 აპრილის 36</t>
  </si>
  <si>
    <t>ს/კოდი: 82.01.46.064.01.501</t>
  </si>
  <si>
    <t>ი/მ ეთერი მიშელაძე</t>
  </si>
  <si>
    <t>ქ.საგარეჯო, სტალინის ქ. 55</t>
  </si>
  <si>
    <t>ს/კოდი  55.12.52.105.01.504</t>
  </si>
  <si>
    <t>ი/მ თამაზი კევლლიშვილი</t>
  </si>
  <si>
    <t>გურჯაანი, დ.აღმაშენებლის 1</t>
  </si>
  <si>
    <t xml:space="preserve">მაყვალა </t>
  </si>
  <si>
    <t>ჯაჯანაშვილი</t>
  </si>
  <si>
    <t>ქედა, სოფ. მახუნცეთი</t>
  </si>
  <si>
    <t>ს/კოდი 21.01.37.007.01.502</t>
  </si>
  <si>
    <t>მანანა</t>
  </si>
  <si>
    <t>ფარსენაძე</t>
  </si>
  <si>
    <t>თერჯოლა, რუსთაველის 78</t>
  </si>
  <si>
    <t>ს/კოდი 33.09.33.033</t>
  </si>
  <si>
    <t>ქავთარაძე</t>
  </si>
  <si>
    <t>თეთრიწყარო, თამარ მეფის 49</t>
  </si>
  <si>
    <t>ს/კოდი 54.01.38.142</t>
  </si>
  <si>
    <t>აკიმცევა</t>
  </si>
  <si>
    <t>ფოთი, დ.აღმაშენებლის 30/1</t>
  </si>
  <si>
    <t>ს/კოდი 04.01.09.024.01.001</t>
  </si>
  <si>
    <t>ლალი</t>
  </si>
  <si>
    <t>გოგავა</t>
  </si>
  <si>
    <t>ბაღდათი,რუსთაველის 22</t>
  </si>
  <si>
    <t>ს/კოდი 30.11.33.203</t>
  </si>
  <si>
    <t>შპს "ავა-მარია"</t>
  </si>
  <si>
    <t>ხელვაჩაური, დ.აღმაშენებლის 64</t>
  </si>
  <si>
    <t>ს/კოდი 22.07.01.008.01.015</t>
  </si>
  <si>
    <t>ჟღენტი</t>
  </si>
  <si>
    <t>ახმეტა, ლესელიძის 36</t>
  </si>
  <si>
    <t xml:space="preserve">ს/კოდი 50.04.11.014.01.500 </t>
  </si>
  <si>
    <t>ფეიქრიშვილი</t>
  </si>
  <si>
    <t>მცხეთა, გმირის ქუჩის 3ა</t>
  </si>
  <si>
    <t>ს/კოდი 72.07.04.129.01.002</t>
  </si>
  <si>
    <t>თათარაშვილი</t>
  </si>
  <si>
    <t>ზუგდიდი, რუსთაველის 31</t>
  </si>
  <si>
    <t>ს/კოდი 43.34.03.313</t>
  </si>
  <si>
    <t>თამარი</t>
  </si>
  <si>
    <t>გრიგოლია</t>
  </si>
  <si>
    <t>ჩოხატაური, დუმბაძის 25</t>
  </si>
  <si>
    <t>ს/კოდი 28.01.22.123.01.503</t>
  </si>
  <si>
    <t>ლამარა</t>
  </si>
  <si>
    <t>ყვარელი, მარჯანიშვილის 55</t>
  </si>
  <si>
    <t>ს/კოდი 57.06.56.141</t>
  </si>
  <si>
    <t>ვარამაშვილი</t>
  </si>
  <si>
    <t>თბილისი,  მოსკოვის გამზირი 39</t>
  </si>
  <si>
    <t>ს/კოდი 01.19.35.002.001.01.510</t>
  </si>
  <si>
    <t>ყაჯრიშვილი</t>
  </si>
  <si>
    <t>ლაგოდეხი, რუსთაველის 9</t>
  </si>
  <si>
    <t>ს/კოდი 54.01.56.132</t>
  </si>
  <si>
    <t>აკაკი</t>
  </si>
  <si>
    <t>ლაცაბიძე</t>
  </si>
  <si>
    <t>წალკა,  25 მარტის ქუჩის 107</t>
  </si>
  <si>
    <t>ს/კოდი 85.21.06.086</t>
  </si>
  <si>
    <t>კოტანოვი</t>
  </si>
  <si>
    <t>ამბროლაური მ. კოსტავას 1</t>
  </si>
  <si>
    <t>3 თ</t>
  </si>
  <si>
    <t>ს/კოდი 86.19.04.627</t>
  </si>
  <si>
    <t>ი/მ დარეჯან შარაბიძე</t>
  </si>
  <si>
    <t>ქობულეთი, დ.აღმაშენებლის გამზ. 61</t>
  </si>
  <si>
    <t>11 თვე</t>
  </si>
  <si>
    <t>ს/კოდი 20.42.08.067</t>
  </si>
  <si>
    <t>ბეჟანიძე</t>
  </si>
  <si>
    <t>q.oni kulturis da dasvenebis p</t>
  </si>
  <si>
    <t>ტიანეთი 9 აპრილის 12</t>
  </si>
  <si>
    <t>2 თვე</t>
  </si>
  <si>
    <t>73.05.28.002</t>
  </si>
  <si>
    <t>ვაჟა</t>
  </si>
  <si>
    <t>დოლიაშვილი</t>
  </si>
  <si>
    <t>კასპი გიორგი სააკაძის 92</t>
  </si>
  <si>
    <t>1 თვე</t>
  </si>
  <si>
    <t>67.01.35.041</t>
  </si>
  <si>
    <t>ი/მ გივი ივანიშვილი</t>
  </si>
  <si>
    <t>ყაზბეგი დაბა ყაზბეგი</t>
  </si>
  <si>
    <t>74.01.13.151</t>
  </si>
  <si>
    <t>ი/მ ლალი სუჯაშვილი</t>
  </si>
  <si>
    <t>ბორჯომი რუსტაველის 147</t>
  </si>
  <si>
    <t>64.03.11.061.01.503</t>
  </si>
  <si>
    <t>ზეინაბ</t>
  </si>
  <si>
    <t>ლეკვეიშვილი</t>
  </si>
  <si>
    <t>ი/მ ლია ჩოქური</t>
  </si>
  <si>
    <t>ეკალაძე</t>
  </si>
  <si>
    <t>ტალახაძე</t>
  </si>
  <si>
    <t>ყოინაშვილი</t>
  </si>
  <si>
    <t>გოგსაძე</t>
  </si>
  <si>
    <t>კილასონია</t>
  </si>
  <si>
    <t>ზაქარია</t>
  </si>
  <si>
    <t>მამულაშვილი</t>
  </si>
  <si>
    <t>მადონა</t>
  </si>
  <si>
    <t>უგრეხელიძე</t>
  </si>
  <si>
    <t>ხუჯაძე</t>
  </si>
  <si>
    <t>ზურაბ</t>
  </si>
  <si>
    <t>ზედგენიძე</t>
  </si>
  <si>
    <t>დავითაძე</t>
  </si>
  <si>
    <t>ხონელიძე</t>
  </si>
  <si>
    <t>მსუბუქი</t>
  </si>
  <si>
    <t>ფოლცვაგენი</t>
  </si>
  <si>
    <t>GOLF 3</t>
  </si>
  <si>
    <t>BFB-775</t>
  </si>
  <si>
    <t>პაატა</t>
  </si>
  <si>
    <t>ჯოხარიძე</t>
  </si>
  <si>
    <t xml:space="preserve">ლექსუსი </t>
  </si>
  <si>
    <t>RX 300</t>
  </si>
  <si>
    <t>VZV-907</t>
  </si>
  <si>
    <t>01030011056</t>
  </si>
  <si>
    <t xml:space="preserve">ქეთევან </t>
  </si>
  <si>
    <t>მერსედესი</t>
  </si>
  <si>
    <t>E320</t>
  </si>
  <si>
    <t>IUI-413</t>
  </si>
  <si>
    <t xml:space="preserve">ბიძინა </t>
  </si>
  <si>
    <t>C220</t>
  </si>
  <si>
    <t>SMT-744</t>
  </si>
  <si>
    <t>61003000941</t>
  </si>
  <si>
    <t>რევაზი</t>
  </si>
  <si>
    <t>დუმბაძე</t>
  </si>
  <si>
    <t>ოპელი</t>
  </si>
  <si>
    <t>VECTRA B</t>
  </si>
  <si>
    <t>KXL-777</t>
  </si>
  <si>
    <t>36001006291</t>
  </si>
  <si>
    <t>ლაფერიშვილი</t>
  </si>
  <si>
    <t>USA-070</t>
  </si>
  <si>
    <t>01019042424</t>
  </si>
  <si>
    <t>გულუაშვილი</t>
  </si>
  <si>
    <t>დაიჰაცუ</t>
  </si>
  <si>
    <t>RRL-001</t>
  </si>
  <si>
    <t>01010010473</t>
  </si>
  <si>
    <t>რაისა</t>
  </si>
  <si>
    <t>ლიპარტელიანი</t>
  </si>
  <si>
    <t>ZWZ-028</t>
  </si>
  <si>
    <t>60003000765</t>
  </si>
  <si>
    <t>TRANSPORTER</t>
  </si>
  <si>
    <t>NZN-241</t>
  </si>
  <si>
    <t>01019005671</t>
  </si>
  <si>
    <t>რენო</t>
  </si>
  <si>
    <t>OHO-540</t>
  </si>
  <si>
    <t>33001044972</t>
  </si>
  <si>
    <t>კეკელიძე</t>
  </si>
  <si>
    <t>C180</t>
  </si>
  <si>
    <t>LUK-006</t>
  </si>
  <si>
    <t>CORSA</t>
  </si>
  <si>
    <t>PRP-346</t>
  </si>
  <si>
    <t>19001016237</t>
  </si>
  <si>
    <t>ალავიზე</t>
  </si>
  <si>
    <t>ML 320</t>
  </si>
  <si>
    <t>JPJ-288</t>
  </si>
  <si>
    <t>01030019411</t>
  </si>
  <si>
    <t>ჩიტაშვილი</t>
  </si>
  <si>
    <t>VAZ 2105</t>
  </si>
  <si>
    <t>ჩ 179</t>
  </si>
  <si>
    <t>JTA</t>
  </si>
  <si>
    <t>KJK 847</t>
  </si>
  <si>
    <t>აჩილ</t>
  </si>
  <si>
    <t>არაბიძე</t>
  </si>
  <si>
    <t>VAZ  21063</t>
  </si>
  <si>
    <t>DBV 133</t>
  </si>
  <si>
    <t>ფაიქიძე</t>
  </si>
  <si>
    <t>VAZ 2121</t>
  </si>
  <si>
    <t>DAF 370</t>
  </si>
  <si>
    <t xml:space="preserve">ნ უგზარ </t>
  </si>
  <si>
    <t xml:space="preserve">ლექსუსუს </t>
  </si>
  <si>
    <t>ლექსუს 2208</t>
  </si>
  <si>
    <t>AKO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</si>
</sst>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#,##0.0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1"/>
      <color theme="1"/>
      <name val="Arial"/>
      <family val="2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AcadNusx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17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49" fontId="30" fillId="0" borderId="2" xfId="5" applyNumberFormat="1" applyFont="1" applyBorder="1" applyProtection="1">
      <protection locked="0"/>
    </xf>
    <xf numFmtId="49" fontId="30" fillId="0" borderId="1" xfId="5" applyNumberFormat="1" applyFont="1" applyBorder="1" applyProtection="1">
      <protection locked="0"/>
    </xf>
    <xf numFmtId="49" fontId="22" fillId="2" borderId="1" xfId="5" applyNumberFormat="1" applyFont="1" applyFill="1" applyBorder="1" applyProtection="1">
      <protection locked="0"/>
    </xf>
    <xf numFmtId="49" fontId="30" fillId="2" borderId="2" xfId="5" applyNumberFormat="1" applyFont="1" applyFill="1" applyBorder="1" applyProtection="1">
      <protection locked="0"/>
    </xf>
    <xf numFmtId="0" fontId="22" fillId="0" borderId="1" xfId="5" applyFont="1" applyBorder="1" applyAlignment="1" applyProtection="1">
      <alignment horizontal="left" wrapText="1"/>
      <protection locked="0"/>
    </xf>
    <xf numFmtId="14" fontId="22" fillId="2" borderId="2" xfId="5" applyNumberFormat="1" applyFont="1" applyFill="1" applyBorder="1" applyAlignment="1" applyProtection="1">
      <alignment wrapText="1"/>
      <protection locked="0"/>
    </xf>
    <xf numFmtId="0" fontId="22" fillId="2" borderId="2" xfId="5" applyFont="1" applyFill="1" applyBorder="1" applyAlignment="1" applyProtection="1">
      <alignment wrapText="1"/>
      <protection locked="0"/>
    </xf>
    <xf numFmtId="0" fontId="22" fillId="2" borderId="19" xfId="5" applyFont="1" applyFill="1" applyBorder="1" applyAlignment="1" applyProtection="1">
      <alignment horizontal="right"/>
      <protection locked="0"/>
    </xf>
    <xf numFmtId="0" fontId="22" fillId="2" borderId="18" xfId="5" applyFont="1" applyFill="1" applyBorder="1" applyAlignment="1" applyProtection="1">
      <alignment wrapText="1"/>
      <protection locked="0"/>
    </xf>
    <xf numFmtId="49" fontId="22" fillId="2" borderId="2" xfId="5" applyNumberFormat="1" applyFont="1" applyFill="1" applyBorder="1" applyProtection="1">
      <protection locked="0"/>
    </xf>
    <xf numFmtId="0" fontId="22" fillId="2" borderId="5" xfId="5" applyFont="1" applyFill="1" applyBorder="1" applyProtection="1">
      <protection locked="0"/>
    </xf>
    <xf numFmtId="0" fontId="22" fillId="2" borderId="21" xfId="5" applyFont="1" applyFill="1" applyBorder="1" applyAlignment="1" applyProtection="1">
      <alignment wrapText="1"/>
      <protection locked="0"/>
    </xf>
    <xf numFmtId="0" fontId="22" fillId="2" borderId="1" xfId="5" applyFont="1" applyFill="1" applyBorder="1" applyAlignment="1" applyProtection="1">
      <alignment wrapText="1"/>
      <protection locked="0"/>
    </xf>
    <xf numFmtId="49" fontId="30" fillId="2" borderId="1" xfId="5" applyNumberFormat="1" applyFont="1" applyFill="1" applyBorder="1" applyProtection="1">
      <protection locked="0"/>
    </xf>
    <xf numFmtId="2" fontId="22" fillId="0" borderId="5" xfId="5" applyNumberFormat="1" applyFont="1" applyBorder="1" applyProtection="1">
      <protection locked="0"/>
    </xf>
    <xf numFmtId="3" fontId="17" fillId="7" borderId="1" xfId="1" applyNumberFormat="1" applyFont="1" applyFill="1" applyBorder="1" applyAlignment="1" applyProtection="1">
      <alignment horizontal="center" vertical="center" wrapText="1"/>
      <protection locked="0"/>
    </xf>
    <xf numFmtId="3" fontId="17" fillId="5" borderId="1" xfId="1" applyNumberFormat="1" applyFont="1" applyFill="1" applyBorder="1" applyAlignment="1" applyProtection="1">
      <alignment horizontal="center" vertical="center" wrapText="1"/>
      <protection locked="0"/>
    </xf>
    <xf numFmtId="3" fontId="31" fillId="5" borderId="1" xfId="1" applyNumberFormat="1" applyFont="1" applyFill="1" applyBorder="1" applyAlignment="1" applyProtection="1">
      <alignment horizontal="right" vertical="center" wrapText="1"/>
    </xf>
    <xf numFmtId="3" fontId="3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168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2" borderId="0" xfId="0" applyNumberFormat="1" applyFont="1" applyFill="1" applyProtection="1">
      <protection locked="0"/>
    </xf>
    <xf numFmtId="3" fontId="12" fillId="2" borderId="0" xfId="0" applyNumberFormat="1" applyFont="1" applyFill="1" applyProtection="1"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0" borderId="1" xfId="0" applyBorder="1"/>
    <xf numFmtId="3" fontId="20" fillId="0" borderId="6" xfId="2" applyNumberFormat="1" applyFont="1" applyFill="1" applyBorder="1" applyAlignment="1" applyProtection="1">
      <alignment horizontal="right" vertical="top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center" vertical="center" wrapText="1"/>
      <protection locked="0"/>
    </xf>
    <xf numFmtId="1" fontId="14" fillId="0" borderId="1" xfId="4" applyNumberFormat="1" applyFont="1" applyBorder="1" applyAlignment="1" applyProtection="1">
      <alignment horizontal="center" vertical="center" wrapText="1"/>
      <protection locked="0"/>
    </xf>
    <xf numFmtId="1" fontId="14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0" fontId="33" fillId="2" borderId="1" xfId="0" applyFont="1" applyFill="1" applyBorder="1" applyAlignment="1">
      <alignment wrapText="1"/>
    </xf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34" fillId="0" borderId="1" xfId="4" applyFont="1" applyBorder="1" applyAlignment="1" applyProtection="1">
      <alignment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187</xdr:row>
      <xdr:rowOff>171450</xdr:rowOff>
    </xdr:from>
    <xdr:to>
      <xdr:col>2</xdr:col>
      <xdr:colOff>1495425</xdr:colOff>
      <xdr:row>187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-03-dan%2001-08-mde%20&#4318;&#4308;&#4320;&#4312;&#4317;&#4307;&#4312;&#4321;%20&#4307;&#4308;&#4313;&#4314;&#4304;&#4320;&#4312;&#4320;&#4308;&#4305;&#4312;&#4321;%20&#4324;&#4317;&#4320;&#4315;&#4308;&#4305;&#4312;%20-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4321;&#4320;&#4323;&#4314;&#4312;%2001-08=19-10%20&#4307;&#4308;&#4313;&#4314;&#4304;&#4320;&#4312;&#4320;&#4308;&#4305;&#4312;&#4321;%20&#4324;&#4317;&#4320;&#4315;&#4308;&#4305;&#4312;%20-%20Copy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9-10-dan%2031-12-mde%20&#4318;&#4308;&#4320;&#4312;&#4317;&#4307;&#4312;&#4321;%20&#4307;&#4308;&#4313;&#4314;&#4304;&#4320;&#4312;&#4320;&#4308;&#4305;&#4312;&#4321;%20&#4324;&#4317;&#4320;&#4315;&#4308;&#4305;&#4312;%20-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>
        <row r="18">
          <cell r="C18">
            <v>6077.48</v>
          </cell>
        </row>
        <row r="19">
          <cell r="C19">
            <v>12007</v>
          </cell>
        </row>
        <row r="21">
          <cell r="C21">
            <v>6545.12</v>
          </cell>
        </row>
        <row r="24">
          <cell r="C24">
            <v>1285.5</v>
          </cell>
        </row>
        <row r="25">
          <cell r="C25">
            <v>62.939999999999991</v>
          </cell>
        </row>
        <row r="26">
          <cell r="C26">
            <v>312.75</v>
          </cell>
        </row>
        <row r="27">
          <cell r="C27">
            <v>499.97</v>
          </cell>
        </row>
        <row r="30">
          <cell r="C30">
            <v>825</v>
          </cell>
        </row>
        <row r="33">
          <cell r="C33">
            <v>39813.599999999999</v>
          </cell>
        </row>
        <row r="37">
          <cell r="C37">
            <v>41962.6</v>
          </cell>
        </row>
        <row r="38">
          <cell r="C38">
            <v>32280.66</v>
          </cell>
        </row>
        <row r="39">
          <cell r="C39">
            <v>1600</v>
          </cell>
        </row>
        <row r="40">
          <cell r="C40">
            <v>9650</v>
          </cell>
        </row>
        <row r="42">
          <cell r="C42">
            <v>3776.88</v>
          </cell>
        </row>
        <row r="43">
          <cell r="C43">
            <v>1898.75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E16">
            <v>15683.02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>
        <row r="18">
          <cell r="C18">
            <v>7979.7000000000007</v>
          </cell>
        </row>
        <row r="19">
          <cell r="C19">
            <v>12150.2</v>
          </cell>
        </row>
        <row r="21">
          <cell r="C21">
            <v>24695.960000000003</v>
          </cell>
        </row>
        <row r="22">
          <cell r="C22">
            <v>240.8</v>
          </cell>
        </row>
        <row r="24">
          <cell r="C24">
            <v>1647.11</v>
          </cell>
        </row>
        <row r="25">
          <cell r="C25">
            <v>111.3</v>
          </cell>
        </row>
        <row r="26">
          <cell r="C26">
            <v>92.71</v>
          </cell>
        </row>
        <row r="27">
          <cell r="C27">
            <v>466.04999999999995</v>
          </cell>
        </row>
        <row r="29">
          <cell r="C29">
            <v>105</v>
          </cell>
        </row>
        <row r="30">
          <cell r="C30">
            <v>141</v>
          </cell>
        </row>
        <row r="33">
          <cell r="C33">
            <v>98445</v>
          </cell>
        </row>
        <row r="34">
          <cell r="C34">
            <v>966.4</v>
          </cell>
        </row>
        <row r="37">
          <cell r="C37">
            <v>56886.560000000005</v>
          </cell>
        </row>
        <row r="38">
          <cell r="C38">
            <v>43161.799999999996</v>
          </cell>
        </row>
        <row r="39">
          <cell r="C39">
            <v>140</v>
          </cell>
        </row>
        <row r="42">
          <cell r="C42">
            <v>1500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E16">
            <v>12150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>
        <row r="18">
          <cell r="C18">
            <v>906.2</v>
          </cell>
        </row>
        <row r="21">
          <cell r="C21">
            <v>482.19</v>
          </cell>
        </row>
        <row r="24">
          <cell r="C24">
            <v>255.54999999999998</v>
          </cell>
        </row>
        <row r="25">
          <cell r="C25">
            <v>73.550000000000011</v>
          </cell>
        </row>
        <row r="26">
          <cell r="C26">
            <v>42.71</v>
          </cell>
        </row>
        <row r="38">
          <cell r="C38">
            <v>8000</v>
          </cell>
        </row>
        <row r="43">
          <cell r="C43">
            <v>24</v>
          </cell>
        </row>
        <row r="44">
          <cell r="C44">
            <v>400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95"/>
  <sheetViews>
    <sheetView showGridLines="0" tabSelected="1" view="pageBreakPreview" zoomScale="70" zoomScaleNormal="100" zoomScaleSheetLayoutView="70" workbookViewId="0">
      <selection activeCell="D67" sqref="D67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4" s="113" customFormat="1" x14ac:dyDescent="0.3">
      <c r="A1" s="116" t="s">
        <v>313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65" t="s">
        <v>110</v>
      </c>
    </row>
    <row r="2" spans="1:14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410" t="s">
        <v>609</v>
      </c>
      <c r="N2" s="411"/>
    </row>
    <row r="3" spans="1:14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4" s="113" customFormat="1" x14ac:dyDescent="0.3">
      <c r="A4" s="145" t="s">
        <v>277</v>
      </c>
      <c r="B4" s="158"/>
      <c r="C4" s="158"/>
      <c r="D4" s="158" t="s">
        <v>280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4" s="113" customFormat="1" x14ac:dyDescent="0.3">
      <c r="A5" s="274" t="s">
        <v>610</v>
      </c>
      <c r="B5" s="145"/>
      <c r="C5" s="145"/>
      <c r="D5" s="158"/>
      <c r="E5" s="144"/>
      <c r="F5" s="144"/>
      <c r="G5" s="151"/>
      <c r="H5" s="151"/>
      <c r="I5" s="151"/>
      <c r="J5" s="150"/>
      <c r="K5" s="157"/>
      <c r="L5" s="143"/>
      <c r="M5" s="144"/>
    </row>
    <row r="6" spans="1:14" s="113" customFormat="1" ht="15.75" thickBot="1" x14ac:dyDescent="0.35">
      <c r="A6" s="152"/>
      <c r="B6" s="144"/>
      <c r="C6" s="150"/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4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407" t="s">
        <v>447</v>
      </c>
      <c r="K7" s="408"/>
      <c r="L7" s="409"/>
      <c r="M7" s="154"/>
    </row>
    <row r="8" spans="1:14" s="73" customFormat="1" ht="39" thickBot="1" x14ac:dyDescent="0.25">
      <c r="A8" s="224" t="s">
        <v>64</v>
      </c>
      <c r="B8" s="225" t="s">
        <v>142</v>
      </c>
      <c r="C8" s="225" t="s">
        <v>279</v>
      </c>
      <c r="D8" s="226" t="s">
        <v>286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282</v>
      </c>
      <c r="K8" s="72" t="s">
        <v>283</v>
      </c>
      <c r="L8" s="72" t="s">
        <v>232</v>
      </c>
      <c r="M8" s="227" t="s">
        <v>233</v>
      </c>
    </row>
    <row r="9" spans="1:14" s="104" customFormat="1" ht="15.75" thickBot="1" x14ac:dyDescent="0.3">
      <c r="A9" s="217">
        <v>1</v>
      </c>
      <c r="B9" s="218">
        <v>2</v>
      </c>
      <c r="C9" s="218">
        <v>3</v>
      </c>
      <c r="D9" s="219">
        <v>4</v>
      </c>
      <c r="E9" s="220">
        <v>7</v>
      </c>
      <c r="F9" s="218">
        <v>8</v>
      </c>
      <c r="G9" s="222">
        <v>9</v>
      </c>
      <c r="H9" s="223">
        <v>12</v>
      </c>
      <c r="I9" s="221">
        <v>13</v>
      </c>
      <c r="J9" s="220">
        <v>14</v>
      </c>
      <c r="K9" s="218">
        <v>15</v>
      </c>
      <c r="L9" s="218">
        <v>16</v>
      </c>
      <c r="M9" s="221">
        <v>17</v>
      </c>
    </row>
    <row r="10" spans="1:14" ht="30" x14ac:dyDescent="0.25">
      <c r="A10" s="74">
        <v>1</v>
      </c>
      <c r="B10" s="215">
        <v>40970</v>
      </c>
      <c r="C10" s="75" t="s">
        <v>480</v>
      </c>
      <c r="D10" s="216">
        <v>8229</v>
      </c>
      <c r="E10" s="76" t="s">
        <v>481</v>
      </c>
      <c r="F10" s="75" t="s">
        <v>482</v>
      </c>
      <c r="G10" s="85" t="s">
        <v>483</v>
      </c>
      <c r="H10" s="329" t="s">
        <v>484</v>
      </c>
      <c r="I10" s="369" t="s">
        <v>485</v>
      </c>
      <c r="J10" s="78"/>
      <c r="K10" s="79"/>
      <c r="L10" s="80"/>
      <c r="M10" s="77"/>
    </row>
    <row r="11" spans="1:14" ht="30" x14ac:dyDescent="0.25">
      <c r="A11" s="81">
        <v>2</v>
      </c>
      <c r="B11" s="215">
        <v>40974</v>
      </c>
      <c r="C11" s="75" t="s">
        <v>480</v>
      </c>
      <c r="D11" s="83">
        <v>9030</v>
      </c>
      <c r="E11" s="84" t="s">
        <v>486</v>
      </c>
      <c r="F11" s="82" t="s">
        <v>487</v>
      </c>
      <c r="G11" s="85" t="s">
        <v>488</v>
      </c>
      <c r="H11" s="85" t="s">
        <v>489</v>
      </c>
      <c r="I11" s="370" t="s">
        <v>490</v>
      </c>
      <c r="J11" s="87"/>
      <c r="K11" s="88"/>
      <c r="L11" s="89"/>
      <c r="M11" s="86"/>
    </row>
    <row r="12" spans="1:14" ht="30" x14ac:dyDescent="0.25">
      <c r="A12" s="81">
        <v>3</v>
      </c>
      <c r="B12" s="215">
        <v>41001</v>
      </c>
      <c r="C12" s="75" t="s">
        <v>480</v>
      </c>
      <c r="D12" s="83">
        <v>7600</v>
      </c>
      <c r="E12" s="76" t="s">
        <v>481</v>
      </c>
      <c r="F12" s="75" t="s">
        <v>482</v>
      </c>
      <c r="G12" s="85" t="s">
        <v>483</v>
      </c>
      <c r="H12" s="329" t="s">
        <v>484</v>
      </c>
      <c r="I12" s="369" t="s">
        <v>485</v>
      </c>
      <c r="J12" s="87"/>
      <c r="K12" s="88"/>
      <c r="L12" s="89"/>
      <c r="M12" s="86"/>
    </row>
    <row r="13" spans="1:14" ht="30" x14ac:dyDescent="0.25">
      <c r="A13" s="81">
        <v>4</v>
      </c>
      <c r="B13" s="215">
        <v>41004</v>
      </c>
      <c r="C13" s="75" t="s">
        <v>480</v>
      </c>
      <c r="D13" s="83">
        <v>8050</v>
      </c>
      <c r="E13" s="84" t="s">
        <v>491</v>
      </c>
      <c r="F13" s="82" t="s">
        <v>492</v>
      </c>
      <c r="G13" s="85" t="s">
        <v>493</v>
      </c>
      <c r="H13" s="85" t="s">
        <v>494</v>
      </c>
      <c r="I13" s="370" t="s">
        <v>495</v>
      </c>
      <c r="J13" s="87"/>
      <c r="K13" s="88"/>
      <c r="L13" s="89"/>
      <c r="M13" s="86"/>
    </row>
    <row r="14" spans="1:14" ht="30" x14ac:dyDescent="0.25">
      <c r="A14" s="81">
        <v>5</v>
      </c>
      <c r="B14" s="215">
        <v>41023</v>
      </c>
      <c r="C14" s="75" t="s">
        <v>480</v>
      </c>
      <c r="D14" s="83">
        <v>60000</v>
      </c>
      <c r="E14" s="76" t="s">
        <v>496</v>
      </c>
      <c r="F14" s="75" t="s">
        <v>497</v>
      </c>
      <c r="G14" s="85" t="s">
        <v>498</v>
      </c>
      <c r="H14" s="329" t="s">
        <v>499</v>
      </c>
      <c r="I14" s="369" t="s">
        <v>500</v>
      </c>
      <c r="J14" s="87"/>
      <c r="K14" s="88"/>
      <c r="L14" s="89"/>
      <c r="M14" s="86"/>
    </row>
    <row r="15" spans="1:14" ht="30" x14ac:dyDescent="0.25">
      <c r="A15" s="81">
        <v>6</v>
      </c>
      <c r="B15" s="215">
        <v>41046</v>
      </c>
      <c r="C15" s="75" t="s">
        <v>480</v>
      </c>
      <c r="D15" s="83">
        <v>60000</v>
      </c>
      <c r="E15" s="84" t="s">
        <v>501</v>
      </c>
      <c r="F15" s="82" t="s">
        <v>502</v>
      </c>
      <c r="G15" s="371" t="s">
        <v>503</v>
      </c>
      <c r="H15" s="371" t="s">
        <v>504</v>
      </c>
      <c r="I15" s="369" t="s">
        <v>505</v>
      </c>
      <c r="J15" s="87"/>
      <c r="K15" s="88"/>
      <c r="L15" s="89"/>
      <c r="M15" s="86"/>
    </row>
    <row r="16" spans="1:14" ht="30" x14ac:dyDescent="0.25">
      <c r="A16" s="81">
        <v>7</v>
      </c>
      <c r="B16" s="215">
        <v>41057</v>
      </c>
      <c r="C16" s="75" t="s">
        <v>480</v>
      </c>
      <c r="D16" s="83">
        <v>8020</v>
      </c>
      <c r="E16" s="84" t="s">
        <v>506</v>
      </c>
      <c r="F16" s="82" t="s">
        <v>507</v>
      </c>
      <c r="G16" s="85" t="s">
        <v>508</v>
      </c>
      <c r="H16" s="371" t="s">
        <v>509</v>
      </c>
      <c r="I16" s="372" t="s">
        <v>510</v>
      </c>
      <c r="J16" s="87"/>
      <c r="K16" s="88"/>
      <c r="L16" s="89"/>
      <c r="M16" s="86"/>
    </row>
    <row r="17" spans="1:13" ht="30" x14ac:dyDescent="0.25">
      <c r="A17" s="81">
        <v>8</v>
      </c>
      <c r="B17" s="215">
        <v>41057</v>
      </c>
      <c r="C17" s="75" t="s">
        <v>480</v>
      </c>
      <c r="D17" s="83">
        <v>16040</v>
      </c>
      <c r="E17" s="84" t="s">
        <v>486</v>
      </c>
      <c r="F17" s="82" t="s">
        <v>487</v>
      </c>
      <c r="G17" s="85" t="s">
        <v>488</v>
      </c>
      <c r="H17" s="85" t="s">
        <v>489</v>
      </c>
      <c r="I17" s="370" t="s">
        <v>490</v>
      </c>
      <c r="J17" s="87"/>
      <c r="K17" s="88"/>
      <c r="L17" s="89"/>
      <c r="M17" s="86"/>
    </row>
    <row r="18" spans="1:13" ht="30" x14ac:dyDescent="0.25">
      <c r="A18" s="81">
        <v>9</v>
      </c>
      <c r="B18" s="215">
        <v>41060</v>
      </c>
      <c r="C18" s="75" t="s">
        <v>480</v>
      </c>
      <c r="D18" s="83">
        <v>8000</v>
      </c>
      <c r="E18" s="84" t="s">
        <v>511</v>
      </c>
      <c r="F18" s="82" t="s">
        <v>512</v>
      </c>
      <c r="G18" s="85" t="s">
        <v>513</v>
      </c>
      <c r="H18" s="371" t="s">
        <v>514</v>
      </c>
      <c r="I18" s="372" t="s">
        <v>515</v>
      </c>
      <c r="J18" s="87"/>
      <c r="K18" s="88"/>
      <c r="L18" s="89"/>
      <c r="M18" s="86"/>
    </row>
    <row r="19" spans="1:13" ht="30" x14ac:dyDescent="0.25">
      <c r="A19" s="81">
        <v>10</v>
      </c>
      <c r="B19" s="215">
        <v>41050</v>
      </c>
      <c r="C19" s="75" t="s">
        <v>480</v>
      </c>
      <c r="D19" s="83">
        <v>16000</v>
      </c>
      <c r="E19" s="84" t="s">
        <v>516</v>
      </c>
      <c r="F19" s="82" t="s">
        <v>517</v>
      </c>
      <c r="G19" s="85" t="s">
        <v>518</v>
      </c>
      <c r="H19" s="85" t="s">
        <v>519</v>
      </c>
      <c r="I19" s="372" t="s">
        <v>520</v>
      </c>
      <c r="J19" s="87"/>
      <c r="K19" s="88"/>
      <c r="L19" s="89"/>
      <c r="M19" s="86"/>
    </row>
    <row r="20" spans="1:13" ht="30" x14ac:dyDescent="0.25">
      <c r="A20" s="81">
        <v>11</v>
      </c>
      <c r="B20" s="215">
        <v>41061</v>
      </c>
      <c r="C20" s="75" t="s">
        <v>480</v>
      </c>
      <c r="D20" s="83">
        <v>8000</v>
      </c>
      <c r="E20" s="84" t="s">
        <v>511</v>
      </c>
      <c r="F20" s="82" t="s">
        <v>512</v>
      </c>
      <c r="G20" s="85" t="s">
        <v>513</v>
      </c>
      <c r="H20" s="371" t="s">
        <v>514</v>
      </c>
      <c r="I20" s="372" t="s">
        <v>515</v>
      </c>
      <c r="J20" s="87"/>
      <c r="K20" s="88"/>
      <c r="L20" s="89"/>
      <c r="M20" s="86"/>
    </row>
    <row r="21" spans="1:13" ht="30" x14ac:dyDescent="0.25">
      <c r="A21" s="81">
        <v>12</v>
      </c>
      <c r="B21" s="215">
        <v>41061</v>
      </c>
      <c r="C21" s="75" t="s">
        <v>480</v>
      </c>
      <c r="D21" s="83">
        <v>7850</v>
      </c>
      <c r="E21" s="84" t="s">
        <v>521</v>
      </c>
      <c r="F21" s="82" t="s">
        <v>522</v>
      </c>
      <c r="G21" s="85" t="s">
        <v>523</v>
      </c>
      <c r="H21" s="85" t="s">
        <v>509</v>
      </c>
      <c r="I21" s="370" t="s">
        <v>524</v>
      </c>
      <c r="J21" s="87"/>
      <c r="K21" s="88"/>
      <c r="L21" s="89"/>
      <c r="M21" s="86"/>
    </row>
    <row r="22" spans="1:13" ht="30" x14ac:dyDescent="0.25">
      <c r="A22" s="81">
        <v>13</v>
      </c>
      <c r="B22" s="215">
        <v>41090</v>
      </c>
      <c r="C22" s="75" t="s">
        <v>480</v>
      </c>
      <c r="D22" s="83">
        <v>7938</v>
      </c>
      <c r="E22" s="84" t="s">
        <v>525</v>
      </c>
      <c r="F22" s="82" t="s">
        <v>526</v>
      </c>
      <c r="G22" s="85" t="s">
        <v>527</v>
      </c>
      <c r="H22" s="85" t="s">
        <v>528</v>
      </c>
      <c r="I22" s="370" t="s">
        <v>529</v>
      </c>
      <c r="J22" s="87"/>
      <c r="K22" s="88"/>
      <c r="L22" s="89"/>
      <c r="M22" s="86"/>
    </row>
    <row r="23" spans="1:13" ht="30" x14ac:dyDescent="0.25">
      <c r="A23" s="81">
        <v>14</v>
      </c>
      <c r="B23" s="215">
        <v>41093</v>
      </c>
      <c r="C23" s="75" t="s">
        <v>480</v>
      </c>
      <c r="D23" s="83">
        <v>8050</v>
      </c>
      <c r="E23" s="84"/>
      <c r="F23" s="82"/>
      <c r="G23" s="85" t="s">
        <v>530</v>
      </c>
      <c r="H23" s="85"/>
      <c r="I23" s="370"/>
      <c r="J23" s="87"/>
      <c r="K23" s="88"/>
      <c r="L23" s="89"/>
      <c r="M23" s="86" t="s">
        <v>531</v>
      </c>
    </row>
    <row r="24" spans="1:13" ht="30" x14ac:dyDescent="0.25">
      <c r="A24" s="81">
        <v>15</v>
      </c>
      <c r="B24" s="215">
        <v>41093</v>
      </c>
      <c r="C24" s="75" t="s">
        <v>480</v>
      </c>
      <c r="D24" s="83">
        <v>23100</v>
      </c>
      <c r="E24" s="84" t="s">
        <v>521</v>
      </c>
      <c r="F24" s="82" t="s">
        <v>522</v>
      </c>
      <c r="G24" s="85" t="s">
        <v>523</v>
      </c>
      <c r="H24" s="85" t="s">
        <v>509</v>
      </c>
      <c r="I24" s="370" t="s">
        <v>524</v>
      </c>
      <c r="J24" s="87"/>
      <c r="K24" s="88"/>
      <c r="L24" s="89"/>
      <c r="M24" s="86"/>
    </row>
    <row r="25" spans="1:13" ht="30" x14ac:dyDescent="0.25">
      <c r="A25" s="81">
        <v>16</v>
      </c>
      <c r="B25" s="215">
        <v>41096</v>
      </c>
      <c r="C25" s="75" t="s">
        <v>480</v>
      </c>
      <c r="D25" s="83">
        <v>7250</v>
      </c>
      <c r="E25" s="83" t="s">
        <v>532</v>
      </c>
      <c r="F25" s="84" t="s">
        <v>533</v>
      </c>
      <c r="G25" s="373">
        <v>60001069392</v>
      </c>
      <c r="H25" s="85" t="s">
        <v>509</v>
      </c>
      <c r="I25" s="370" t="s">
        <v>534</v>
      </c>
      <c r="J25" s="87"/>
      <c r="K25" s="88"/>
      <c r="L25" s="89"/>
      <c r="M25" s="86"/>
    </row>
    <row r="26" spans="1:13" ht="30" x14ac:dyDescent="0.25">
      <c r="A26" s="81">
        <v>17</v>
      </c>
      <c r="B26" s="215">
        <v>41100</v>
      </c>
      <c r="C26" s="75" t="s">
        <v>480</v>
      </c>
      <c r="D26" s="83">
        <v>12714</v>
      </c>
      <c r="E26" s="84" t="s">
        <v>525</v>
      </c>
      <c r="F26" s="82" t="s">
        <v>526</v>
      </c>
      <c r="G26" s="85" t="s">
        <v>527</v>
      </c>
      <c r="H26" s="85" t="s">
        <v>528</v>
      </c>
      <c r="I26" s="370" t="s">
        <v>529</v>
      </c>
      <c r="J26" s="87"/>
      <c r="K26" s="88"/>
      <c r="L26" s="89"/>
      <c r="M26" s="86"/>
    </row>
    <row r="27" spans="1:13" ht="30" x14ac:dyDescent="0.25">
      <c r="A27" s="81">
        <v>18</v>
      </c>
      <c r="B27" s="215">
        <v>41099</v>
      </c>
      <c r="C27" s="75" t="s">
        <v>480</v>
      </c>
      <c r="D27" s="83">
        <v>9700</v>
      </c>
      <c r="E27" s="84" t="s">
        <v>535</v>
      </c>
      <c r="F27" s="82" t="s">
        <v>536</v>
      </c>
      <c r="G27" s="85" t="s">
        <v>537</v>
      </c>
      <c r="H27" s="85" t="s">
        <v>538</v>
      </c>
      <c r="I27" s="370" t="s">
        <v>539</v>
      </c>
      <c r="J27" s="87"/>
      <c r="K27" s="88"/>
      <c r="L27" s="89"/>
      <c r="M27" s="86"/>
    </row>
    <row r="28" spans="1:13" ht="30" x14ac:dyDescent="0.25">
      <c r="A28" s="81">
        <v>19</v>
      </c>
      <c r="B28" s="215">
        <v>41108</v>
      </c>
      <c r="C28" s="75" t="s">
        <v>480</v>
      </c>
      <c r="D28" s="83">
        <v>14125</v>
      </c>
      <c r="E28" s="84" t="s">
        <v>540</v>
      </c>
      <c r="F28" s="82" t="s">
        <v>541</v>
      </c>
      <c r="G28" s="85" t="s">
        <v>542</v>
      </c>
      <c r="H28" s="85" t="s">
        <v>543</v>
      </c>
      <c r="I28" s="370" t="s">
        <v>544</v>
      </c>
      <c r="J28" s="87"/>
      <c r="K28" s="88"/>
      <c r="L28" s="89"/>
      <c r="M28" s="86"/>
    </row>
    <row r="29" spans="1:13" ht="30" x14ac:dyDescent="0.25">
      <c r="A29" s="81">
        <v>20</v>
      </c>
      <c r="B29" s="215">
        <v>41108</v>
      </c>
      <c r="C29" s="75" t="s">
        <v>480</v>
      </c>
      <c r="D29" s="83">
        <v>8000</v>
      </c>
      <c r="E29" s="84" t="s">
        <v>545</v>
      </c>
      <c r="F29" s="82" t="s">
        <v>546</v>
      </c>
      <c r="G29" s="85" t="s">
        <v>547</v>
      </c>
      <c r="H29" s="85" t="s">
        <v>548</v>
      </c>
      <c r="I29" s="370" t="s">
        <v>549</v>
      </c>
      <c r="J29" s="87"/>
      <c r="K29" s="88"/>
      <c r="L29" s="89"/>
      <c r="M29" s="86"/>
    </row>
    <row r="30" spans="1:13" ht="30" x14ac:dyDescent="0.25">
      <c r="A30" s="81">
        <v>21</v>
      </c>
      <c r="B30" s="215">
        <v>41108</v>
      </c>
      <c r="C30" s="75" t="s">
        <v>480</v>
      </c>
      <c r="D30" s="83">
        <v>24340</v>
      </c>
      <c r="E30" s="84" t="s">
        <v>550</v>
      </c>
      <c r="F30" s="82" t="s">
        <v>551</v>
      </c>
      <c r="G30" s="85" t="s">
        <v>552</v>
      </c>
      <c r="H30" s="85" t="s">
        <v>553</v>
      </c>
      <c r="I30" s="370" t="s">
        <v>554</v>
      </c>
      <c r="J30" s="87"/>
      <c r="K30" s="88"/>
      <c r="L30" s="89"/>
      <c r="M30" s="86"/>
    </row>
    <row r="31" spans="1:13" ht="30" x14ac:dyDescent="0.25">
      <c r="A31" s="81">
        <v>22</v>
      </c>
      <c r="B31" s="215">
        <v>41111</v>
      </c>
      <c r="C31" s="75" t="s">
        <v>480</v>
      </c>
      <c r="D31" s="83">
        <v>8149</v>
      </c>
      <c r="E31" s="84" t="s">
        <v>540</v>
      </c>
      <c r="F31" s="82" t="s">
        <v>541</v>
      </c>
      <c r="G31" s="85" t="s">
        <v>542</v>
      </c>
      <c r="H31" s="85" t="s">
        <v>543</v>
      </c>
      <c r="I31" s="370" t="s">
        <v>544</v>
      </c>
      <c r="J31" s="87"/>
      <c r="K31" s="88"/>
      <c r="L31" s="89"/>
      <c r="M31" s="86"/>
    </row>
    <row r="32" spans="1:13" ht="30" x14ac:dyDescent="0.25">
      <c r="A32" s="81">
        <v>23</v>
      </c>
      <c r="B32" s="215">
        <v>41115</v>
      </c>
      <c r="C32" s="75" t="s">
        <v>480</v>
      </c>
      <c r="D32" s="83">
        <v>7400</v>
      </c>
      <c r="E32" s="84" t="s">
        <v>540</v>
      </c>
      <c r="F32" s="82" t="s">
        <v>541</v>
      </c>
      <c r="G32" s="85" t="s">
        <v>542</v>
      </c>
      <c r="H32" s="85" t="s">
        <v>543</v>
      </c>
      <c r="I32" s="370" t="s">
        <v>544</v>
      </c>
      <c r="J32" s="87"/>
      <c r="K32" s="88"/>
      <c r="L32" s="89"/>
      <c r="M32" s="86"/>
    </row>
    <row r="33" spans="1:13" ht="30" x14ac:dyDescent="0.25">
      <c r="A33" s="81">
        <v>24</v>
      </c>
      <c r="B33" s="215">
        <v>41116</v>
      </c>
      <c r="C33" s="75" t="s">
        <v>480</v>
      </c>
      <c r="D33" s="83">
        <v>8220</v>
      </c>
      <c r="E33" s="84" t="s">
        <v>540</v>
      </c>
      <c r="F33" s="82" t="s">
        <v>541</v>
      </c>
      <c r="G33" s="85" t="s">
        <v>542</v>
      </c>
      <c r="H33" s="85" t="s">
        <v>543</v>
      </c>
      <c r="I33" s="370" t="s">
        <v>544</v>
      </c>
      <c r="J33" s="87"/>
      <c r="K33" s="88"/>
      <c r="L33" s="89"/>
      <c r="M33" s="86"/>
    </row>
    <row r="34" spans="1:13" ht="30" x14ac:dyDescent="0.25">
      <c r="A34" s="81">
        <v>25</v>
      </c>
      <c r="B34" s="215">
        <v>41116</v>
      </c>
      <c r="C34" s="75" t="s">
        <v>480</v>
      </c>
      <c r="D34" s="83">
        <v>24000</v>
      </c>
      <c r="E34" s="84" t="s">
        <v>525</v>
      </c>
      <c r="F34" s="82" t="s">
        <v>555</v>
      </c>
      <c r="G34" s="85" t="s">
        <v>556</v>
      </c>
      <c r="H34" s="85" t="s">
        <v>557</v>
      </c>
      <c r="I34" s="370" t="s">
        <v>558</v>
      </c>
      <c r="J34" s="87"/>
      <c r="K34" s="88"/>
      <c r="L34" s="89"/>
      <c r="M34" s="86"/>
    </row>
    <row r="35" spans="1:13" ht="30" x14ac:dyDescent="0.25">
      <c r="A35" s="81">
        <v>26</v>
      </c>
      <c r="B35" s="215">
        <v>41118</v>
      </c>
      <c r="C35" s="75" t="s">
        <v>480</v>
      </c>
      <c r="D35" s="83">
        <v>8000</v>
      </c>
      <c r="E35" s="84" t="s">
        <v>545</v>
      </c>
      <c r="F35" s="82" t="s">
        <v>546</v>
      </c>
      <c r="G35" s="85" t="s">
        <v>547</v>
      </c>
      <c r="H35" s="85" t="s">
        <v>548</v>
      </c>
      <c r="I35" s="370" t="s">
        <v>549</v>
      </c>
      <c r="J35" s="87"/>
      <c r="K35" s="88"/>
      <c r="L35" s="89"/>
      <c r="M35" s="86"/>
    </row>
    <row r="36" spans="1:13" ht="30" x14ac:dyDescent="0.25">
      <c r="A36" s="81"/>
      <c r="B36" s="215">
        <v>41123</v>
      </c>
      <c r="C36" s="75" t="s">
        <v>480</v>
      </c>
      <c r="D36" s="216">
        <v>7900</v>
      </c>
      <c r="E36" s="76" t="s">
        <v>559</v>
      </c>
      <c r="F36" s="75" t="s">
        <v>541</v>
      </c>
      <c r="G36" s="85" t="s">
        <v>542</v>
      </c>
      <c r="H36" s="329" t="s">
        <v>543</v>
      </c>
      <c r="I36" s="369" t="s">
        <v>544</v>
      </c>
      <c r="J36" s="87"/>
      <c r="K36" s="88"/>
      <c r="L36" s="89"/>
      <c r="M36" s="86"/>
    </row>
    <row r="37" spans="1:13" ht="30" x14ac:dyDescent="0.25">
      <c r="A37" s="81"/>
      <c r="B37" s="215">
        <v>41124</v>
      </c>
      <c r="C37" s="75" t="s">
        <v>480</v>
      </c>
      <c r="D37" s="83">
        <v>7850</v>
      </c>
      <c r="E37" s="84" t="s">
        <v>532</v>
      </c>
      <c r="F37" s="82" t="s">
        <v>533</v>
      </c>
      <c r="G37" s="85" t="s">
        <v>560</v>
      </c>
      <c r="H37" s="85" t="s">
        <v>509</v>
      </c>
      <c r="I37" s="370" t="s">
        <v>534</v>
      </c>
      <c r="J37" s="87"/>
      <c r="K37" s="88"/>
      <c r="L37" s="89"/>
      <c r="M37" s="86"/>
    </row>
    <row r="38" spans="1:13" ht="30" x14ac:dyDescent="0.25">
      <c r="A38" s="81"/>
      <c r="B38" s="215">
        <v>41127</v>
      </c>
      <c r="C38" s="75" t="s">
        <v>480</v>
      </c>
      <c r="D38" s="83">
        <v>7200</v>
      </c>
      <c r="E38" s="84" t="s">
        <v>535</v>
      </c>
      <c r="F38" s="82" t="s">
        <v>536</v>
      </c>
      <c r="G38" s="85" t="s">
        <v>537</v>
      </c>
      <c r="H38" s="85" t="s">
        <v>538</v>
      </c>
      <c r="I38" s="370" t="s">
        <v>539</v>
      </c>
      <c r="J38" s="87"/>
      <c r="K38" s="88"/>
      <c r="L38" s="89"/>
      <c r="M38" s="86"/>
    </row>
    <row r="39" spans="1:13" ht="30" x14ac:dyDescent="0.25">
      <c r="A39" s="81"/>
      <c r="B39" s="215">
        <v>41135</v>
      </c>
      <c r="C39" s="75" t="s">
        <v>480</v>
      </c>
      <c r="D39" s="83">
        <v>624</v>
      </c>
      <c r="E39" s="84" t="s">
        <v>521</v>
      </c>
      <c r="F39" s="82" t="s">
        <v>522</v>
      </c>
      <c r="G39" s="85" t="s">
        <v>523</v>
      </c>
      <c r="H39" s="85" t="s">
        <v>509</v>
      </c>
      <c r="I39" s="370" t="s">
        <v>524</v>
      </c>
      <c r="J39" s="87"/>
      <c r="K39" s="88"/>
      <c r="L39" s="89"/>
      <c r="M39" s="86"/>
    </row>
    <row r="40" spans="1:13" ht="30" x14ac:dyDescent="0.25">
      <c r="A40" s="81"/>
      <c r="B40" s="215">
        <v>41135</v>
      </c>
      <c r="C40" s="75" t="s">
        <v>480</v>
      </c>
      <c r="D40" s="83">
        <v>1224</v>
      </c>
      <c r="E40" s="76" t="s">
        <v>559</v>
      </c>
      <c r="F40" s="75" t="s">
        <v>541</v>
      </c>
      <c r="G40" s="85" t="s">
        <v>542</v>
      </c>
      <c r="H40" s="329" t="s">
        <v>543</v>
      </c>
      <c r="I40" s="369" t="s">
        <v>544</v>
      </c>
      <c r="J40" s="87"/>
      <c r="K40" s="88"/>
      <c r="L40" s="89"/>
      <c r="M40" s="86"/>
    </row>
    <row r="41" spans="1:13" ht="30" x14ac:dyDescent="0.25">
      <c r="A41" s="81"/>
      <c r="B41" s="215">
        <v>41136</v>
      </c>
      <c r="C41" s="75" t="s">
        <v>480</v>
      </c>
      <c r="D41" s="83">
        <v>4020</v>
      </c>
      <c r="E41" s="84" t="s">
        <v>561</v>
      </c>
      <c r="F41" s="82" t="s">
        <v>562</v>
      </c>
      <c r="G41" s="85" t="s">
        <v>563</v>
      </c>
      <c r="H41" s="85" t="s">
        <v>564</v>
      </c>
      <c r="I41" s="369" t="s">
        <v>565</v>
      </c>
      <c r="J41" s="87"/>
      <c r="K41" s="88"/>
      <c r="L41" s="89"/>
      <c r="M41" s="86"/>
    </row>
    <row r="42" spans="1:13" ht="30" x14ac:dyDescent="0.25">
      <c r="A42" s="81"/>
      <c r="B42" s="215">
        <v>41138</v>
      </c>
      <c r="C42" s="75" t="s">
        <v>480</v>
      </c>
      <c r="D42" s="83">
        <v>22690</v>
      </c>
      <c r="E42" s="84" t="s">
        <v>566</v>
      </c>
      <c r="F42" s="82" t="s">
        <v>497</v>
      </c>
      <c r="G42" s="85" t="s">
        <v>567</v>
      </c>
      <c r="H42" s="85" t="s">
        <v>568</v>
      </c>
      <c r="I42" s="369" t="s">
        <v>569</v>
      </c>
      <c r="J42" s="87"/>
      <c r="K42" s="88"/>
      <c r="L42" s="89"/>
      <c r="M42" s="86"/>
    </row>
    <row r="43" spans="1:13" ht="30" x14ac:dyDescent="0.25">
      <c r="A43" s="81"/>
      <c r="B43" s="215">
        <v>41138</v>
      </c>
      <c r="C43" s="75" t="s">
        <v>480</v>
      </c>
      <c r="D43" s="83">
        <v>10165</v>
      </c>
      <c r="E43" s="84" t="s">
        <v>566</v>
      </c>
      <c r="F43" s="82" t="s">
        <v>497</v>
      </c>
      <c r="G43" s="85" t="s">
        <v>567</v>
      </c>
      <c r="H43" s="85" t="s">
        <v>568</v>
      </c>
      <c r="I43" s="369" t="s">
        <v>569</v>
      </c>
      <c r="J43" s="87"/>
      <c r="K43" s="88"/>
      <c r="L43" s="89"/>
      <c r="M43" s="86"/>
    </row>
    <row r="44" spans="1:13" ht="30" x14ac:dyDescent="0.25">
      <c r="A44" s="81"/>
      <c r="B44" s="215">
        <v>41141</v>
      </c>
      <c r="C44" s="75" t="s">
        <v>480</v>
      </c>
      <c r="D44" s="83">
        <v>21700</v>
      </c>
      <c r="E44" s="84" t="s">
        <v>561</v>
      </c>
      <c r="F44" s="82" t="s">
        <v>562</v>
      </c>
      <c r="G44" s="85" t="s">
        <v>563</v>
      </c>
      <c r="H44" s="85" t="s">
        <v>564</v>
      </c>
      <c r="I44" s="369" t="s">
        <v>565</v>
      </c>
      <c r="J44" s="87"/>
      <c r="K44" s="88"/>
      <c r="L44" s="89"/>
      <c r="M44" s="86"/>
    </row>
    <row r="45" spans="1:13" ht="30" x14ac:dyDescent="0.25">
      <c r="A45" s="81"/>
      <c r="B45" s="374">
        <v>41150</v>
      </c>
      <c r="C45" s="375" t="s">
        <v>480</v>
      </c>
      <c r="D45" s="376">
        <v>8000</v>
      </c>
      <c r="E45" s="377" t="s">
        <v>559</v>
      </c>
      <c r="F45" s="375" t="s">
        <v>541</v>
      </c>
      <c r="G45" s="371" t="s">
        <v>542</v>
      </c>
      <c r="H45" s="378" t="s">
        <v>543</v>
      </c>
      <c r="I45" s="372" t="s">
        <v>544</v>
      </c>
      <c r="J45" s="87"/>
      <c r="K45" s="88"/>
      <c r="L45" s="89"/>
      <c r="M45" s="86"/>
    </row>
    <row r="46" spans="1:13" ht="30" x14ac:dyDescent="0.25">
      <c r="A46" s="81"/>
      <c r="B46" s="374">
        <v>41159</v>
      </c>
      <c r="C46" s="375" t="s">
        <v>480</v>
      </c>
      <c r="D46" s="379">
        <v>22000</v>
      </c>
      <c r="E46" s="380" t="s">
        <v>570</v>
      </c>
      <c r="F46" s="381" t="s">
        <v>562</v>
      </c>
      <c r="G46" s="371" t="s">
        <v>560</v>
      </c>
      <c r="H46" s="371" t="s">
        <v>571</v>
      </c>
      <c r="I46" s="382" t="s">
        <v>572</v>
      </c>
      <c r="J46" s="87"/>
      <c r="K46" s="88"/>
      <c r="L46" s="89"/>
      <c r="M46" s="86"/>
    </row>
    <row r="47" spans="1:13" ht="30" x14ac:dyDescent="0.25">
      <c r="A47" s="81"/>
      <c r="B47" s="374" t="s">
        <v>573</v>
      </c>
      <c r="C47" s="375" t="s">
        <v>480</v>
      </c>
      <c r="D47" s="379">
        <v>16200</v>
      </c>
      <c r="E47" s="380" t="s">
        <v>574</v>
      </c>
      <c r="F47" s="381" t="s">
        <v>575</v>
      </c>
      <c r="G47" s="371" t="s">
        <v>576</v>
      </c>
      <c r="H47" s="371" t="s">
        <v>577</v>
      </c>
      <c r="I47" s="382" t="s">
        <v>578</v>
      </c>
      <c r="J47" s="87"/>
      <c r="K47" s="88"/>
      <c r="L47" s="89"/>
      <c r="M47" s="86"/>
    </row>
    <row r="48" spans="1:13" ht="30" x14ac:dyDescent="0.25">
      <c r="A48" s="81"/>
      <c r="B48" s="374">
        <v>41152</v>
      </c>
      <c r="C48" s="375" t="s">
        <v>480</v>
      </c>
      <c r="D48" s="379">
        <v>16320</v>
      </c>
      <c r="E48" s="380" t="s">
        <v>521</v>
      </c>
      <c r="F48" s="381" t="s">
        <v>522</v>
      </c>
      <c r="G48" s="371" t="s">
        <v>523</v>
      </c>
      <c r="H48" s="371" t="s">
        <v>509</v>
      </c>
      <c r="I48" s="382" t="s">
        <v>524</v>
      </c>
      <c r="J48" s="87"/>
      <c r="K48" s="88"/>
      <c r="L48" s="89"/>
      <c r="M48" s="86"/>
    </row>
    <row r="49" spans="1:13" ht="30" x14ac:dyDescent="0.25">
      <c r="A49" s="81"/>
      <c r="B49" s="374">
        <v>41143</v>
      </c>
      <c r="C49" s="375" t="s">
        <v>480</v>
      </c>
      <c r="D49" s="379">
        <f>8100</f>
        <v>8100</v>
      </c>
      <c r="E49" s="380" t="s">
        <v>566</v>
      </c>
      <c r="F49" s="381" t="s">
        <v>497</v>
      </c>
      <c r="G49" s="371" t="s">
        <v>567</v>
      </c>
      <c r="H49" s="371" t="s">
        <v>568</v>
      </c>
      <c r="I49" s="372" t="s">
        <v>569</v>
      </c>
      <c r="J49" s="87"/>
      <c r="K49" s="88"/>
      <c r="L49" s="89"/>
      <c r="M49" s="86"/>
    </row>
    <row r="50" spans="1:13" ht="30" x14ac:dyDescent="0.25">
      <c r="A50" s="81"/>
      <c r="B50" s="374">
        <v>41145</v>
      </c>
      <c r="C50" s="375" t="s">
        <v>480</v>
      </c>
      <c r="D50" s="379">
        <f>32800</f>
        <v>32800</v>
      </c>
      <c r="E50" s="380" t="s">
        <v>561</v>
      </c>
      <c r="F50" s="381" t="s">
        <v>562</v>
      </c>
      <c r="G50" s="371" t="s">
        <v>563</v>
      </c>
      <c r="H50" s="371" t="s">
        <v>564</v>
      </c>
      <c r="I50" s="372" t="s">
        <v>565</v>
      </c>
      <c r="J50" s="87"/>
      <c r="K50" s="88"/>
      <c r="L50" s="89"/>
      <c r="M50" s="86"/>
    </row>
    <row r="51" spans="1:13" ht="30" x14ac:dyDescent="0.25">
      <c r="A51" s="81"/>
      <c r="B51" s="374">
        <v>41156</v>
      </c>
      <c r="C51" s="375" t="s">
        <v>480</v>
      </c>
      <c r="D51" s="379">
        <v>55400</v>
      </c>
      <c r="E51" s="380" t="s">
        <v>579</v>
      </c>
      <c r="F51" s="381" t="s">
        <v>580</v>
      </c>
      <c r="G51" s="371" t="s">
        <v>581</v>
      </c>
      <c r="H51" s="371" t="s">
        <v>582</v>
      </c>
      <c r="I51" s="382" t="s">
        <v>583</v>
      </c>
      <c r="J51" s="87"/>
      <c r="K51" s="88"/>
      <c r="L51" s="89"/>
      <c r="M51" s="86"/>
    </row>
    <row r="52" spans="1:13" ht="30" x14ac:dyDescent="0.25">
      <c r="A52" s="81"/>
      <c r="B52" s="374">
        <v>41157</v>
      </c>
      <c r="C52" s="375" t="s">
        <v>480</v>
      </c>
      <c r="D52" s="379">
        <v>11000</v>
      </c>
      <c r="E52" s="380" t="s">
        <v>566</v>
      </c>
      <c r="F52" s="381" t="s">
        <v>497</v>
      </c>
      <c r="G52" s="371" t="s">
        <v>567</v>
      </c>
      <c r="H52" s="371" t="s">
        <v>568</v>
      </c>
      <c r="I52" s="372" t="s">
        <v>569</v>
      </c>
      <c r="J52" s="87"/>
      <c r="K52" s="88"/>
      <c r="L52" s="89"/>
      <c r="M52" s="86"/>
    </row>
    <row r="53" spans="1:13" ht="30" x14ac:dyDescent="0.25">
      <c r="A53" s="81"/>
      <c r="B53" s="374">
        <v>41155</v>
      </c>
      <c r="C53" s="375" t="s">
        <v>480</v>
      </c>
      <c r="D53" s="379">
        <v>7450</v>
      </c>
      <c r="E53" s="380" t="s">
        <v>566</v>
      </c>
      <c r="F53" s="381" t="s">
        <v>497</v>
      </c>
      <c r="G53" s="371" t="s">
        <v>567</v>
      </c>
      <c r="H53" s="371" t="s">
        <v>568</v>
      </c>
      <c r="I53" s="372" t="s">
        <v>569</v>
      </c>
      <c r="J53" s="87"/>
      <c r="K53" s="88"/>
      <c r="L53" s="89"/>
      <c r="M53" s="86"/>
    </row>
    <row r="54" spans="1:13" ht="30" x14ac:dyDescent="0.25">
      <c r="A54" s="81"/>
      <c r="B54" s="374">
        <v>41157</v>
      </c>
      <c r="C54" s="375" t="s">
        <v>480</v>
      </c>
      <c r="D54" s="379">
        <v>5100</v>
      </c>
      <c r="E54" s="380" t="s">
        <v>521</v>
      </c>
      <c r="F54" s="381" t="s">
        <v>522</v>
      </c>
      <c r="G54" s="371" t="s">
        <v>523</v>
      </c>
      <c r="H54" s="371" t="s">
        <v>509</v>
      </c>
      <c r="I54" s="382" t="s">
        <v>524</v>
      </c>
      <c r="J54" s="87"/>
      <c r="K54" s="88"/>
      <c r="L54" s="89"/>
      <c r="M54" s="86"/>
    </row>
    <row r="55" spans="1:13" ht="30" x14ac:dyDescent="0.25">
      <c r="A55" s="81"/>
      <c r="B55" s="374">
        <v>41162</v>
      </c>
      <c r="C55" s="375" t="s">
        <v>480</v>
      </c>
      <c r="D55" s="379">
        <v>16300</v>
      </c>
      <c r="E55" s="380" t="s">
        <v>570</v>
      </c>
      <c r="F55" s="381" t="s">
        <v>562</v>
      </c>
      <c r="G55" s="371" t="s">
        <v>560</v>
      </c>
      <c r="H55" s="371" t="s">
        <v>571</v>
      </c>
      <c r="I55" s="382" t="s">
        <v>572</v>
      </c>
      <c r="J55" s="87"/>
      <c r="K55" s="88"/>
      <c r="L55" s="89"/>
      <c r="M55" s="86"/>
    </row>
    <row r="56" spans="1:13" ht="30" x14ac:dyDescent="0.25">
      <c r="A56" s="81"/>
      <c r="B56" s="374">
        <v>41171</v>
      </c>
      <c r="C56" s="375" t="s">
        <v>480</v>
      </c>
      <c r="D56" s="376">
        <v>57000</v>
      </c>
      <c r="E56" s="377" t="s">
        <v>584</v>
      </c>
      <c r="F56" s="375" t="s">
        <v>585</v>
      </c>
      <c r="G56" s="371" t="s">
        <v>586</v>
      </c>
      <c r="H56" s="378" t="s">
        <v>587</v>
      </c>
      <c r="I56" s="372" t="s">
        <v>588</v>
      </c>
      <c r="J56" s="87"/>
      <c r="K56" s="88"/>
      <c r="L56" s="89"/>
      <c r="M56" s="86"/>
    </row>
    <row r="57" spans="1:13" ht="30" x14ac:dyDescent="0.25">
      <c r="A57" s="81"/>
      <c r="B57" s="374">
        <v>41174</v>
      </c>
      <c r="C57" s="375" t="s">
        <v>480</v>
      </c>
      <c r="D57" s="379">
        <v>22300</v>
      </c>
      <c r="E57" s="380" t="s">
        <v>574</v>
      </c>
      <c r="F57" s="381" t="s">
        <v>575</v>
      </c>
      <c r="G57" s="371" t="s">
        <v>576</v>
      </c>
      <c r="H57" s="371" t="s">
        <v>577</v>
      </c>
      <c r="I57" s="382" t="s">
        <v>578</v>
      </c>
      <c r="J57" s="87"/>
      <c r="K57" s="88"/>
      <c r="L57" s="89"/>
      <c r="M57" s="86"/>
    </row>
    <row r="58" spans="1:13" ht="30" x14ac:dyDescent="0.25">
      <c r="A58" s="81"/>
      <c r="B58" s="374">
        <v>41166</v>
      </c>
      <c r="C58" s="375" t="s">
        <v>480</v>
      </c>
      <c r="D58" s="379">
        <v>6100</v>
      </c>
      <c r="E58" s="380" t="s">
        <v>574</v>
      </c>
      <c r="F58" s="381" t="s">
        <v>575</v>
      </c>
      <c r="G58" s="371" t="s">
        <v>576</v>
      </c>
      <c r="H58" s="371" t="s">
        <v>577</v>
      </c>
      <c r="I58" s="382" t="s">
        <v>578</v>
      </c>
      <c r="J58" s="87"/>
      <c r="K58" s="88"/>
      <c r="L58" s="89"/>
      <c r="M58" s="86"/>
    </row>
    <row r="59" spans="1:13" ht="30" x14ac:dyDescent="0.25">
      <c r="A59" s="81"/>
      <c r="B59" s="374">
        <v>41172</v>
      </c>
      <c r="C59" s="375" t="s">
        <v>480</v>
      </c>
      <c r="D59" s="379">
        <v>5700</v>
      </c>
      <c r="E59" s="380" t="s">
        <v>574</v>
      </c>
      <c r="F59" s="381" t="s">
        <v>575</v>
      </c>
      <c r="G59" s="371" t="s">
        <v>576</v>
      </c>
      <c r="H59" s="371" t="s">
        <v>577</v>
      </c>
      <c r="I59" s="382" t="s">
        <v>578</v>
      </c>
      <c r="J59" s="87"/>
      <c r="K59" s="88"/>
      <c r="L59" s="89"/>
      <c r="M59" s="86"/>
    </row>
    <row r="60" spans="1:13" ht="30" x14ac:dyDescent="0.25">
      <c r="A60" s="81"/>
      <c r="B60" s="374">
        <v>41172</v>
      </c>
      <c r="C60" s="375" t="s">
        <v>480</v>
      </c>
      <c r="D60" s="379">
        <v>8150</v>
      </c>
      <c r="E60" s="380" t="s">
        <v>574</v>
      </c>
      <c r="F60" s="381" t="s">
        <v>575</v>
      </c>
      <c r="G60" s="371" t="s">
        <v>576</v>
      </c>
      <c r="H60" s="371" t="s">
        <v>577</v>
      </c>
      <c r="I60" s="382" t="s">
        <v>578</v>
      </c>
      <c r="J60" s="87"/>
      <c r="K60" s="88"/>
      <c r="L60" s="89"/>
      <c r="M60" s="86"/>
    </row>
    <row r="61" spans="1:13" ht="30" x14ac:dyDescent="0.25">
      <c r="A61" s="81"/>
      <c r="B61" s="374" t="s">
        <v>589</v>
      </c>
      <c r="C61" s="375" t="s">
        <v>480</v>
      </c>
      <c r="D61" s="379">
        <v>3000</v>
      </c>
      <c r="E61" s="380" t="s">
        <v>590</v>
      </c>
      <c r="F61" s="381" t="s">
        <v>591</v>
      </c>
      <c r="G61" s="371" t="s">
        <v>592</v>
      </c>
      <c r="H61" s="371" t="s">
        <v>571</v>
      </c>
      <c r="I61" s="382" t="s">
        <v>593</v>
      </c>
      <c r="J61" s="87"/>
      <c r="K61" s="88"/>
      <c r="L61" s="89"/>
      <c r="M61" s="86"/>
    </row>
    <row r="62" spans="1:13" ht="30" x14ac:dyDescent="0.25">
      <c r="A62" s="81"/>
      <c r="B62" s="374">
        <v>41173</v>
      </c>
      <c r="C62" s="375" t="s">
        <v>480</v>
      </c>
      <c r="D62" s="379">
        <v>3000</v>
      </c>
      <c r="E62" s="380" t="s">
        <v>590</v>
      </c>
      <c r="F62" s="381" t="s">
        <v>591</v>
      </c>
      <c r="G62" s="371" t="s">
        <v>592</v>
      </c>
      <c r="H62" s="371" t="s">
        <v>571</v>
      </c>
      <c r="I62" s="382" t="s">
        <v>593</v>
      </c>
      <c r="J62" s="87"/>
      <c r="K62" s="88"/>
      <c r="L62" s="89"/>
      <c r="M62" s="86"/>
    </row>
    <row r="63" spans="1:13" ht="30" x14ac:dyDescent="0.25">
      <c r="A63" s="81"/>
      <c r="B63" s="374">
        <v>41176</v>
      </c>
      <c r="C63" s="375" t="s">
        <v>480</v>
      </c>
      <c r="D63" s="379">
        <v>12100</v>
      </c>
      <c r="E63" s="380" t="s">
        <v>594</v>
      </c>
      <c r="F63" s="381" t="s">
        <v>595</v>
      </c>
      <c r="G63" s="371" t="s">
        <v>596</v>
      </c>
      <c r="H63" s="371" t="s">
        <v>597</v>
      </c>
      <c r="I63" s="382" t="s">
        <v>598</v>
      </c>
      <c r="J63" s="87"/>
      <c r="K63" s="88"/>
      <c r="L63" s="89"/>
      <c r="M63" s="86"/>
    </row>
    <row r="64" spans="1:13" ht="30" x14ac:dyDescent="0.25">
      <c r="A64" s="81"/>
      <c r="B64" s="215">
        <v>41178</v>
      </c>
      <c r="C64" s="75" t="s">
        <v>480</v>
      </c>
      <c r="D64" s="83">
        <v>10400</v>
      </c>
      <c r="E64" s="380" t="s">
        <v>594</v>
      </c>
      <c r="F64" s="381" t="s">
        <v>595</v>
      </c>
      <c r="G64" s="371" t="s">
        <v>596</v>
      </c>
      <c r="H64" s="371" t="s">
        <v>597</v>
      </c>
      <c r="I64" s="382" t="s">
        <v>598</v>
      </c>
      <c r="J64" s="87"/>
      <c r="K64" s="88"/>
      <c r="L64" s="89"/>
      <c r="M64" s="86"/>
    </row>
    <row r="65" spans="1:13" ht="30" x14ac:dyDescent="0.25">
      <c r="A65" s="81"/>
      <c r="B65" s="215">
        <v>41181</v>
      </c>
      <c r="C65" s="75" t="s">
        <v>480</v>
      </c>
      <c r="D65" s="83">
        <v>8040</v>
      </c>
      <c r="E65" s="380" t="s">
        <v>594</v>
      </c>
      <c r="F65" s="381" t="s">
        <v>595</v>
      </c>
      <c r="G65" s="371" t="s">
        <v>596</v>
      </c>
      <c r="H65" s="371" t="s">
        <v>597</v>
      </c>
      <c r="I65" s="382" t="s">
        <v>598</v>
      </c>
      <c r="J65" s="87"/>
      <c r="K65" s="88"/>
      <c r="L65" s="89"/>
      <c r="M65" s="86"/>
    </row>
    <row r="66" spans="1:13" ht="30" x14ac:dyDescent="0.25">
      <c r="A66" s="81"/>
      <c r="B66" s="215">
        <v>41205</v>
      </c>
      <c r="C66" s="75" t="s">
        <v>480</v>
      </c>
      <c r="D66" s="216">
        <v>13400</v>
      </c>
      <c r="E66" s="76" t="s">
        <v>599</v>
      </c>
      <c r="F66" s="75" t="s">
        <v>600</v>
      </c>
      <c r="G66" s="85" t="s">
        <v>601</v>
      </c>
      <c r="H66" s="329" t="s">
        <v>602</v>
      </c>
      <c r="I66" s="369" t="s">
        <v>603</v>
      </c>
      <c r="J66" s="87"/>
      <c r="K66" s="88"/>
      <c r="L66" s="89"/>
      <c r="M66" s="86"/>
    </row>
    <row r="67" spans="1:13" ht="30" x14ac:dyDescent="0.25">
      <c r="A67" s="81"/>
      <c r="B67" s="215">
        <v>41211</v>
      </c>
      <c r="C67" s="75" t="s">
        <v>480</v>
      </c>
      <c r="D67" s="83">
        <v>12612</v>
      </c>
      <c r="E67" s="76" t="s">
        <v>599</v>
      </c>
      <c r="F67" s="75" t="s">
        <v>600</v>
      </c>
      <c r="G67" s="85" t="s">
        <v>601</v>
      </c>
      <c r="H67" s="329" t="s">
        <v>602</v>
      </c>
      <c r="I67" s="369" t="s">
        <v>603</v>
      </c>
      <c r="J67" s="87"/>
      <c r="K67" s="88"/>
      <c r="L67" s="89"/>
      <c r="M67" s="86"/>
    </row>
    <row r="68" spans="1:13" ht="30" x14ac:dyDescent="0.25">
      <c r="A68" s="81"/>
      <c r="B68" s="215">
        <v>41225</v>
      </c>
      <c r="C68" s="75" t="s">
        <v>480</v>
      </c>
      <c r="D68" s="83">
        <v>2950</v>
      </c>
      <c r="E68" s="76" t="s">
        <v>604</v>
      </c>
      <c r="F68" s="75" t="s">
        <v>605</v>
      </c>
      <c r="G68" s="85" t="s">
        <v>606</v>
      </c>
      <c r="H68" s="329" t="s">
        <v>607</v>
      </c>
      <c r="I68" s="369" t="s">
        <v>608</v>
      </c>
      <c r="J68" s="87"/>
      <c r="K68" s="88"/>
      <c r="L68" s="89"/>
      <c r="M68" s="86"/>
    </row>
    <row r="69" spans="1:13" x14ac:dyDescent="0.25">
      <c r="A69" s="81"/>
      <c r="B69" s="215"/>
      <c r="C69" s="75"/>
      <c r="D69" s="83"/>
      <c r="E69" s="84"/>
      <c r="F69" s="82"/>
      <c r="G69" s="85"/>
      <c r="H69" s="85"/>
      <c r="I69" s="370"/>
      <c r="J69" s="87"/>
      <c r="K69" s="88"/>
      <c r="L69" s="89"/>
      <c r="M69" s="86"/>
    </row>
    <row r="70" spans="1:13" x14ac:dyDescent="0.25">
      <c r="A70" s="81"/>
      <c r="B70" s="215"/>
      <c r="C70" s="75"/>
      <c r="D70" s="83"/>
      <c r="E70" s="84"/>
      <c r="F70" s="82"/>
      <c r="G70" s="85"/>
      <c r="H70" s="85"/>
      <c r="I70" s="85"/>
      <c r="J70" s="87"/>
      <c r="K70" s="88"/>
      <c r="L70" s="89"/>
      <c r="M70" s="86"/>
    </row>
    <row r="71" spans="1:13" x14ac:dyDescent="0.25">
      <c r="A71" s="81"/>
      <c r="B71" s="215"/>
      <c r="C71" s="75"/>
      <c r="D71" s="83"/>
      <c r="E71" s="84"/>
      <c r="F71" s="82"/>
      <c r="G71" s="85"/>
      <c r="H71" s="85"/>
      <c r="I71" s="85"/>
      <c r="J71" s="87"/>
      <c r="K71" s="88"/>
      <c r="L71" s="89"/>
      <c r="M71" s="86"/>
    </row>
    <row r="72" spans="1:13" x14ac:dyDescent="0.25">
      <c r="A72" s="81"/>
      <c r="B72" s="215"/>
      <c r="C72" s="75"/>
      <c r="D72" s="383">
        <f>SUM(D10:D69)</f>
        <v>834600</v>
      </c>
      <c r="E72" s="84"/>
      <c r="F72" s="82"/>
      <c r="G72" s="85"/>
      <c r="H72" s="85"/>
      <c r="I72" s="85"/>
      <c r="J72" s="87"/>
      <c r="K72" s="88"/>
      <c r="L72" s="89"/>
      <c r="M72" s="86"/>
    </row>
    <row r="73" spans="1:13" ht="15.75" thickBot="1" x14ac:dyDescent="0.3">
      <c r="A73" s="90" t="s">
        <v>281</v>
      </c>
      <c r="B73" s="234"/>
      <c r="C73" s="91"/>
      <c r="D73" s="92"/>
      <c r="E73" s="93"/>
      <c r="F73" s="91"/>
      <c r="G73" s="94"/>
      <c r="H73" s="94"/>
      <c r="I73" s="94"/>
      <c r="J73" s="96"/>
      <c r="K73" s="97"/>
      <c r="L73" s="98"/>
      <c r="M73" s="95"/>
    </row>
    <row r="77" spans="1:13" s="113" customFormat="1" x14ac:dyDescent="0.3">
      <c r="A77" s="114" t="s">
        <v>439</v>
      </c>
      <c r="G77" s="115"/>
      <c r="H77" s="115"/>
      <c r="I77" s="115"/>
    </row>
    <row r="78" spans="1:13" s="113" customFormat="1" x14ac:dyDescent="0.3">
      <c r="A78" s="114" t="s">
        <v>453</v>
      </c>
      <c r="G78" s="115"/>
      <c r="H78" s="115"/>
      <c r="I78" s="115"/>
    </row>
    <row r="79" spans="1:13" s="113" customFormat="1" x14ac:dyDescent="0.3">
      <c r="A79" s="114" t="s">
        <v>452</v>
      </c>
      <c r="G79" s="115"/>
      <c r="H79" s="115"/>
      <c r="I79" s="115"/>
    </row>
    <row r="80" spans="1:13" s="113" customFormat="1" x14ac:dyDescent="0.3">
      <c r="B80" s="114"/>
      <c r="G80" s="115"/>
      <c r="H80" s="115"/>
      <c r="I80" s="115"/>
    </row>
    <row r="81" spans="1:11" s="113" customFormat="1" x14ac:dyDescent="0.3">
      <c r="B81" s="114"/>
      <c r="G81" s="115"/>
      <c r="H81" s="115"/>
      <c r="I81" s="115"/>
    </row>
    <row r="82" spans="1:11" s="113" customFormat="1" x14ac:dyDescent="0.3">
      <c r="B82" s="114"/>
      <c r="G82" s="115"/>
      <c r="H82" s="115"/>
      <c r="I82" s="115"/>
    </row>
    <row r="83" spans="1:11" s="113" customFormat="1" x14ac:dyDescent="0.3">
      <c r="B83" s="114"/>
      <c r="G83" s="115"/>
      <c r="H83" s="115"/>
      <c r="I83" s="115"/>
    </row>
    <row r="84" spans="1:11" s="113" customFormat="1" x14ac:dyDescent="0.3">
      <c r="B84" s="114"/>
      <c r="G84" s="115"/>
      <c r="H84" s="115"/>
      <c r="I84" s="115"/>
    </row>
    <row r="85" spans="1:11" x14ac:dyDescent="0.25">
      <c r="B85" s="64"/>
      <c r="G85" s="65"/>
      <c r="H85" s="65"/>
    </row>
    <row r="86" spans="1:11" s="2" customFormat="1" x14ac:dyDescent="0.3">
      <c r="B86" s="110" t="s">
        <v>107</v>
      </c>
    </row>
    <row r="87" spans="1:11" s="2" customFormat="1" x14ac:dyDescent="0.3">
      <c r="C87" s="109"/>
      <c r="G87" s="109"/>
      <c r="H87" s="112"/>
      <c r="I87"/>
    </row>
    <row r="88" spans="1:11" s="2" customFormat="1" x14ac:dyDescent="0.3">
      <c r="A88"/>
      <c r="C88" s="108" t="s">
        <v>271</v>
      </c>
      <c r="G88" s="12" t="s">
        <v>276</v>
      </c>
      <c r="H88" s="111"/>
      <c r="I88"/>
      <c r="K88" s="12"/>
    </row>
    <row r="89" spans="1:11" s="2" customFormat="1" x14ac:dyDescent="0.3">
      <c r="A89"/>
      <c r="G89" s="2" t="s">
        <v>272</v>
      </c>
      <c r="H89"/>
      <c r="I89"/>
    </row>
    <row r="90" spans="1:11" customFormat="1" ht="15.75" x14ac:dyDescent="0.3">
      <c r="B90" s="2"/>
      <c r="C90" s="103" t="s">
        <v>140</v>
      </c>
      <c r="E90" s="65"/>
      <c r="F90" s="65"/>
      <c r="K90" s="65"/>
    </row>
    <row r="91" spans="1:11" customFormat="1" x14ac:dyDescent="0.25">
      <c r="E91" s="65"/>
      <c r="F91" s="65"/>
    </row>
    <row r="92" spans="1:11" customFormat="1" x14ac:dyDescent="0.25">
      <c r="E92" s="65"/>
      <c r="F92" s="65"/>
    </row>
    <row r="93" spans="1:11" customFormat="1" x14ac:dyDescent="0.25">
      <c r="E93" s="65"/>
      <c r="F93" s="65"/>
    </row>
    <row r="94" spans="1:11" customFormat="1" x14ac:dyDescent="0.25">
      <c r="E94" s="65"/>
      <c r="F94" s="65"/>
    </row>
    <row r="95" spans="1:11" customFormat="1" ht="12.75" x14ac:dyDescent="0.2"/>
  </sheetData>
  <mergeCells count="2">
    <mergeCell ref="J7:L7"/>
    <mergeCell ref="M2:N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10:I35 G36:I73 G26:G35 G10:G2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7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73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340</v>
      </c>
      <c r="B1" s="119"/>
      <c r="C1" s="412" t="s">
        <v>110</v>
      </c>
      <c r="D1" s="412"/>
      <c r="E1" s="133"/>
    </row>
    <row r="2" spans="1:5" s="6" customFormat="1" x14ac:dyDescent="0.3">
      <c r="A2" s="116" t="s">
        <v>334</v>
      </c>
      <c r="B2" s="119"/>
      <c r="C2" s="410" t="s">
        <v>609</v>
      </c>
      <c r="D2" s="411"/>
      <c r="E2" s="133"/>
    </row>
    <row r="3" spans="1:5" s="6" customFormat="1" x14ac:dyDescent="0.3">
      <c r="A3" s="118" t="s">
        <v>141</v>
      </c>
      <c r="B3" s="116"/>
      <c r="C3" s="236"/>
      <c r="D3" s="236"/>
      <c r="E3" s="133"/>
    </row>
    <row r="4" spans="1:5" s="6" customFormat="1" x14ac:dyDescent="0.3">
      <c r="A4" s="118"/>
      <c r="B4" s="118"/>
      <c r="C4" s="236"/>
      <c r="D4" s="236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274" t="s">
        <v>610</v>
      </c>
      <c r="B6" s="12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5"/>
      <c r="B8" s="235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341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90" t="s">
        <v>426</v>
      </c>
    </row>
    <row r="30" spans="1:5" x14ac:dyDescent="0.3">
      <c r="A30" s="290"/>
    </row>
    <row r="31" spans="1:5" x14ac:dyDescent="0.3">
      <c r="A31" s="290" t="s">
        <v>358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Normal="100" zoomScaleSheetLayoutView="70" workbookViewId="0">
      <selection activeCell="L54" sqref="L54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468</v>
      </c>
      <c r="B1" s="118"/>
      <c r="C1" s="413" t="s">
        <v>110</v>
      </c>
      <c r="D1" s="413"/>
    </row>
    <row r="2" spans="1:5" x14ac:dyDescent="0.3">
      <c r="A2" s="116" t="s">
        <v>469</v>
      </c>
      <c r="B2" s="118"/>
      <c r="C2" s="410" t="s">
        <v>609</v>
      </c>
      <c r="D2" s="411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274" t="s">
        <v>610</v>
      </c>
      <c r="B6" s="178"/>
      <c r="C6" s="178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124">
        <f>SUM(C11,C14,C17,C20:C22)</f>
        <v>0</v>
      </c>
      <c r="D10" s="124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>
        <f>SUM(C15:C16)</f>
        <v>0</v>
      </c>
      <c r="D14" s="12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0</v>
      </c>
      <c r="D17" s="124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470</v>
      </c>
      <c r="B1" s="119"/>
      <c r="C1" s="412" t="s">
        <v>110</v>
      </c>
      <c r="D1" s="412"/>
      <c r="E1" s="133"/>
    </row>
    <row r="2" spans="1:5" s="6" customFormat="1" x14ac:dyDescent="0.3">
      <c r="A2" s="116" t="s">
        <v>467</v>
      </c>
      <c r="B2" s="119"/>
      <c r="C2" s="410" t="s">
        <v>609</v>
      </c>
      <c r="D2" s="411"/>
      <c r="E2" s="133"/>
    </row>
    <row r="3" spans="1:5" s="6" customFormat="1" x14ac:dyDescent="0.3">
      <c r="A3" s="118" t="s">
        <v>141</v>
      </c>
      <c r="B3" s="116"/>
      <c r="C3" s="236"/>
      <c r="D3" s="236"/>
      <c r="E3" s="133"/>
    </row>
    <row r="4" spans="1:5" s="6" customFormat="1" x14ac:dyDescent="0.3">
      <c r="A4" s="118"/>
      <c r="B4" s="118"/>
      <c r="C4" s="236"/>
      <c r="D4" s="236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274" t="s">
        <v>610</v>
      </c>
      <c r="B6" s="12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5"/>
      <c r="B8" s="235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303</v>
      </c>
      <c r="B10" s="140"/>
      <c r="C10" s="4"/>
      <c r="D10" s="4"/>
      <c r="E10" s="135"/>
    </row>
    <row r="11" spans="1:5" s="10" customFormat="1" x14ac:dyDescent="0.2">
      <c r="A11" s="140" t="s">
        <v>304</v>
      </c>
      <c r="B11" s="140"/>
      <c r="C11" s="4"/>
      <c r="D11" s="4"/>
      <c r="E11" s="136"/>
    </row>
    <row r="12" spans="1:5" s="10" customFormat="1" x14ac:dyDescent="0.2">
      <c r="A12" s="140" t="s">
        <v>305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9" x14ac:dyDescent="0.3">
      <c r="A17" s="141"/>
      <c r="B17" s="141" t="s">
        <v>341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90"/>
    </row>
    <row r="22" spans="1:9" x14ac:dyDescent="0.3">
      <c r="A22" s="290" t="s">
        <v>409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457</v>
      </c>
      <c r="D27" s="12"/>
      <c r="E27"/>
      <c r="F27"/>
      <c r="G27"/>
      <c r="H27"/>
      <c r="I27"/>
    </row>
    <row r="28" spans="1:9" x14ac:dyDescent="0.3">
      <c r="B28" s="2" t="s">
        <v>458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Normal="100" zoomScaleSheetLayoutView="70" workbookViewId="0">
      <selection activeCell="D36" sqref="D3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6" t="s">
        <v>225</v>
      </c>
      <c r="B1" s="179"/>
      <c r="C1" s="414" t="s">
        <v>199</v>
      </c>
      <c r="D1" s="414"/>
      <c r="E1" s="162"/>
    </row>
    <row r="2" spans="1:5" x14ac:dyDescent="0.3">
      <c r="A2" s="118" t="s">
        <v>141</v>
      </c>
      <c r="B2" s="179"/>
      <c r="C2" s="119"/>
      <c r="D2" s="410" t="s">
        <v>609</v>
      </c>
      <c r="E2" s="411"/>
    </row>
    <row r="3" spans="1:5" x14ac:dyDescent="0.3">
      <c r="A3" s="175"/>
      <c r="B3" s="179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274" t="s">
        <v>610</v>
      </c>
      <c r="B5" s="178"/>
      <c r="C5" s="178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4"/>
      <c r="B7" s="180"/>
      <c r="C7" s="181"/>
      <c r="D7" s="181"/>
      <c r="E7" s="162"/>
    </row>
    <row r="8" spans="1:5" ht="45" x14ac:dyDescent="0.3">
      <c r="A8" s="182" t="s">
        <v>114</v>
      </c>
      <c r="B8" s="182" t="s">
        <v>191</v>
      </c>
      <c r="C8" s="182" t="s">
        <v>309</v>
      </c>
      <c r="D8" s="182" t="s">
        <v>260</v>
      </c>
      <c r="E8" s="162"/>
    </row>
    <row r="9" spans="1:5" x14ac:dyDescent="0.3">
      <c r="A9" s="50"/>
      <c r="B9" s="51"/>
      <c r="C9" s="228"/>
      <c r="D9" s="228"/>
      <c r="E9" s="162"/>
    </row>
    <row r="10" spans="1:5" x14ac:dyDescent="0.3">
      <c r="A10" s="52" t="s">
        <v>192</v>
      </c>
      <c r="B10" s="53"/>
      <c r="C10" s="183">
        <f>SUM(C11,C34)</f>
        <v>0</v>
      </c>
      <c r="D10" s="183">
        <f>SUM(D11,D34)</f>
        <v>586.82000000000005</v>
      </c>
      <c r="E10" s="162"/>
    </row>
    <row r="11" spans="1:5" x14ac:dyDescent="0.3">
      <c r="A11" s="54" t="s">
        <v>193</v>
      </c>
      <c r="B11" s="55"/>
      <c r="C11" s="127">
        <f>SUM(C12:C32)</f>
        <v>0</v>
      </c>
      <c r="D11" s="127">
        <f>SUM(D12:D32)</f>
        <v>586.82000000000005</v>
      </c>
      <c r="E11" s="162"/>
    </row>
    <row r="12" spans="1:5" x14ac:dyDescent="0.3">
      <c r="A12" s="58">
        <v>1110</v>
      </c>
      <c r="B12" s="57" t="s">
        <v>143</v>
      </c>
      <c r="C12" s="8">
        <v>0</v>
      </c>
      <c r="D12" s="8">
        <v>0</v>
      </c>
      <c r="E12" s="162"/>
    </row>
    <row r="13" spans="1:5" x14ac:dyDescent="0.3">
      <c r="A13" s="58">
        <v>1120</v>
      </c>
      <c r="B13" s="57" t="s">
        <v>144</v>
      </c>
      <c r="C13" s="8">
        <v>0</v>
      </c>
      <c r="D13" s="8">
        <v>0</v>
      </c>
      <c r="E13" s="162"/>
    </row>
    <row r="14" spans="1:5" x14ac:dyDescent="0.3">
      <c r="A14" s="58">
        <v>1211</v>
      </c>
      <c r="B14" s="57" t="s">
        <v>145</v>
      </c>
      <c r="C14" s="8">
        <v>0</v>
      </c>
      <c r="D14" s="8">
        <v>73</v>
      </c>
      <c r="E14" s="162"/>
    </row>
    <row r="15" spans="1:5" x14ac:dyDescent="0.3">
      <c r="A15" s="58">
        <v>1212</v>
      </c>
      <c r="B15" s="57" t="s">
        <v>146</v>
      </c>
      <c r="C15" s="8">
        <v>0</v>
      </c>
      <c r="D15" s="8">
        <v>513.82000000000005</v>
      </c>
      <c r="E15" s="162"/>
    </row>
    <row r="16" spans="1:5" x14ac:dyDescent="0.3">
      <c r="A16" s="58">
        <v>1213</v>
      </c>
      <c r="B16" s="57" t="s">
        <v>147</v>
      </c>
      <c r="C16" s="8">
        <v>0</v>
      </c>
      <c r="D16" s="8"/>
      <c r="E16" s="162"/>
    </row>
    <row r="17" spans="1:5" x14ac:dyDescent="0.3">
      <c r="A17" s="58">
        <v>1214</v>
      </c>
      <c r="B17" s="57" t="s">
        <v>148</v>
      </c>
      <c r="C17" s="8">
        <v>0</v>
      </c>
      <c r="D17" s="8"/>
      <c r="E17" s="162"/>
    </row>
    <row r="18" spans="1:5" x14ac:dyDescent="0.3">
      <c r="A18" s="58">
        <v>1215</v>
      </c>
      <c r="B18" s="57" t="s">
        <v>149</v>
      </c>
      <c r="C18" s="8">
        <v>0</v>
      </c>
      <c r="D18" s="8"/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8"/>
      <c r="D24" s="8"/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8"/>
      <c r="D26" s="8"/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5" x14ac:dyDescent="0.3">
      <c r="A33" s="31"/>
      <c r="E33" s="162"/>
    </row>
    <row r="34" spans="1:5" x14ac:dyDescent="0.3">
      <c r="A34" s="59" t="s">
        <v>194</v>
      </c>
      <c r="B34" s="57"/>
      <c r="C34" s="127">
        <f>SUM(C35:C42)</f>
        <v>0</v>
      </c>
      <c r="D34" s="127">
        <f>SUM(D35:D42)</f>
        <v>0</v>
      </c>
      <c r="E34" s="162"/>
    </row>
    <row r="35" spans="1:5" x14ac:dyDescent="0.3">
      <c r="A35" s="58">
        <v>2110</v>
      </c>
      <c r="B35" s="57" t="s">
        <v>100</v>
      </c>
      <c r="C35" s="8"/>
      <c r="D35" s="8"/>
      <c r="E35" s="162"/>
    </row>
    <row r="36" spans="1:5" x14ac:dyDescent="0.3">
      <c r="A36" s="58">
        <v>2120</v>
      </c>
      <c r="B36" s="57" t="s">
        <v>164</v>
      </c>
      <c r="C36" s="8"/>
      <c r="D36" s="8"/>
      <c r="E36" s="162"/>
    </row>
    <row r="37" spans="1:5" x14ac:dyDescent="0.3">
      <c r="A37" s="58">
        <v>2130</v>
      </c>
      <c r="B37" s="57" t="s">
        <v>101</v>
      </c>
      <c r="C37" s="8"/>
      <c r="D37" s="8"/>
      <c r="E37" s="162"/>
    </row>
    <row r="38" spans="1:5" x14ac:dyDescent="0.3">
      <c r="A38" s="58">
        <v>2140</v>
      </c>
      <c r="B38" s="57" t="s">
        <v>418</v>
      </c>
      <c r="C38" s="8"/>
      <c r="D38" s="8"/>
      <c r="E38" s="162"/>
    </row>
    <row r="39" spans="1:5" x14ac:dyDescent="0.3">
      <c r="A39" s="58">
        <v>2150</v>
      </c>
      <c r="B39" s="57" t="s">
        <v>422</v>
      </c>
      <c r="C39" s="8"/>
      <c r="D39" s="8"/>
      <c r="E39" s="162"/>
    </row>
    <row r="40" spans="1:5" x14ac:dyDescent="0.3">
      <c r="A40" s="58">
        <v>2220</v>
      </c>
      <c r="B40" s="57" t="s">
        <v>102</v>
      </c>
      <c r="C40" s="8"/>
      <c r="D40" s="8"/>
      <c r="E40" s="162"/>
    </row>
    <row r="41" spans="1:5" x14ac:dyDescent="0.3">
      <c r="A41" s="58">
        <v>2300</v>
      </c>
      <c r="B41" s="57" t="s">
        <v>165</v>
      </c>
      <c r="C41" s="8"/>
      <c r="D41" s="8"/>
      <c r="E41" s="162"/>
    </row>
    <row r="42" spans="1:5" x14ac:dyDescent="0.3">
      <c r="A42" s="58">
        <v>2400</v>
      </c>
      <c r="B42" s="57" t="s">
        <v>166</v>
      </c>
      <c r="C42" s="8"/>
      <c r="D42" s="8"/>
      <c r="E42" s="162"/>
    </row>
    <row r="43" spans="1:5" x14ac:dyDescent="0.3">
      <c r="A43" s="32"/>
      <c r="E43" s="162"/>
    </row>
    <row r="44" spans="1:5" x14ac:dyDescent="0.3">
      <c r="A44" s="56" t="s">
        <v>198</v>
      </c>
      <c r="B44" s="57"/>
      <c r="C44" s="127">
        <f>SUM(C45,C64)</f>
        <v>0</v>
      </c>
      <c r="D44" s="127">
        <f>SUM(D45,D64)</f>
        <v>0</v>
      </c>
      <c r="E44" s="162"/>
    </row>
    <row r="45" spans="1:5" x14ac:dyDescent="0.3">
      <c r="A45" s="59" t="s">
        <v>195</v>
      </c>
      <c r="B45" s="57"/>
      <c r="C45" s="127">
        <f>SUM(C46:C61)</f>
        <v>0</v>
      </c>
      <c r="D45" s="127">
        <f>SUM(D46:D61)</f>
        <v>0</v>
      </c>
      <c r="E45" s="162"/>
    </row>
    <row r="46" spans="1:5" x14ac:dyDescent="0.3">
      <c r="A46" s="58">
        <v>3100</v>
      </c>
      <c r="B46" s="57" t="s">
        <v>167</v>
      </c>
      <c r="C46" s="8"/>
      <c r="D46" s="8"/>
      <c r="E46" s="162"/>
    </row>
    <row r="47" spans="1:5" x14ac:dyDescent="0.3">
      <c r="A47" s="58">
        <v>3210</v>
      </c>
      <c r="B47" s="57" t="s">
        <v>168</v>
      </c>
      <c r="C47" s="8"/>
      <c r="D47" s="8"/>
      <c r="E47" s="162"/>
    </row>
    <row r="48" spans="1:5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27">
        <f>SUM(C65:C67)</f>
        <v>0</v>
      </c>
      <c r="D64" s="127">
        <f>SUM(D65:D67)</f>
        <v>0</v>
      </c>
      <c r="E64" s="162"/>
    </row>
    <row r="65" spans="1:5" x14ac:dyDescent="0.3">
      <c r="A65" s="58">
        <v>5100</v>
      </c>
      <c r="B65" s="57" t="s">
        <v>258</v>
      </c>
      <c r="C65" s="8"/>
      <c r="D65" s="8"/>
      <c r="E65" s="162"/>
    </row>
    <row r="66" spans="1:5" x14ac:dyDescent="0.3">
      <c r="A66" s="58">
        <v>5220</v>
      </c>
      <c r="B66" s="57" t="s">
        <v>442</v>
      </c>
      <c r="C66" s="8"/>
      <c r="D66" s="8"/>
      <c r="E66" s="162"/>
    </row>
    <row r="67" spans="1:5" x14ac:dyDescent="0.3">
      <c r="A67" s="58">
        <v>5230</v>
      </c>
      <c r="B67" s="57" t="s">
        <v>443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373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457</v>
      </c>
      <c r="D87" s="12"/>
      <c r="E87"/>
      <c r="F87"/>
      <c r="G87"/>
      <c r="H87"/>
      <c r="I87"/>
    </row>
    <row r="88" spans="1:9" x14ac:dyDescent="0.3">
      <c r="A88"/>
      <c r="B88" s="2" t="s">
        <v>458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Normal="100" zoomScaleSheetLayoutView="7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464</v>
      </c>
      <c r="B1" s="118"/>
      <c r="C1" s="118"/>
      <c r="D1" s="118"/>
      <c r="E1" s="118"/>
      <c r="F1" s="118"/>
      <c r="G1" s="118"/>
      <c r="H1" s="118"/>
      <c r="I1" s="412" t="s">
        <v>110</v>
      </c>
      <c r="J1" s="412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410" t="s">
        <v>609</v>
      </c>
      <c r="J2" s="411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84"/>
      <c r="G4" s="118"/>
      <c r="H4" s="118"/>
      <c r="I4" s="118"/>
      <c r="J4" s="118"/>
      <c r="K4" s="162"/>
    </row>
    <row r="5" spans="1:11" x14ac:dyDescent="0.3">
      <c r="A5" s="274" t="s">
        <v>610</v>
      </c>
      <c r="B5" s="312"/>
      <c r="C5" s="312"/>
      <c r="D5" s="312"/>
      <c r="E5" s="312"/>
      <c r="F5" s="313"/>
      <c r="G5" s="312"/>
      <c r="H5" s="312"/>
      <c r="I5" s="312"/>
      <c r="J5" s="312"/>
      <c r="K5" s="162"/>
    </row>
    <row r="6" spans="1:11" x14ac:dyDescent="0.3">
      <c r="A6" s="119"/>
      <c r="B6" s="119"/>
      <c r="C6" s="118"/>
      <c r="D6" s="118"/>
      <c r="E6" s="118"/>
      <c r="F6" s="184"/>
      <c r="G6" s="118"/>
      <c r="H6" s="118"/>
      <c r="I6" s="118"/>
      <c r="J6" s="118"/>
      <c r="K6" s="162"/>
    </row>
    <row r="7" spans="1:11" x14ac:dyDescent="0.3">
      <c r="A7" s="185"/>
      <c r="B7" s="181"/>
      <c r="C7" s="181"/>
      <c r="D7" s="181"/>
      <c r="E7" s="181"/>
      <c r="F7" s="181"/>
      <c r="G7" s="181"/>
      <c r="H7" s="181"/>
      <c r="I7" s="181"/>
      <c r="J7" s="181"/>
      <c r="K7" s="162"/>
    </row>
    <row r="8" spans="1:11" s="27" customFormat="1" ht="45" x14ac:dyDescent="0.3">
      <c r="A8" s="187" t="s">
        <v>64</v>
      </c>
      <c r="B8" s="187" t="s">
        <v>112</v>
      </c>
      <c r="C8" s="188" t="s">
        <v>114</v>
      </c>
      <c r="D8" s="188" t="s">
        <v>278</v>
      </c>
      <c r="E8" s="188" t="s">
        <v>113</v>
      </c>
      <c r="F8" s="186" t="s">
        <v>259</v>
      </c>
      <c r="G8" s="186" t="s">
        <v>300</v>
      </c>
      <c r="H8" s="186" t="s">
        <v>301</v>
      </c>
      <c r="I8" s="186" t="s">
        <v>260</v>
      </c>
      <c r="J8" s="189" t="s">
        <v>115</v>
      </c>
      <c r="K8" s="162"/>
    </row>
    <row r="9" spans="1:11" s="27" customFormat="1" x14ac:dyDescent="0.3">
      <c r="A9" s="232">
        <v>1</v>
      </c>
      <c r="B9" s="232">
        <v>2</v>
      </c>
      <c r="C9" s="233">
        <v>3</v>
      </c>
      <c r="D9" s="233">
        <v>4</v>
      </c>
      <c r="E9" s="233">
        <v>5</v>
      </c>
      <c r="F9" s="233">
        <v>6</v>
      </c>
      <c r="G9" s="233">
        <v>7</v>
      </c>
      <c r="H9" s="233">
        <v>8</v>
      </c>
      <c r="I9" s="233">
        <v>9</v>
      </c>
      <c r="J9" s="233">
        <v>10</v>
      </c>
      <c r="K9" s="162"/>
    </row>
    <row r="10" spans="1:11" s="27" customFormat="1" ht="30" x14ac:dyDescent="0.3">
      <c r="A10" s="229">
        <v>1</v>
      </c>
      <c r="B10" s="75" t="s">
        <v>888</v>
      </c>
      <c r="C10" s="230" t="s">
        <v>889</v>
      </c>
      <c r="D10" s="231" t="s">
        <v>222</v>
      </c>
      <c r="E10" s="215"/>
      <c r="F10" s="28">
        <v>0</v>
      </c>
      <c r="G10" s="28">
        <v>834600</v>
      </c>
      <c r="H10" s="395">
        <f>'ფორმა N4'!C11</f>
        <v>833670</v>
      </c>
      <c r="I10" s="395">
        <f>F10+G10-H10</f>
        <v>930</v>
      </c>
      <c r="J10" s="28"/>
      <c r="K10" s="162"/>
    </row>
    <row r="11" spans="1:11" x14ac:dyDescent="0.3">
      <c r="A11" s="161"/>
      <c r="B11" s="161"/>
      <c r="C11" s="161"/>
      <c r="D11" s="161"/>
      <c r="E11" s="161"/>
      <c r="F11" s="161"/>
      <c r="G11" s="161"/>
      <c r="H11" s="161"/>
      <c r="I11" s="161"/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08" t="s">
        <v>107</v>
      </c>
      <c r="C15" s="161"/>
      <c r="D15" s="161"/>
      <c r="E15" s="161"/>
      <c r="F15" s="309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67"/>
      <c r="D17" s="161"/>
      <c r="E17" s="161"/>
      <c r="F17" s="367"/>
      <c r="G17" s="368"/>
      <c r="H17" s="368"/>
      <c r="I17" s="158"/>
      <c r="J17" s="158"/>
    </row>
    <row r="18" spans="1:10" x14ac:dyDescent="0.3">
      <c r="A18" s="158"/>
      <c r="B18" s="161"/>
      <c r="C18" s="310" t="s">
        <v>271</v>
      </c>
      <c r="D18" s="310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1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1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Normal="100" zoomScaleSheetLayoutView="70" workbookViewId="0">
      <selection activeCell="A5" sqref="A5"/>
    </sheetView>
  </sheetViews>
  <sheetFormatPr defaultRowHeight="15" x14ac:dyDescent="0.3"/>
  <cols>
    <col min="1" max="1" width="12" style="259" customWidth="1"/>
    <col min="2" max="2" width="13.28515625" style="259" customWidth="1"/>
    <col min="3" max="3" width="21.42578125" style="259" customWidth="1"/>
    <col min="4" max="4" width="17.85546875" style="259" customWidth="1"/>
    <col min="5" max="5" width="12.7109375" style="259" customWidth="1"/>
    <col min="6" max="6" width="36.85546875" style="259" customWidth="1"/>
    <col min="7" max="7" width="22.28515625" style="259" customWidth="1"/>
    <col min="8" max="8" width="0.5703125" style="259" customWidth="1"/>
    <col min="9" max="16384" width="9.140625" style="259"/>
  </cols>
  <sheetData>
    <row r="1" spans="1:8" x14ac:dyDescent="0.3">
      <c r="A1" s="116" t="s">
        <v>376</v>
      </c>
      <c r="B1" s="118"/>
      <c r="C1" s="118"/>
      <c r="D1" s="118"/>
      <c r="E1" s="118"/>
      <c r="F1" s="118"/>
      <c r="G1" s="239" t="s">
        <v>110</v>
      </c>
      <c r="H1" s="240"/>
    </row>
    <row r="2" spans="1:8" x14ac:dyDescent="0.3">
      <c r="A2" s="118" t="s">
        <v>141</v>
      </c>
      <c r="B2" s="118"/>
      <c r="C2" s="118"/>
      <c r="D2" s="118"/>
      <c r="E2" s="118"/>
      <c r="F2" s="118"/>
      <c r="G2" s="410" t="s">
        <v>609</v>
      </c>
      <c r="H2" s="411"/>
    </row>
    <row r="3" spans="1:8" x14ac:dyDescent="0.3">
      <c r="A3" s="118"/>
      <c r="B3" s="118"/>
      <c r="C3" s="118"/>
      <c r="D3" s="118"/>
      <c r="E3" s="118"/>
      <c r="F3" s="118"/>
      <c r="G3" s="159"/>
      <c r="H3" s="240"/>
    </row>
    <row r="4" spans="1:8" x14ac:dyDescent="0.3">
      <c r="A4" s="119" t="str">
        <f>'[5]ფორმა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274" t="s">
        <v>610</v>
      </c>
      <c r="B5" s="297"/>
      <c r="C5" s="297"/>
      <c r="D5" s="297"/>
      <c r="E5" s="297"/>
      <c r="F5" s="297"/>
      <c r="G5" s="297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1" t="s">
        <v>319</v>
      </c>
      <c r="B8" s="241" t="s">
        <v>142</v>
      </c>
      <c r="C8" s="242" t="s">
        <v>374</v>
      </c>
      <c r="D8" s="242" t="s">
        <v>375</v>
      </c>
      <c r="E8" s="242" t="s">
        <v>278</v>
      </c>
      <c r="F8" s="241" t="s">
        <v>326</v>
      </c>
      <c r="G8" s="242" t="s">
        <v>320</v>
      </c>
      <c r="H8" s="162"/>
    </row>
    <row r="9" spans="1:8" x14ac:dyDescent="0.3">
      <c r="A9" s="243" t="s">
        <v>321</v>
      </c>
      <c r="B9" s="244"/>
      <c r="C9" s="245"/>
      <c r="D9" s="246"/>
      <c r="E9" s="246"/>
      <c r="F9" s="246"/>
      <c r="G9" s="247"/>
      <c r="H9" s="162"/>
    </row>
    <row r="10" spans="1:8" ht="15.75" x14ac:dyDescent="0.3">
      <c r="A10" s="244">
        <v>1</v>
      </c>
      <c r="B10" s="215"/>
      <c r="C10" s="248"/>
      <c r="D10" s="249"/>
      <c r="E10" s="249"/>
      <c r="F10" s="249"/>
      <c r="G10" s="250" t="str">
        <f>IF(ISBLANK(B10),"",G9+C10-D10)</f>
        <v/>
      </c>
      <c r="H10" s="162"/>
    </row>
    <row r="11" spans="1:8" ht="15.75" x14ac:dyDescent="0.3">
      <c r="A11" s="244">
        <v>2</v>
      </c>
      <c r="B11" s="215"/>
      <c r="C11" s="248"/>
      <c r="D11" s="249"/>
      <c r="E11" s="249"/>
      <c r="F11" s="249"/>
      <c r="G11" s="250" t="str">
        <f t="shared" ref="G11:G38" si="0">IF(ISBLANK(B11),"",G10+C11-D11)</f>
        <v/>
      </c>
      <c r="H11" s="162"/>
    </row>
    <row r="12" spans="1:8" ht="15.75" x14ac:dyDescent="0.3">
      <c r="A12" s="244">
        <v>3</v>
      </c>
      <c r="B12" s="215"/>
      <c r="C12" s="248"/>
      <c r="D12" s="249"/>
      <c r="E12" s="249"/>
      <c r="F12" s="249"/>
      <c r="G12" s="250" t="str">
        <f t="shared" si="0"/>
        <v/>
      </c>
      <c r="H12" s="162"/>
    </row>
    <row r="13" spans="1:8" ht="15.75" x14ac:dyDescent="0.3">
      <c r="A13" s="244">
        <v>4</v>
      </c>
      <c r="B13" s="215"/>
      <c r="C13" s="248"/>
      <c r="D13" s="249"/>
      <c r="E13" s="249"/>
      <c r="F13" s="249"/>
      <c r="G13" s="250" t="str">
        <f t="shared" si="0"/>
        <v/>
      </c>
      <c r="H13" s="162"/>
    </row>
    <row r="14" spans="1:8" ht="15.75" x14ac:dyDescent="0.3">
      <c r="A14" s="244">
        <v>5</v>
      </c>
      <c r="B14" s="215"/>
      <c r="C14" s="248"/>
      <c r="D14" s="249"/>
      <c r="E14" s="249"/>
      <c r="F14" s="249"/>
      <c r="G14" s="250" t="str">
        <f t="shared" si="0"/>
        <v/>
      </c>
      <c r="H14" s="162"/>
    </row>
    <row r="15" spans="1:8" ht="15.75" x14ac:dyDescent="0.3">
      <c r="A15" s="244">
        <v>6</v>
      </c>
      <c r="B15" s="215"/>
      <c r="C15" s="248"/>
      <c r="D15" s="249"/>
      <c r="E15" s="249"/>
      <c r="F15" s="249"/>
      <c r="G15" s="250" t="str">
        <f t="shared" si="0"/>
        <v/>
      </c>
      <c r="H15" s="162"/>
    </row>
    <row r="16" spans="1:8" ht="15.75" x14ac:dyDescent="0.3">
      <c r="A16" s="244">
        <v>7</v>
      </c>
      <c r="B16" s="215"/>
      <c r="C16" s="248"/>
      <c r="D16" s="249"/>
      <c r="E16" s="249"/>
      <c r="F16" s="249"/>
      <c r="G16" s="250" t="str">
        <f t="shared" si="0"/>
        <v/>
      </c>
      <c r="H16" s="162"/>
    </row>
    <row r="17" spans="1:8" ht="15.75" x14ac:dyDescent="0.3">
      <c r="A17" s="244">
        <v>8</v>
      </c>
      <c r="B17" s="215"/>
      <c r="C17" s="248"/>
      <c r="D17" s="249"/>
      <c r="E17" s="249"/>
      <c r="F17" s="249"/>
      <c r="G17" s="250" t="str">
        <f t="shared" si="0"/>
        <v/>
      </c>
      <c r="H17" s="162"/>
    </row>
    <row r="18" spans="1:8" ht="15.75" x14ac:dyDescent="0.3">
      <c r="A18" s="244">
        <v>9</v>
      </c>
      <c r="B18" s="215"/>
      <c r="C18" s="248"/>
      <c r="D18" s="249"/>
      <c r="E18" s="249"/>
      <c r="F18" s="249"/>
      <c r="G18" s="250" t="str">
        <f t="shared" si="0"/>
        <v/>
      </c>
      <c r="H18" s="162"/>
    </row>
    <row r="19" spans="1:8" ht="15.75" x14ac:dyDescent="0.3">
      <c r="A19" s="244">
        <v>10</v>
      </c>
      <c r="B19" s="215"/>
      <c r="C19" s="248"/>
      <c r="D19" s="249"/>
      <c r="E19" s="249"/>
      <c r="F19" s="249"/>
      <c r="G19" s="250" t="str">
        <f t="shared" si="0"/>
        <v/>
      </c>
      <c r="H19" s="162"/>
    </row>
    <row r="20" spans="1:8" ht="15.75" x14ac:dyDescent="0.3">
      <c r="A20" s="244">
        <v>11</v>
      </c>
      <c r="B20" s="215"/>
      <c r="C20" s="248"/>
      <c r="D20" s="249"/>
      <c r="E20" s="249"/>
      <c r="F20" s="249"/>
      <c r="G20" s="250" t="str">
        <f t="shared" si="0"/>
        <v/>
      </c>
      <c r="H20" s="162"/>
    </row>
    <row r="21" spans="1:8" ht="15.75" x14ac:dyDescent="0.3">
      <c r="A21" s="244">
        <v>12</v>
      </c>
      <c r="B21" s="215"/>
      <c r="C21" s="248"/>
      <c r="D21" s="249"/>
      <c r="E21" s="249"/>
      <c r="F21" s="249"/>
      <c r="G21" s="250" t="str">
        <f t="shared" si="0"/>
        <v/>
      </c>
      <c r="H21" s="162"/>
    </row>
    <row r="22" spans="1:8" ht="15.75" x14ac:dyDescent="0.3">
      <c r="A22" s="244">
        <v>13</v>
      </c>
      <c r="B22" s="215"/>
      <c r="C22" s="248"/>
      <c r="D22" s="249"/>
      <c r="E22" s="249"/>
      <c r="F22" s="249"/>
      <c r="G22" s="250" t="str">
        <f t="shared" si="0"/>
        <v/>
      </c>
      <c r="H22" s="162"/>
    </row>
    <row r="23" spans="1:8" ht="15.75" x14ac:dyDescent="0.3">
      <c r="A23" s="244">
        <v>14</v>
      </c>
      <c r="B23" s="215"/>
      <c r="C23" s="248"/>
      <c r="D23" s="249"/>
      <c r="E23" s="249"/>
      <c r="F23" s="249"/>
      <c r="G23" s="250" t="str">
        <f t="shared" si="0"/>
        <v/>
      </c>
      <c r="H23" s="162"/>
    </row>
    <row r="24" spans="1:8" ht="15.75" x14ac:dyDescent="0.3">
      <c r="A24" s="244">
        <v>15</v>
      </c>
      <c r="B24" s="215"/>
      <c r="C24" s="248"/>
      <c r="D24" s="249"/>
      <c r="E24" s="249"/>
      <c r="F24" s="249"/>
      <c r="G24" s="250" t="str">
        <f t="shared" si="0"/>
        <v/>
      </c>
      <c r="H24" s="162"/>
    </row>
    <row r="25" spans="1:8" ht="15.75" x14ac:dyDescent="0.3">
      <c r="A25" s="244">
        <v>16</v>
      </c>
      <c r="B25" s="215"/>
      <c r="C25" s="248"/>
      <c r="D25" s="249"/>
      <c r="E25" s="249"/>
      <c r="F25" s="249"/>
      <c r="G25" s="250" t="str">
        <f t="shared" si="0"/>
        <v/>
      </c>
      <c r="H25" s="162"/>
    </row>
    <row r="26" spans="1:8" ht="15.75" x14ac:dyDescent="0.3">
      <c r="A26" s="244">
        <v>17</v>
      </c>
      <c r="B26" s="215"/>
      <c r="C26" s="248"/>
      <c r="D26" s="249"/>
      <c r="E26" s="249"/>
      <c r="F26" s="249"/>
      <c r="G26" s="250" t="str">
        <f t="shared" si="0"/>
        <v/>
      </c>
      <c r="H26" s="162"/>
    </row>
    <row r="27" spans="1:8" ht="15.75" x14ac:dyDescent="0.3">
      <c r="A27" s="244">
        <v>18</v>
      </c>
      <c r="B27" s="215"/>
      <c r="C27" s="248"/>
      <c r="D27" s="249"/>
      <c r="E27" s="249"/>
      <c r="F27" s="249"/>
      <c r="G27" s="250" t="str">
        <f t="shared" si="0"/>
        <v/>
      </c>
      <c r="H27" s="162"/>
    </row>
    <row r="28" spans="1:8" ht="15.75" x14ac:dyDescent="0.3">
      <c r="A28" s="244">
        <v>19</v>
      </c>
      <c r="B28" s="215"/>
      <c r="C28" s="248"/>
      <c r="D28" s="249"/>
      <c r="E28" s="249"/>
      <c r="F28" s="249"/>
      <c r="G28" s="250" t="str">
        <f t="shared" si="0"/>
        <v/>
      </c>
      <c r="H28" s="162"/>
    </row>
    <row r="29" spans="1:8" ht="15.75" x14ac:dyDescent="0.3">
      <c r="A29" s="244">
        <v>20</v>
      </c>
      <c r="B29" s="215"/>
      <c r="C29" s="248"/>
      <c r="D29" s="249"/>
      <c r="E29" s="249"/>
      <c r="F29" s="249"/>
      <c r="G29" s="250" t="str">
        <f t="shared" si="0"/>
        <v/>
      </c>
      <c r="H29" s="162"/>
    </row>
    <row r="30" spans="1:8" ht="15.75" x14ac:dyDescent="0.3">
      <c r="A30" s="244">
        <v>21</v>
      </c>
      <c r="B30" s="215"/>
      <c r="C30" s="251"/>
      <c r="D30" s="252"/>
      <c r="E30" s="252"/>
      <c r="F30" s="252"/>
      <c r="G30" s="250" t="str">
        <f t="shared" si="0"/>
        <v/>
      </c>
      <c r="H30" s="162"/>
    </row>
    <row r="31" spans="1:8" ht="15.75" x14ac:dyDescent="0.3">
      <c r="A31" s="244">
        <v>22</v>
      </c>
      <c r="B31" s="215"/>
      <c r="C31" s="251"/>
      <c r="D31" s="252"/>
      <c r="E31" s="252"/>
      <c r="F31" s="252"/>
      <c r="G31" s="250" t="str">
        <f t="shared" si="0"/>
        <v/>
      </c>
      <c r="H31" s="162"/>
    </row>
    <row r="32" spans="1:8" ht="15.75" x14ac:dyDescent="0.3">
      <c r="A32" s="244">
        <v>23</v>
      </c>
      <c r="B32" s="215"/>
      <c r="C32" s="251"/>
      <c r="D32" s="252"/>
      <c r="E32" s="252"/>
      <c r="F32" s="252"/>
      <c r="G32" s="250" t="str">
        <f t="shared" si="0"/>
        <v/>
      </c>
      <c r="H32" s="162"/>
    </row>
    <row r="33" spans="1:10" ht="15.75" x14ac:dyDescent="0.3">
      <c r="A33" s="244">
        <v>24</v>
      </c>
      <c r="B33" s="215"/>
      <c r="C33" s="251"/>
      <c r="D33" s="252"/>
      <c r="E33" s="252"/>
      <c r="F33" s="252"/>
      <c r="G33" s="250" t="str">
        <f t="shared" si="0"/>
        <v/>
      </c>
      <c r="H33" s="162"/>
    </row>
    <row r="34" spans="1:10" ht="15.75" x14ac:dyDescent="0.3">
      <c r="A34" s="244">
        <v>25</v>
      </c>
      <c r="B34" s="215"/>
      <c r="C34" s="251"/>
      <c r="D34" s="252"/>
      <c r="E34" s="252"/>
      <c r="F34" s="252"/>
      <c r="G34" s="250" t="str">
        <f t="shared" si="0"/>
        <v/>
      </c>
      <c r="H34" s="162"/>
    </row>
    <row r="35" spans="1:10" ht="15.75" x14ac:dyDescent="0.3">
      <c r="A35" s="244">
        <v>26</v>
      </c>
      <c r="B35" s="215"/>
      <c r="C35" s="251"/>
      <c r="D35" s="252"/>
      <c r="E35" s="252"/>
      <c r="F35" s="252"/>
      <c r="G35" s="250" t="str">
        <f t="shared" si="0"/>
        <v/>
      </c>
      <c r="H35" s="162"/>
    </row>
    <row r="36" spans="1:10" ht="15.75" x14ac:dyDescent="0.3">
      <c r="A36" s="244">
        <v>27</v>
      </c>
      <c r="B36" s="215"/>
      <c r="C36" s="251"/>
      <c r="D36" s="252"/>
      <c r="E36" s="252"/>
      <c r="F36" s="252"/>
      <c r="G36" s="250" t="str">
        <f t="shared" si="0"/>
        <v/>
      </c>
      <c r="H36" s="162"/>
    </row>
    <row r="37" spans="1:10" ht="15.75" x14ac:dyDescent="0.3">
      <c r="A37" s="244">
        <v>28</v>
      </c>
      <c r="B37" s="215"/>
      <c r="C37" s="251"/>
      <c r="D37" s="252"/>
      <c r="E37" s="252"/>
      <c r="F37" s="252"/>
      <c r="G37" s="250" t="str">
        <f t="shared" si="0"/>
        <v/>
      </c>
      <c r="H37" s="162"/>
    </row>
    <row r="38" spans="1:10" ht="15.75" x14ac:dyDescent="0.3">
      <c r="A38" s="244">
        <v>29</v>
      </c>
      <c r="B38" s="215"/>
      <c r="C38" s="251"/>
      <c r="D38" s="252"/>
      <c r="E38" s="252"/>
      <c r="F38" s="252"/>
      <c r="G38" s="250" t="str">
        <f t="shared" si="0"/>
        <v/>
      </c>
      <c r="H38" s="162"/>
    </row>
    <row r="39" spans="1:10" ht="15.75" x14ac:dyDescent="0.3">
      <c r="A39" s="244" t="s">
        <v>284</v>
      </c>
      <c r="B39" s="215"/>
      <c r="C39" s="251"/>
      <c r="D39" s="252"/>
      <c r="E39" s="252"/>
      <c r="F39" s="252"/>
      <c r="G39" s="250" t="str">
        <f>IF(ISBLANK(B39),"",#REF!+C39-D39)</f>
        <v/>
      </c>
      <c r="H39" s="162"/>
    </row>
    <row r="40" spans="1:10" x14ac:dyDescent="0.3">
      <c r="A40" s="253" t="s">
        <v>322</v>
      </c>
      <c r="B40" s="254"/>
      <c r="C40" s="255"/>
      <c r="D40" s="256"/>
      <c r="E40" s="256"/>
      <c r="F40" s="257"/>
      <c r="G40" s="258" t="str">
        <f>G39</f>
        <v/>
      </c>
      <c r="H40" s="162"/>
    </row>
    <row r="44" spans="1:10" x14ac:dyDescent="0.3">
      <c r="B44" s="261" t="s">
        <v>107</v>
      </c>
      <c r="F44" s="262"/>
    </row>
    <row r="45" spans="1:10" x14ac:dyDescent="0.3">
      <c r="F45" s="260"/>
      <c r="G45" s="260"/>
      <c r="H45" s="260"/>
      <c r="I45" s="260"/>
      <c r="J45" s="260"/>
    </row>
    <row r="46" spans="1:10" x14ac:dyDescent="0.3">
      <c r="C46" s="263"/>
      <c r="F46" s="263"/>
      <c r="G46" s="264"/>
      <c r="H46" s="260"/>
      <c r="I46" s="260"/>
      <c r="J46" s="260"/>
    </row>
    <row r="47" spans="1:10" x14ac:dyDescent="0.3">
      <c r="A47" s="260"/>
      <c r="C47" s="265" t="s">
        <v>271</v>
      </c>
      <c r="F47" s="266" t="s">
        <v>276</v>
      </c>
      <c r="G47" s="264"/>
      <c r="H47" s="260"/>
      <c r="I47" s="260"/>
      <c r="J47" s="260"/>
    </row>
    <row r="48" spans="1:10" x14ac:dyDescent="0.3">
      <c r="A48" s="260"/>
      <c r="C48" s="267" t="s">
        <v>140</v>
      </c>
      <c r="F48" s="259" t="s">
        <v>272</v>
      </c>
      <c r="G48" s="260"/>
      <c r="H48" s="260"/>
      <c r="I48" s="260"/>
      <c r="J48" s="260"/>
    </row>
    <row r="49" spans="2:2" s="260" customFormat="1" x14ac:dyDescent="0.3">
      <c r="B49" s="259"/>
    </row>
    <row r="50" spans="2:2" s="260" customFormat="1" ht="12.75" x14ac:dyDescent="0.2"/>
    <row r="51" spans="2:2" s="260" customFormat="1" ht="12.75" x14ac:dyDescent="0.2"/>
    <row r="52" spans="2:2" s="260" customFormat="1" ht="12.75" x14ac:dyDescent="0.2"/>
    <row r="53" spans="2:2" s="26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Normal="100" zoomScaleSheetLayoutView="70" workbookViewId="0">
      <selection activeCell="E16" sqref="E16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5" t="s">
        <v>310</v>
      </c>
      <c r="B1" s="196"/>
      <c r="C1" s="196"/>
      <c r="D1" s="196"/>
      <c r="E1" s="196"/>
      <c r="F1" s="120"/>
      <c r="G1" s="120"/>
      <c r="H1" s="120"/>
      <c r="I1" s="413" t="s">
        <v>110</v>
      </c>
      <c r="J1" s="413"/>
      <c r="K1" s="202"/>
    </row>
    <row r="2" spans="1:12" s="23" customFormat="1" ht="15" x14ac:dyDescent="0.3">
      <c r="A2" s="162" t="s">
        <v>141</v>
      </c>
      <c r="B2" s="196"/>
      <c r="C2" s="196"/>
      <c r="D2" s="196"/>
      <c r="E2" s="196"/>
      <c r="F2" s="197"/>
      <c r="G2" s="198"/>
      <c r="H2" s="198"/>
      <c r="I2" s="410" t="s">
        <v>609</v>
      </c>
      <c r="J2" s="411"/>
      <c r="K2" s="202"/>
    </row>
    <row r="3" spans="1:12" s="23" customFormat="1" ht="15" x14ac:dyDescent="0.2">
      <c r="A3" s="196"/>
      <c r="B3" s="196"/>
      <c r="C3" s="196"/>
      <c r="D3" s="196"/>
      <c r="E3" s="196"/>
      <c r="F3" s="197"/>
      <c r="G3" s="198"/>
      <c r="H3" s="198"/>
      <c r="I3" s="199"/>
      <c r="J3" s="117"/>
      <c r="K3" s="202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4"/>
      <c r="J4" s="118"/>
      <c r="K4" s="162"/>
      <c r="L4" s="23"/>
    </row>
    <row r="5" spans="1:12" s="2" customFormat="1" ht="15" x14ac:dyDescent="0.3">
      <c r="A5" s="274" t="s">
        <v>610</v>
      </c>
      <c r="B5" s="178"/>
      <c r="C5" s="178"/>
      <c r="D5" s="178"/>
      <c r="E5" s="178"/>
      <c r="F5" s="60"/>
      <c r="G5" s="60"/>
      <c r="H5" s="60"/>
      <c r="I5" s="190"/>
      <c r="J5" s="60"/>
      <c r="K5" s="162"/>
    </row>
    <row r="6" spans="1:12" s="2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  <c r="J6" s="196"/>
      <c r="K6" s="202"/>
    </row>
    <row r="7" spans="1:12" ht="45" x14ac:dyDescent="0.2">
      <c r="A7" s="191"/>
      <c r="B7" s="415" t="s">
        <v>221</v>
      </c>
      <c r="C7" s="415"/>
      <c r="D7" s="415" t="s">
        <v>298</v>
      </c>
      <c r="E7" s="415"/>
      <c r="F7" s="415" t="s">
        <v>299</v>
      </c>
      <c r="G7" s="415"/>
      <c r="H7" s="214" t="s">
        <v>285</v>
      </c>
      <c r="I7" s="415" t="s">
        <v>224</v>
      </c>
      <c r="J7" s="415"/>
      <c r="K7" s="203"/>
    </row>
    <row r="8" spans="1:12" ht="15" x14ac:dyDescent="0.2">
      <c r="A8" s="192" t="s">
        <v>116</v>
      </c>
      <c r="B8" s="193" t="s">
        <v>223</v>
      </c>
      <c r="C8" s="194" t="s">
        <v>222</v>
      </c>
      <c r="D8" s="193" t="s">
        <v>223</v>
      </c>
      <c r="E8" s="194" t="s">
        <v>222</v>
      </c>
      <c r="F8" s="193" t="s">
        <v>223</v>
      </c>
      <c r="G8" s="194" t="s">
        <v>222</v>
      </c>
      <c r="H8" s="194" t="s">
        <v>222</v>
      </c>
      <c r="I8" s="193" t="s">
        <v>223</v>
      </c>
      <c r="J8" s="194" t="s">
        <v>222</v>
      </c>
      <c r="K8" s="203"/>
    </row>
    <row r="9" spans="1:12" ht="15" x14ac:dyDescent="0.2">
      <c r="A9" s="61" t="s">
        <v>117</v>
      </c>
      <c r="B9" s="124">
        <f>SUM(B10,B14,B17)</f>
        <v>0</v>
      </c>
      <c r="C9" s="124">
        <f>SUM(C10,C14,C17)</f>
        <v>0</v>
      </c>
      <c r="D9" s="124">
        <f t="shared" ref="D9:J9" si="0">SUM(D10,D14,D17)</f>
        <v>0</v>
      </c>
      <c r="E9" s="124">
        <f>SUM(E10,E14,E17)</f>
        <v>27833.02</v>
      </c>
      <c r="F9" s="124">
        <f t="shared" si="0"/>
        <v>0</v>
      </c>
      <c r="G9" s="124">
        <f>SUM(G10,G14,G17)</f>
        <v>0</v>
      </c>
      <c r="H9" s="124">
        <f>SUM(H10,H14,H17)</f>
        <v>0</v>
      </c>
      <c r="I9" s="124">
        <f>SUM(I10,I14,I17)</f>
        <v>0</v>
      </c>
      <c r="J9" s="124">
        <f t="shared" si="0"/>
        <v>0</v>
      </c>
      <c r="K9" s="203"/>
    </row>
    <row r="10" spans="1:12" ht="15" x14ac:dyDescent="0.2">
      <c r="A10" s="62" t="s">
        <v>118</v>
      </c>
      <c r="B10" s="191">
        <f>SUM(B11:B13)</f>
        <v>0</v>
      </c>
      <c r="C10" s="191">
        <f>SUM(C11:C13)</f>
        <v>0</v>
      </c>
      <c r="D10" s="191">
        <f t="shared" ref="D10:J10" si="1">SUM(D11:D13)</f>
        <v>0</v>
      </c>
      <c r="E10" s="191">
        <f>SUM(E11:E13)</f>
        <v>0</v>
      </c>
      <c r="F10" s="191">
        <f t="shared" si="1"/>
        <v>0</v>
      </c>
      <c r="G10" s="191">
        <f>SUM(G11:G13)</f>
        <v>0</v>
      </c>
      <c r="H10" s="191">
        <f>SUM(H11:H13)</f>
        <v>0</v>
      </c>
      <c r="I10" s="191">
        <f>SUM(I11:I13)</f>
        <v>0</v>
      </c>
      <c r="J10" s="191">
        <f t="shared" si="1"/>
        <v>0</v>
      </c>
      <c r="K10" s="203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3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3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3"/>
    </row>
    <row r="14" spans="1:12" ht="15" x14ac:dyDescent="0.2">
      <c r="A14" s="62" t="s">
        <v>122</v>
      </c>
      <c r="B14" s="191">
        <f>SUM(B15:B16)</f>
        <v>0</v>
      </c>
      <c r="C14" s="191">
        <f>SUM(C15:C16)</f>
        <v>0</v>
      </c>
      <c r="D14" s="191">
        <f t="shared" ref="D14:J14" si="2">SUM(D15:D16)</f>
        <v>0</v>
      </c>
      <c r="E14" s="191">
        <f>SUM(E15:E16)</f>
        <v>27833.02</v>
      </c>
      <c r="F14" s="191">
        <f t="shared" si="2"/>
        <v>0</v>
      </c>
      <c r="G14" s="191">
        <f>SUM(G15:G16)</f>
        <v>0</v>
      </c>
      <c r="H14" s="191">
        <f>SUM(H15:H16)</f>
        <v>0</v>
      </c>
      <c r="I14" s="191">
        <f>SUM(I15:I16)</f>
        <v>0</v>
      </c>
      <c r="J14" s="191">
        <f t="shared" si="2"/>
        <v>0</v>
      </c>
      <c r="K14" s="203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203"/>
    </row>
    <row r="16" spans="1:12" ht="15" x14ac:dyDescent="0.2">
      <c r="A16" s="62" t="s">
        <v>124</v>
      </c>
      <c r="B16" s="26"/>
      <c r="C16" s="26"/>
      <c r="D16" s="26"/>
      <c r="E16" s="26">
        <f>'[2]ფორმა N9'!$E$16+'[3]ფორმა N9'!$E$16+'[4]ფორმა N9'!$E$16</f>
        <v>27833.02</v>
      </c>
      <c r="F16" s="26"/>
      <c r="G16" s="26"/>
      <c r="H16" s="26"/>
      <c r="I16" s="26"/>
      <c r="J16" s="26"/>
      <c r="K16" s="203"/>
    </row>
    <row r="17" spans="1:11" ht="15" x14ac:dyDescent="0.2">
      <c r="A17" s="62" t="s">
        <v>125</v>
      </c>
      <c r="B17" s="191">
        <f>SUM(B18:B19,B22,B23)</f>
        <v>0</v>
      </c>
      <c r="C17" s="191">
        <f>SUM(C18:C19,C22,C23)</f>
        <v>0</v>
      </c>
      <c r="D17" s="191">
        <f t="shared" ref="D17:J17" si="3">SUM(D18:D19,D22,D23)</f>
        <v>0</v>
      </c>
      <c r="E17" s="191">
        <f>SUM(E18:E19,E22,E23)</f>
        <v>0</v>
      </c>
      <c r="F17" s="191">
        <f t="shared" si="3"/>
        <v>0</v>
      </c>
      <c r="G17" s="191">
        <f>SUM(G18:G19,G22,G23)</f>
        <v>0</v>
      </c>
      <c r="H17" s="191">
        <f>SUM(H18:H19,H22,H23)</f>
        <v>0</v>
      </c>
      <c r="I17" s="191">
        <f>SUM(I18:I19,I22,I23)</f>
        <v>0</v>
      </c>
      <c r="J17" s="191">
        <f t="shared" si="3"/>
        <v>0</v>
      </c>
      <c r="K17" s="203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3"/>
    </row>
    <row r="19" spans="1:11" ht="15" x14ac:dyDescent="0.2">
      <c r="A19" s="62" t="s">
        <v>127</v>
      </c>
      <c r="B19" s="191">
        <f>SUM(B20:B21)</f>
        <v>0</v>
      </c>
      <c r="C19" s="191">
        <f>SUM(C20:C21)</f>
        <v>0</v>
      </c>
      <c r="D19" s="191">
        <f t="shared" ref="D19:J19" si="4">SUM(D20:D21)</f>
        <v>0</v>
      </c>
      <c r="E19" s="191">
        <f>SUM(E20:E21)</f>
        <v>0</v>
      </c>
      <c r="F19" s="191">
        <f t="shared" si="4"/>
        <v>0</v>
      </c>
      <c r="G19" s="191">
        <f>SUM(G20:G21)</f>
        <v>0</v>
      </c>
      <c r="H19" s="191">
        <f>SUM(H20:H21)</f>
        <v>0</v>
      </c>
      <c r="I19" s="191">
        <f>SUM(I20:I21)</f>
        <v>0</v>
      </c>
      <c r="J19" s="191">
        <f t="shared" si="4"/>
        <v>0</v>
      </c>
      <c r="K19" s="203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3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3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3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3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3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3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3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3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3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3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3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3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3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3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3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3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3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3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3"/>
    </row>
    <row r="39" spans="1:11" ht="15" x14ac:dyDescent="0.2">
      <c r="A39" s="62" t="s">
        <v>137</v>
      </c>
      <c r="B39" s="191">
        <f t="shared" ref="B39:J39" si="8">SUM(B40:B41)</f>
        <v>0</v>
      </c>
      <c r="C39" s="191">
        <f t="shared" si="8"/>
        <v>0</v>
      </c>
      <c r="D39" s="191">
        <f t="shared" si="8"/>
        <v>0</v>
      </c>
      <c r="E39" s="191">
        <f t="shared" si="8"/>
        <v>0</v>
      </c>
      <c r="F39" s="191">
        <f t="shared" si="8"/>
        <v>0</v>
      </c>
      <c r="G39" s="191">
        <f t="shared" si="8"/>
        <v>0</v>
      </c>
      <c r="H39" s="191">
        <f t="shared" si="8"/>
        <v>0</v>
      </c>
      <c r="I39" s="191">
        <f t="shared" si="8"/>
        <v>0</v>
      </c>
      <c r="J39" s="191">
        <f t="shared" si="8"/>
        <v>0</v>
      </c>
      <c r="K39" s="203"/>
    </row>
    <row r="40" spans="1:11" ht="30" x14ac:dyDescent="0.2">
      <c r="A40" s="62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3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3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3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5" t="s">
        <v>311</v>
      </c>
      <c r="B1" s="196"/>
      <c r="C1" s="196"/>
      <c r="D1" s="196"/>
      <c r="E1" s="196"/>
      <c r="F1" s="196"/>
      <c r="G1" s="202"/>
      <c r="H1" s="142" t="s">
        <v>199</v>
      </c>
      <c r="I1" s="202"/>
      <c r="J1" s="105"/>
      <c r="K1" s="105"/>
      <c r="L1" s="105"/>
    </row>
    <row r="2" spans="1:12" s="23" customFormat="1" ht="15" x14ac:dyDescent="0.3">
      <c r="A2" s="162" t="s">
        <v>141</v>
      </c>
      <c r="B2" s="196"/>
      <c r="C2" s="196"/>
      <c r="D2" s="196"/>
      <c r="E2" s="196"/>
      <c r="F2" s="196"/>
      <c r="G2" s="204"/>
      <c r="H2" s="410" t="s">
        <v>609</v>
      </c>
      <c r="I2" s="411"/>
      <c r="J2" s="105"/>
      <c r="K2" s="105"/>
      <c r="L2" s="105"/>
    </row>
    <row r="3" spans="1:12" s="23" customFormat="1" ht="15" x14ac:dyDescent="0.2">
      <c r="A3" s="196"/>
      <c r="B3" s="196"/>
      <c r="C3" s="196"/>
      <c r="D3" s="196"/>
      <c r="E3" s="196"/>
      <c r="F3" s="196"/>
      <c r="G3" s="204"/>
      <c r="H3" s="199"/>
      <c r="I3" s="204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6"/>
      <c r="F4" s="196"/>
      <c r="G4" s="196"/>
      <c r="H4" s="196"/>
      <c r="I4" s="202"/>
      <c r="J4" s="101"/>
      <c r="K4" s="101"/>
      <c r="L4" s="23"/>
    </row>
    <row r="5" spans="1:12" s="2" customFormat="1" ht="15" x14ac:dyDescent="0.3">
      <c r="A5" s="274" t="s">
        <v>610</v>
      </c>
      <c r="B5" s="178"/>
      <c r="C5" s="178"/>
      <c r="D5" s="178"/>
      <c r="E5" s="206"/>
      <c r="F5" s="207"/>
      <c r="G5" s="207"/>
      <c r="H5" s="207"/>
      <c r="I5" s="202"/>
      <c r="J5" s="101"/>
      <c r="K5" s="101"/>
      <c r="L5" s="12"/>
    </row>
    <row r="6" spans="1:12" s="23" customFormat="1" ht="13.5" x14ac:dyDescent="0.2">
      <c r="A6" s="200"/>
      <c r="B6" s="201"/>
      <c r="C6" s="201"/>
      <c r="D6" s="201"/>
      <c r="E6" s="196"/>
      <c r="F6" s="196"/>
      <c r="G6" s="196"/>
      <c r="H6" s="196"/>
      <c r="I6" s="202"/>
      <c r="J6" s="101"/>
      <c r="K6" s="101"/>
      <c r="L6" s="101"/>
    </row>
    <row r="7" spans="1:12" ht="30" x14ac:dyDescent="0.2">
      <c r="A7" s="192" t="s">
        <v>64</v>
      </c>
      <c r="B7" s="192" t="s">
        <v>385</v>
      </c>
      <c r="C7" s="194" t="s">
        <v>386</v>
      </c>
      <c r="D7" s="194" t="s">
        <v>238</v>
      </c>
      <c r="E7" s="194" t="s">
        <v>243</v>
      </c>
      <c r="F7" s="194" t="s">
        <v>244</v>
      </c>
      <c r="G7" s="194" t="s">
        <v>245</v>
      </c>
      <c r="H7" s="194" t="s">
        <v>246</v>
      </c>
      <c r="I7" s="202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4">
        <v>8</v>
      </c>
      <c r="I8" s="202"/>
    </row>
    <row r="9" spans="1:12" ht="15" x14ac:dyDescent="0.25">
      <c r="A9" s="106">
        <v>1</v>
      </c>
      <c r="B9" s="26"/>
      <c r="C9" s="26"/>
      <c r="D9" s="26"/>
      <c r="E9" s="26"/>
      <c r="F9" s="26"/>
      <c r="G9" s="215"/>
      <c r="H9" s="26"/>
      <c r="I9" s="202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5"/>
      <c r="H10" s="26"/>
      <c r="I10" s="202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5"/>
      <c r="H11" s="26"/>
      <c r="I11" s="202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5"/>
      <c r="H12" s="26"/>
      <c r="I12" s="202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5"/>
      <c r="H13" s="26"/>
      <c r="I13" s="202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5"/>
      <c r="H14" s="26"/>
      <c r="I14" s="202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5"/>
      <c r="H15" s="26"/>
      <c r="I15" s="202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5"/>
      <c r="H16" s="26"/>
      <c r="I16" s="202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5"/>
      <c r="H17" s="26"/>
      <c r="I17" s="202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5"/>
      <c r="H18" s="26"/>
      <c r="I18" s="202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5"/>
      <c r="H19" s="26"/>
      <c r="I19" s="202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5"/>
      <c r="H20" s="26"/>
      <c r="I20" s="202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5"/>
      <c r="H21" s="26"/>
      <c r="I21" s="202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5"/>
      <c r="H22" s="26"/>
      <c r="I22" s="202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5"/>
      <c r="H23" s="26"/>
      <c r="I23" s="202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5"/>
      <c r="H24" s="26"/>
      <c r="I24" s="202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5"/>
      <c r="H25" s="26"/>
      <c r="I25" s="202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5"/>
      <c r="H26" s="26"/>
      <c r="I26" s="202"/>
      <c r="J26" s="101"/>
      <c r="K26" s="101"/>
      <c r="L26" s="101"/>
    </row>
    <row r="27" spans="1:12" s="23" customFormat="1" ht="15" x14ac:dyDescent="0.25">
      <c r="A27" s="106" t="s">
        <v>284</v>
      </c>
      <c r="B27" s="26"/>
      <c r="C27" s="26"/>
      <c r="D27" s="26"/>
      <c r="E27" s="26"/>
      <c r="F27" s="26"/>
      <c r="G27" s="215"/>
      <c r="H27" s="26"/>
      <c r="I27" s="202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5" t="s">
        <v>312</v>
      </c>
      <c r="B1" s="196"/>
      <c r="C1" s="196"/>
      <c r="D1" s="196"/>
      <c r="E1" s="196"/>
      <c r="F1" s="196"/>
      <c r="G1" s="196"/>
      <c r="H1" s="202"/>
      <c r="I1" s="120" t="s">
        <v>199</v>
      </c>
      <c r="J1" s="209"/>
    </row>
    <row r="2" spans="1:12" s="23" customFormat="1" ht="15" x14ac:dyDescent="0.3">
      <c r="A2" s="162" t="s">
        <v>141</v>
      </c>
      <c r="B2" s="196"/>
      <c r="C2" s="196"/>
      <c r="D2" s="196"/>
      <c r="E2" s="196"/>
      <c r="F2" s="196"/>
      <c r="G2" s="196"/>
      <c r="H2" s="202"/>
      <c r="I2" s="410" t="s">
        <v>609</v>
      </c>
      <c r="J2" s="411"/>
    </row>
    <row r="3" spans="1:12" s="2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J3" s="209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5"/>
      <c r="F4" s="196"/>
      <c r="G4" s="196"/>
      <c r="H4" s="196"/>
      <c r="I4" s="205"/>
      <c r="J4" s="161"/>
      <c r="L4" s="23"/>
    </row>
    <row r="5" spans="1:12" s="2" customFormat="1" ht="15" x14ac:dyDescent="0.3">
      <c r="A5" s="274" t="s">
        <v>610</v>
      </c>
      <c r="B5" s="178"/>
      <c r="C5" s="178"/>
      <c r="D5" s="178"/>
      <c r="E5" s="206"/>
      <c r="F5" s="207"/>
      <c r="G5" s="207"/>
      <c r="H5" s="207"/>
      <c r="I5" s="206"/>
      <c r="J5" s="161"/>
    </row>
    <row r="6" spans="1:12" s="23" customFormat="1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204"/>
    </row>
    <row r="7" spans="1:12" ht="30" x14ac:dyDescent="0.2">
      <c r="A7" s="208" t="s">
        <v>64</v>
      </c>
      <c r="B7" s="192" t="s">
        <v>251</v>
      </c>
      <c r="C7" s="194" t="s">
        <v>247</v>
      </c>
      <c r="D7" s="194" t="s">
        <v>248</v>
      </c>
      <c r="E7" s="194" t="s">
        <v>249</v>
      </c>
      <c r="F7" s="194" t="s">
        <v>250</v>
      </c>
      <c r="G7" s="194" t="s">
        <v>244</v>
      </c>
      <c r="H7" s="194" t="s">
        <v>245</v>
      </c>
      <c r="I7" s="194" t="s">
        <v>246</v>
      </c>
      <c r="J7" s="210"/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210"/>
    </row>
    <row r="9" spans="1:12" ht="15" x14ac:dyDescent="0.25">
      <c r="A9" s="106">
        <v>1</v>
      </c>
      <c r="B9" s="26"/>
      <c r="C9" s="26"/>
      <c r="D9" s="26"/>
      <c r="E9" s="26"/>
      <c r="F9" s="26"/>
      <c r="G9" s="26"/>
      <c r="H9" s="215"/>
      <c r="I9" s="26"/>
      <c r="J9" s="210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5"/>
      <c r="I10" s="26"/>
      <c r="J10" s="210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5"/>
      <c r="I11" s="26"/>
      <c r="J11" s="210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5"/>
      <c r="I12" s="26"/>
      <c r="J12" s="210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5"/>
      <c r="I13" s="26"/>
      <c r="J13" s="210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5"/>
      <c r="I14" s="26"/>
      <c r="J14" s="210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5"/>
      <c r="I15" s="26"/>
      <c r="J15" s="204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5"/>
      <c r="I16" s="26"/>
      <c r="J16" s="204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5"/>
      <c r="I17" s="26"/>
      <c r="J17" s="204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5"/>
      <c r="I18" s="26"/>
      <c r="J18" s="204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5"/>
      <c r="I19" s="26"/>
      <c r="J19" s="204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5"/>
      <c r="I20" s="26"/>
      <c r="J20" s="204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5"/>
      <c r="I21" s="26"/>
      <c r="J21" s="204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5"/>
      <c r="I22" s="26"/>
      <c r="J22" s="204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5"/>
      <c r="I23" s="26"/>
      <c r="J23" s="204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5"/>
      <c r="I24" s="26"/>
      <c r="J24" s="204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5"/>
      <c r="I25" s="26"/>
      <c r="J25" s="204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5"/>
      <c r="I26" s="26"/>
      <c r="J26" s="204"/>
    </row>
    <row r="27" spans="1:10" s="23" customFormat="1" ht="15" x14ac:dyDescent="0.25">
      <c r="A27" s="106" t="s">
        <v>284</v>
      </c>
      <c r="B27" s="26"/>
      <c r="C27" s="26"/>
      <c r="D27" s="26"/>
      <c r="E27" s="26"/>
      <c r="F27" s="26"/>
      <c r="G27" s="26"/>
      <c r="H27" s="215"/>
      <c r="I27" s="26"/>
      <c r="J27" s="204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A5" sqref="A5"/>
    </sheetView>
  </sheetViews>
  <sheetFormatPr defaultRowHeight="12.75" x14ac:dyDescent="0.2"/>
  <cols>
    <col min="1" max="1" width="4.85546875" style="287" customWidth="1"/>
    <col min="2" max="2" width="37.42578125" style="287" customWidth="1"/>
    <col min="3" max="3" width="21.5703125" style="287" customWidth="1"/>
    <col min="4" max="4" width="20" style="287" customWidth="1"/>
    <col min="5" max="5" width="18.7109375" style="287" customWidth="1"/>
    <col min="6" max="6" width="24.140625" style="287" customWidth="1"/>
    <col min="7" max="7" width="27.140625" style="287" customWidth="1"/>
    <col min="8" max="8" width="0.7109375" style="287" customWidth="1"/>
    <col min="9" max="16384" width="9.140625" style="287"/>
  </cols>
  <sheetData>
    <row r="1" spans="1:8" s="271" customFormat="1" ht="15" x14ac:dyDescent="0.2">
      <c r="A1" s="268" t="s">
        <v>332</v>
      </c>
      <c r="B1" s="269"/>
      <c r="C1" s="269"/>
      <c r="D1" s="269"/>
      <c r="E1" s="269"/>
      <c r="F1" s="120"/>
      <c r="G1" s="120" t="s">
        <v>110</v>
      </c>
      <c r="H1" s="272"/>
    </row>
    <row r="2" spans="1:8" s="271" customFormat="1" ht="15" x14ac:dyDescent="0.2">
      <c r="A2" s="272" t="s">
        <v>323</v>
      </c>
      <c r="B2" s="269"/>
      <c r="C2" s="269"/>
      <c r="D2" s="269"/>
      <c r="E2" s="270"/>
      <c r="F2" s="270"/>
      <c r="G2" s="410" t="s">
        <v>609</v>
      </c>
      <c r="H2" s="411"/>
    </row>
    <row r="3" spans="1:8" s="271" customFormat="1" x14ac:dyDescent="0.2">
      <c r="A3" s="272"/>
      <c r="B3" s="269"/>
      <c r="C3" s="269"/>
      <c r="D3" s="269"/>
      <c r="E3" s="270"/>
      <c r="F3" s="270"/>
      <c r="G3" s="270"/>
      <c r="H3" s="272"/>
    </row>
    <row r="4" spans="1:8" s="271" customFormat="1" ht="15" x14ac:dyDescent="0.3">
      <c r="A4" s="173" t="s">
        <v>277</v>
      </c>
      <c r="B4" s="269"/>
      <c r="C4" s="269"/>
      <c r="D4" s="269"/>
      <c r="E4" s="273"/>
      <c r="F4" s="273"/>
      <c r="G4" s="270"/>
      <c r="H4" s="272"/>
    </row>
    <row r="5" spans="1:8" s="271" customFormat="1" x14ac:dyDescent="0.2">
      <c r="A5" s="274" t="s">
        <v>610</v>
      </c>
      <c r="B5" s="274"/>
      <c r="C5" s="274"/>
      <c r="D5" s="274"/>
      <c r="E5" s="274"/>
      <c r="F5" s="274"/>
      <c r="G5" s="275"/>
      <c r="H5" s="272"/>
    </row>
    <row r="6" spans="1:8" s="288" customFormat="1" x14ac:dyDescent="0.2">
      <c r="A6" s="276"/>
      <c r="B6" s="276"/>
      <c r="C6" s="276"/>
      <c r="D6" s="276"/>
      <c r="E6" s="276"/>
      <c r="F6" s="276"/>
      <c r="G6" s="276"/>
      <c r="H6" s="273"/>
    </row>
    <row r="7" spans="1:8" s="271" customFormat="1" ht="51" x14ac:dyDescent="0.2">
      <c r="A7" s="307" t="s">
        <v>64</v>
      </c>
      <c r="B7" s="279" t="s">
        <v>327</v>
      </c>
      <c r="C7" s="279" t="s">
        <v>328</v>
      </c>
      <c r="D7" s="279" t="s">
        <v>329</v>
      </c>
      <c r="E7" s="279" t="s">
        <v>330</v>
      </c>
      <c r="F7" s="279" t="s">
        <v>331</v>
      </c>
      <c r="G7" s="279" t="s">
        <v>324</v>
      </c>
      <c r="H7" s="272"/>
    </row>
    <row r="8" spans="1:8" s="271" customFormat="1" x14ac:dyDescent="0.2">
      <c r="A8" s="277">
        <v>1</v>
      </c>
      <c r="B8" s="278">
        <v>2</v>
      </c>
      <c r="C8" s="278">
        <v>3</v>
      </c>
      <c r="D8" s="278">
        <v>4</v>
      </c>
      <c r="E8" s="279">
        <v>5</v>
      </c>
      <c r="F8" s="279">
        <v>6</v>
      </c>
      <c r="G8" s="279">
        <v>7</v>
      </c>
      <c r="H8" s="272"/>
    </row>
    <row r="9" spans="1:8" s="271" customFormat="1" x14ac:dyDescent="0.2">
      <c r="A9" s="289">
        <v>1</v>
      </c>
      <c r="B9" s="280"/>
      <c r="C9" s="280"/>
      <c r="D9" s="281"/>
      <c r="E9" s="280"/>
      <c r="F9" s="280"/>
      <c r="G9" s="280"/>
      <c r="H9" s="272"/>
    </row>
    <row r="10" spans="1:8" s="271" customFormat="1" x14ac:dyDescent="0.2">
      <c r="A10" s="289">
        <v>2</v>
      </c>
      <c r="B10" s="280"/>
      <c r="C10" s="280"/>
      <c r="D10" s="281"/>
      <c r="E10" s="280"/>
      <c r="F10" s="280"/>
      <c r="G10" s="280"/>
      <c r="H10" s="272"/>
    </row>
    <row r="11" spans="1:8" s="271" customFormat="1" x14ac:dyDescent="0.2">
      <c r="A11" s="289">
        <v>3</v>
      </c>
      <c r="B11" s="280"/>
      <c r="C11" s="280"/>
      <c r="D11" s="281"/>
      <c r="E11" s="280"/>
      <c r="F11" s="280"/>
      <c r="G11" s="280"/>
      <c r="H11" s="272"/>
    </row>
    <row r="12" spans="1:8" s="271" customFormat="1" x14ac:dyDescent="0.2">
      <c r="A12" s="289">
        <v>4</v>
      </c>
      <c r="B12" s="280"/>
      <c r="C12" s="280"/>
      <c r="D12" s="281"/>
      <c r="E12" s="280"/>
      <c r="F12" s="280"/>
      <c r="G12" s="280"/>
      <c r="H12" s="272"/>
    </row>
    <row r="13" spans="1:8" s="271" customFormat="1" x14ac:dyDescent="0.2">
      <c r="A13" s="289">
        <v>5</v>
      </c>
      <c r="B13" s="280"/>
      <c r="C13" s="280"/>
      <c r="D13" s="281"/>
      <c r="E13" s="280"/>
      <c r="F13" s="280"/>
      <c r="G13" s="280"/>
      <c r="H13" s="272"/>
    </row>
    <row r="14" spans="1:8" s="271" customFormat="1" x14ac:dyDescent="0.2">
      <c r="A14" s="289">
        <v>6</v>
      </c>
      <c r="B14" s="280"/>
      <c r="C14" s="280"/>
      <c r="D14" s="281"/>
      <c r="E14" s="280"/>
      <c r="F14" s="280"/>
      <c r="G14" s="280"/>
      <c r="H14" s="272"/>
    </row>
    <row r="15" spans="1:8" s="271" customFormat="1" x14ac:dyDescent="0.2">
      <c r="A15" s="289">
        <v>7</v>
      </c>
      <c r="B15" s="280"/>
      <c r="C15" s="280"/>
      <c r="D15" s="281"/>
      <c r="E15" s="280"/>
      <c r="F15" s="280"/>
      <c r="G15" s="280"/>
      <c r="H15" s="272"/>
    </row>
    <row r="16" spans="1:8" s="271" customFormat="1" x14ac:dyDescent="0.2">
      <c r="A16" s="289">
        <v>8</v>
      </c>
      <c r="B16" s="280"/>
      <c r="C16" s="280"/>
      <c r="D16" s="281"/>
      <c r="E16" s="280"/>
      <c r="F16" s="280"/>
      <c r="G16" s="280"/>
      <c r="H16" s="272"/>
    </row>
    <row r="17" spans="1:11" s="271" customFormat="1" x14ac:dyDescent="0.2">
      <c r="A17" s="289">
        <v>9</v>
      </c>
      <c r="B17" s="280"/>
      <c r="C17" s="280"/>
      <c r="D17" s="281"/>
      <c r="E17" s="280"/>
      <c r="F17" s="280"/>
      <c r="G17" s="280"/>
      <c r="H17" s="272"/>
    </row>
    <row r="18" spans="1:11" s="271" customFormat="1" x14ac:dyDescent="0.2">
      <c r="A18" s="289">
        <v>10</v>
      </c>
      <c r="B18" s="280"/>
      <c r="C18" s="280"/>
      <c r="D18" s="281"/>
      <c r="E18" s="280"/>
      <c r="F18" s="280"/>
      <c r="G18" s="280"/>
      <c r="H18" s="272"/>
    </row>
    <row r="19" spans="1:11" s="271" customFormat="1" x14ac:dyDescent="0.2">
      <c r="A19" s="289" t="s">
        <v>281</v>
      </c>
      <c r="B19" s="280"/>
      <c r="C19" s="280"/>
      <c r="D19" s="281"/>
      <c r="E19" s="280"/>
      <c r="F19" s="280"/>
      <c r="G19" s="280"/>
      <c r="H19" s="272"/>
    </row>
    <row r="22" spans="1:11" s="271" customFormat="1" x14ac:dyDescent="0.2"/>
    <row r="23" spans="1:11" s="271" customFormat="1" x14ac:dyDescent="0.2"/>
    <row r="24" spans="1:11" s="21" customFormat="1" ht="15" x14ac:dyDescent="0.3">
      <c r="B24" s="282" t="s">
        <v>107</v>
      </c>
      <c r="C24" s="282"/>
    </row>
    <row r="25" spans="1:11" s="21" customFormat="1" ht="15" x14ac:dyDescent="0.3">
      <c r="B25" s="282"/>
      <c r="C25" s="282"/>
    </row>
    <row r="26" spans="1:11" s="21" customFormat="1" ht="15" x14ac:dyDescent="0.3">
      <c r="C26" s="284"/>
      <c r="F26" s="284"/>
      <c r="G26" s="284"/>
      <c r="H26" s="283"/>
    </row>
    <row r="27" spans="1:11" s="21" customFormat="1" ht="15" x14ac:dyDescent="0.3">
      <c r="C27" s="285" t="s">
        <v>271</v>
      </c>
      <c r="F27" s="282" t="s">
        <v>325</v>
      </c>
      <c r="J27" s="283"/>
      <c r="K27" s="283"/>
    </row>
    <row r="28" spans="1:11" s="21" customFormat="1" ht="15" x14ac:dyDescent="0.3">
      <c r="C28" s="285" t="s">
        <v>140</v>
      </c>
      <c r="F28" s="286" t="s">
        <v>272</v>
      </c>
      <c r="J28" s="283"/>
      <c r="K28" s="283"/>
    </row>
    <row r="29" spans="1:11" s="271" customFormat="1" ht="15" x14ac:dyDescent="0.3">
      <c r="C29" s="285"/>
      <c r="J29" s="288"/>
      <c r="K29" s="28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307</v>
      </c>
      <c r="B1" s="118"/>
      <c r="C1" s="412" t="s">
        <v>110</v>
      </c>
      <c r="D1" s="412"/>
      <c r="E1" s="167"/>
    </row>
    <row r="2" spans="1:7" x14ac:dyDescent="0.3">
      <c r="A2" s="118" t="s">
        <v>141</v>
      </c>
      <c r="B2" s="118"/>
      <c r="C2" s="410" t="s">
        <v>609</v>
      </c>
      <c r="D2" s="411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274" t="s">
        <v>610</v>
      </c>
      <c r="B5" s="12"/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16">
        <v>1</v>
      </c>
      <c r="B9" s="316" t="s">
        <v>65</v>
      </c>
      <c r="C9" s="127">
        <f>C12</f>
        <v>834600</v>
      </c>
      <c r="D9" s="127">
        <f>D12</f>
        <v>834600</v>
      </c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>
        <f>SUM(C11,C12,C15,C18,C24)</f>
        <v>834600</v>
      </c>
      <c r="D10" s="127">
        <f>SUM(D11,D12,D15,D18,D23,D24)</f>
        <v>834600</v>
      </c>
      <c r="E10" s="167"/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314</v>
      </c>
      <c r="C12" s="164">
        <f>C13</f>
        <v>834600</v>
      </c>
      <c r="D12" s="164">
        <f>D13</f>
        <v>834600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317</v>
      </c>
      <c r="C13" s="8">
        <f>'ფორმა N1'!D72</f>
        <v>834600</v>
      </c>
      <c r="D13" s="8">
        <f>C13</f>
        <v>834600</v>
      </c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67"/>
    </row>
    <row r="16" spans="1:7" s="3" customFormat="1" ht="16.5" customHeight="1" x14ac:dyDescent="0.3">
      <c r="A16" s="139" t="s">
        <v>84</v>
      </c>
      <c r="B16" s="139" t="s">
        <v>86</v>
      </c>
      <c r="C16" s="8"/>
      <c r="D16" s="8"/>
      <c r="E16" s="167"/>
    </row>
    <row r="17" spans="1:6" s="3" customFormat="1" ht="30" x14ac:dyDescent="0.3">
      <c r="A17" s="139" t="s">
        <v>85</v>
      </c>
      <c r="B17" s="139" t="s">
        <v>111</v>
      </c>
      <c r="C17" s="8"/>
      <c r="D17" s="8"/>
      <c r="E17" s="167"/>
    </row>
    <row r="18" spans="1:6" s="3" customFormat="1" ht="16.5" customHeigh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455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456</v>
      </c>
      <c r="C23" s="357"/>
      <c r="D23" s="8"/>
      <c r="E23" s="167"/>
    </row>
    <row r="24" spans="1:6" s="3" customFormat="1" x14ac:dyDescent="0.3">
      <c r="A24" s="130" t="s">
        <v>254</v>
      </c>
      <c r="B24" s="130" t="s">
        <v>462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24" t="s">
        <v>98</v>
      </c>
      <c r="B27" s="324" t="s">
        <v>315</v>
      </c>
      <c r="C27" s="8"/>
      <c r="D27" s="8"/>
      <c r="E27" s="167"/>
    </row>
    <row r="28" spans="1:6" x14ac:dyDescent="0.3">
      <c r="A28" s="324" t="s">
        <v>99</v>
      </c>
      <c r="B28" s="324" t="s">
        <v>318</v>
      </c>
      <c r="C28" s="8"/>
      <c r="D28" s="8"/>
      <c r="E28" s="167"/>
    </row>
    <row r="29" spans="1:6" x14ac:dyDescent="0.3">
      <c r="A29" s="324" t="s">
        <v>465</v>
      </c>
      <c r="B29" s="324" t="s">
        <v>316</v>
      </c>
      <c r="C29" s="8"/>
      <c r="D29" s="8"/>
      <c r="E29" s="167"/>
    </row>
    <row r="30" spans="1:6" x14ac:dyDescent="0.3">
      <c r="A30" s="130" t="s">
        <v>33</v>
      </c>
      <c r="B30" s="340" t="s">
        <v>461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/>
      <c r="D32" s="27"/>
      <c r="E32" s="168"/>
      <c r="F32" s="27"/>
    </row>
    <row r="33" spans="1:9" x14ac:dyDescent="0.3"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view="pageBreakPreview" topLeftCell="A46" zoomScale="70" zoomScaleNormal="80" zoomScaleSheetLayoutView="70" workbookViewId="0">
      <selection activeCell="G79" sqref="G7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95" t="s">
        <v>474</v>
      </c>
      <c r="B1" s="196"/>
      <c r="C1" s="196"/>
      <c r="D1" s="196"/>
      <c r="E1" s="196"/>
      <c r="F1" s="196"/>
      <c r="G1" s="196"/>
      <c r="H1" s="196"/>
      <c r="I1" s="196"/>
      <c r="J1" s="196"/>
      <c r="K1" s="120" t="s">
        <v>110</v>
      </c>
    </row>
    <row r="2" spans="1:12" ht="15" x14ac:dyDescent="0.3">
      <c r="A2" s="162" t="s">
        <v>141</v>
      </c>
      <c r="B2" s="196"/>
      <c r="C2" s="196"/>
      <c r="D2" s="196"/>
      <c r="E2" s="196"/>
      <c r="F2" s="196"/>
      <c r="G2" s="196"/>
      <c r="H2" s="196"/>
      <c r="I2" s="196"/>
      <c r="J2" s="196"/>
      <c r="K2" s="410" t="s">
        <v>609</v>
      </c>
      <c r="L2" s="411"/>
    </row>
    <row r="3" spans="1:12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</row>
    <row r="4" spans="1:12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5"/>
      <c r="F4" s="196"/>
      <c r="G4" s="196"/>
      <c r="H4" s="196"/>
      <c r="I4" s="196"/>
      <c r="J4" s="196"/>
      <c r="K4" s="205"/>
    </row>
    <row r="5" spans="1:12" s="260" customFormat="1" ht="15" x14ac:dyDescent="0.3">
      <c r="A5" s="274" t="s">
        <v>610</v>
      </c>
      <c r="B5" s="122"/>
      <c r="C5" s="122"/>
      <c r="D5" s="122"/>
      <c r="E5" s="298"/>
      <c r="F5" s="299"/>
      <c r="G5" s="299"/>
      <c r="H5" s="299"/>
      <c r="I5" s="299"/>
      <c r="J5" s="299"/>
      <c r="K5" s="298"/>
    </row>
    <row r="6" spans="1:12" ht="13.5" x14ac:dyDescent="0.2">
      <c r="A6" s="200"/>
      <c r="B6" s="201"/>
      <c r="C6" s="201"/>
      <c r="D6" s="201"/>
      <c r="E6" s="196"/>
      <c r="F6" s="196"/>
      <c r="G6" s="196"/>
      <c r="H6" s="196"/>
      <c r="I6" s="196"/>
      <c r="J6" s="196"/>
      <c r="K6" s="196"/>
    </row>
    <row r="7" spans="1:12" ht="60" x14ac:dyDescent="0.2">
      <c r="A7" s="208" t="s">
        <v>64</v>
      </c>
      <c r="B7" s="194" t="s">
        <v>387</v>
      </c>
      <c r="C7" s="194" t="s">
        <v>388</v>
      </c>
      <c r="D7" s="194" t="s">
        <v>390</v>
      </c>
      <c r="E7" s="194" t="s">
        <v>389</v>
      </c>
      <c r="F7" s="194" t="s">
        <v>398</v>
      </c>
      <c r="G7" s="194" t="s">
        <v>399</v>
      </c>
      <c r="H7" s="194" t="s">
        <v>393</v>
      </c>
      <c r="I7" s="194" t="s">
        <v>394</v>
      </c>
      <c r="J7" s="194" t="s">
        <v>406</v>
      </c>
      <c r="K7" s="194" t="s">
        <v>395</v>
      </c>
    </row>
    <row r="8" spans="1:12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4">
        <v>9</v>
      </c>
      <c r="J8" s="192">
        <v>10</v>
      </c>
      <c r="K8" s="194">
        <v>11</v>
      </c>
    </row>
    <row r="9" spans="1:12" ht="30" x14ac:dyDescent="0.2">
      <c r="A9" s="106">
        <v>1</v>
      </c>
      <c r="B9" s="26" t="s">
        <v>890</v>
      </c>
      <c r="C9" s="26" t="s">
        <v>891</v>
      </c>
      <c r="D9" s="26" t="s">
        <v>892</v>
      </c>
      <c r="E9" s="26" t="s">
        <v>893</v>
      </c>
      <c r="F9" s="396">
        <f>562.5+1125</f>
        <v>1687.5</v>
      </c>
      <c r="G9" s="26"/>
      <c r="H9" s="295"/>
      <c r="I9" s="295"/>
      <c r="J9" s="295">
        <v>61010003569</v>
      </c>
      <c r="K9" s="26" t="s">
        <v>894</v>
      </c>
    </row>
    <row r="10" spans="1:12" ht="30" x14ac:dyDescent="0.2">
      <c r="A10" s="106">
        <v>2</v>
      </c>
      <c r="B10" s="26" t="s">
        <v>895</v>
      </c>
      <c r="C10" s="26" t="s">
        <v>891</v>
      </c>
      <c r="D10" s="26" t="s">
        <v>896</v>
      </c>
      <c r="E10" s="26" t="s">
        <v>897</v>
      </c>
      <c r="F10" s="396">
        <v>900</v>
      </c>
      <c r="G10" s="26">
        <v>1024034838</v>
      </c>
      <c r="H10" s="295" t="s">
        <v>844</v>
      </c>
      <c r="I10" s="295" t="s">
        <v>845</v>
      </c>
      <c r="J10" s="295"/>
      <c r="K10" s="26"/>
    </row>
    <row r="11" spans="1:12" ht="30" x14ac:dyDescent="0.2">
      <c r="A11" s="106">
        <v>3</v>
      </c>
      <c r="B11" s="26" t="s">
        <v>898</v>
      </c>
      <c r="C11" s="26" t="s">
        <v>891</v>
      </c>
      <c r="D11" s="26" t="s">
        <v>896</v>
      </c>
      <c r="E11" s="26" t="s">
        <v>899</v>
      </c>
      <c r="F11" s="396">
        <v>562.5</v>
      </c>
      <c r="G11" s="26">
        <v>29001003248</v>
      </c>
      <c r="H11" s="295" t="s">
        <v>900</v>
      </c>
      <c r="I11" s="295" t="s">
        <v>901</v>
      </c>
      <c r="J11" s="295"/>
      <c r="K11" s="26"/>
    </row>
    <row r="12" spans="1:12" ht="30" x14ac:dyDescent="0.2">
      <c r="A12" s="106">
        <v>4</v>
      </c>
      <c r="B12" s="26" t="s">
        <v>902</v>
      </c>
      <c r="C12" s="26" t="s">
        <v>891</v>
      </c>
      <c r="D12" s="26" t="s">
        <v>892</v>
      </c>
      <c r="E12" s="26" t="s">
        <v>903</v>
      </c>
      <c r="F12" s="396">
        <f>1000+1000</f>
        <v>2000</v>
      </c>
      <c r="G12" s="26">
        <v>65002011766</v>
      </c>
      <c r="H12" s="295" t="s">
        <v>487</v>
      </c>
      <c r="I12" s="295" t="s">
        <v>643</v>
      </c>
      <c r="J12" s="295"/>
      <c r="K12" s="26"/>
    </row>
    <row r="13" spans="1:12" ht="15" x14ac:dyDescent="0.2">
      <c r="A13" s="106">
        <v>5</v>
      </c>
      <c r="B13" s="26"/>
      <c r="C13" s="26"/>
      <c r="D13" s="26"/>
      <c r="E13" s="26"/>
      <c r="F13" s="396">
        <f>500+250</f>
        <v>750</v>
      </c>
      <c r="G13" s="26">
        <v>17001011188</v>
      </c>
      <c r="H13" s="295" t="s">
        <v>551</v>
      </c>
      <c r="I13" s="295" t="s">
        <v>904</v>
      </c>
      <c r="J13" s="295"/>
      <c r="K13" s="26"/>
    </row>
    <row r="14" spans="1:12" ht="30" x14ac:dyDescent="0.2">
      <c r="A14" s="106">
        <v>6</v>
      </c>
      <c r="B14" s="26" t="s">
        <v>905</v>
      </c>
      <c r="C14" s="26" t="s">
        <v>891</v>
      </c>
      <c r="D14" s="26" t="s">
        <v>892</v>
      </c>
      <c r="E14" s="26" t="s">
        <v>906</v>
      </c>
      <c r="F14" s="396">
        <f>875+2548.5+1082.75</f>
        <v>4506.25</v>
      </c>
      <c r="G14" s="26">
        <v>1024017142</v>
      </c>
      <c r="H14" s="295" t="s">
        <v>907</v>
      </c>
      <c r="I14" s="295" t="s">
        <v>908</v>
      </c>
      <c r="J14" s="295"/>
      <c r="K14" s="26"/>
    </row>
    <row r="15" spans="1:12" ht="15" x14ac:dyDescent="0.2">
      <c r="A15" s="106">
        <v>7</v>
      </c>
      <c r="B15" s="26" t="s">
        <v>909</v>
      </c>
      <c r="C15" s="26" t="s">
        <v>891</v>
      </c>
      <c r="D15" s="26" t="s">
        <v>896</v>
      </c>
      <c r="E15" s="26" t="s">
        <v>910</v>
      </c>
      <c r="F15" s="396">
        <f>1640+1650+4002.34+1645+1650</f>
        <v>10587.34</v>
      </c>
      <c r="G15" s="26">
        <v>53001001979</v>
      </c>
      <c r="H15" s="295" t="s">
        <v>911</v>
      </c>
      <c r="I15" s="295" t="s">
        <v>912</v>
      </c>
      <c r="J15" s="295"/>
      <c r="K15" s="26"/>
    </row>
    <row r="16" spans="1:12" ht="30" x14ac:dyDescent="0.2">
      <c r="A16" s="106">
        <v>8</v>
      </c>
      <c r="B16" s="26" t="s">
        <v>913</v>
      </c>
      <c r="C16" s="26" t="s">
        <v>891</v>
      </c>
      <c r="D16" s="26" t="s">
        <v>914</v>
      </c>
      <c r="E16" s="26" t="s">
        <v>915</v>
      </c>
      <c r="F16" s="396">
        <f>750+750+750+750</f>
        <v>3000</v>
      </c>
      <c r="G16" s="26"/>
      <c r="H16" s="295"/>
      <c r="I16" s="295"/>
      <c r="J16" s="295">
        <v>229275913</v>
      </c>
      <c r="K16" s="26" t="s">
        <v>916</v>
      </c>
    </row>
    <row r="17" spans="1:11" ht="30" x14ac:dyDescent="0.2">
      <c r="A17" s="106">
        <v>9</v>
      </c>
      <c r="B17" s="26" t="s">
        <v>917</v>
      </c>
      <c r="C17" s="26" t="s">
        <v>891</v>
      </c>
      <c r="D17" s="26" t="s">
        <v>896</v>
      </c>
      <c r="E17" s="26" t="s">
        <v>918</v>
      </c>
      <c r="F17" s="396">
        <f>312.5+312.5+312.5</f>
        <v>937.5</v>
      </c>
      <c r="G17" s="26">
        <v>51001019810</v>
      </c>
      <c r="H17" s="295" t="s">
        <v>725</v>
      </c>
      <c r="I17" s="295" t="s">
        <v>839</v>
      </c>
      <c r="J17" s="295"/>
      <c r="K17" s="26"/>
    </row>
    <row r="18" spans="1:11" ht="30" x14ac:dyDescent="0.2">
      <c r="A18" s="106">
        <v>10</v>
      </c>
      <c r="B18" s="26" t="s">
        <v>919</v>
      </c>
      <c r="C18" s="26" t="s">
        <v>891</v>
      </c>
      <c r="D18" s="26" t="s">
        <v>896</v>
      </c>
      <c r="E18" s="26" t="s">
        <v>920</v>
      </c>
      <c r="F18" s="396">
        <f>250+625</f>
        <v>875</v>
      </c>
      <c r="G18" s="26">
        <v>48001018930</v>
      </c>
      <c r="H18" s="295" t="s">
        <v>921</v>
      </c>
      <c r="I18" s="295" t="s">
        <v>922</v>
      </c>
      <c r="J18" s="295"/>
      <c r="K18" s="26"/>
    </row>
    <row r="19" spans="1:11" ht="30" x14ac:dyDescent="0.2">
      <c r="A19" s="106">
        <v>11</v>
      </c>
      <c r="B19" s="396" t="s">
        <v>923</v>
      </c>
      <c r="C19" s="396" t="s">
        <v>891</v>
      </c>
      <c r="D19" s="396" t="s">
        <v>896</v>
      </c>
      <c r="E19" s="396" t="s">
        <v>924</v>
      </c>
      <c r="F19" s="396">
        <f>375+2250+375+375</f>
        <v>3375</v>
      </c>
      <c r="G19" s="26">
        <v>26001003399</v>
      </c>
      <c r="H19" s="295" t="s">
        <v>925</v>
      </c>
      <c r="I19" s="295" t="s">
        <v>926</v>
      </c>
      <c r="J19" s="295"/>
      <c r="K19" s="26"/>
    </row>
    <row r="20" spans="1:11" ht="30" x14ac:dyDescent="0.2">
      <c r="A20" s="106">
        <v>12</v>
      </c>
      <c r="B20" s="26" t="s">
        <v>927</v>
      </c>
      <c r="C20" s="26" t="s">
        <v>891</v>
      </c>
      <c r="D20" s="26" t="s">
        <v>896</v>
      </c>
      <c r="E20" s="26" t="s">
        <v>928</v>
      </c>
      <c r="F20" s="396">
        <f>687.5+687.5</f>
        <v>1375</v>
      </c>
      <c r="G20" s="26">
        <v>61009018914</v>
      </c>
      <c r="H20" s="295" t="s">
        <v>644</v>
      </c>
      <c r="I20" s="295" t="s">
        <v>929</v>
      </c>
      <c r="J20" s="295"/>
      <c r="K20" s="26"/>
    </row>
    <row r="21" spans="1:11" ht="30" x14ac:dyDescent="0.2">
      <c r="A21" s="106">
        <v>13</v>
      </c>
      <c r="B21" s="396" t="s">
        <v>930</v>
      </c>
      <c r="C21" s="396" t="s">
        <v>891</v>
      </c>
      <c r="D21" s="396" t="s">
        <v>896</v>
      </c>
      <c r="E21" s="396" t="s">
        <v>910</v>
      </c>
      <c r="F21" s="396">
        <f>1645.7+1646+1645+1645</f>
        <v>6581.7</v>
      </c>
      <c r="G21" s="26">
        <v>60001090908</v>
      </c>
      <c r="H21" s="295" t="s">
        <v>517</v>
      </c>
      <c r="I21" s="295" t="s">
        <v>931</v>
      </c>
      <c r="J21" s="295"/>
      <c r="K21" s="26"/>
    </row>
    <row r="22" spans="1:11" ht="30" x14ac:dyDescent="0.2">
      <c r="A22" s="106">
        <v>20</v>
      </c>
      <c r="B22" s="26" t="s">
        <v>932</v>
      </c>
      <c r="C22" s="26" t="s">
        <v>891</v>
      </c>
      <c r="D22" s="26" t="s">
        <v>933</v>
      </c>
      <c r="E22" s="26" t="s">
        <v>934</v>
      </c>
      <c r="F22" s="396">
        <f>2170+300+15012+75.36</f>
        <v>17557.36</v>
      </c>
      <c r="G22" s="106">
        <v>1008011590</v>
      </c>
      <c r="H22" s="295" t="s">
        <v>935</v>
      </c>
      <c r="I22" s="295" t="s">
        <v>936</v>
      </c>
      <c r="J22" s="295"/>
      <c r="K22" s="26"/>
    </row>
    <row r="23" spans="1:11" ht="30" x14ac:dyDescent="0.2">
      <c r="A23" s="106">
        <v>21</v>
      </c>
      <c r="B23" s="26" t="s">
        <v>937</v>
      </c>
      <c r="C23" s="26" t="s">
        <v>891</v>
      </c>
      <c r="D23" s="26" t="s">
        <v>914</v>
      </c>
      <c r="E23" s="26" t="s">
        <v>938</v>
      </c>
      <c r="F23" s="396">
        <f>750+375+750</f>
        <v>1875</v>
      </c>
      <c r="G23" s="106"/>
      <c r="H23" s="295"/>
      <c r="I23" s="295"/>
      <c r="J23" s="295">
        <v>38001019287</v>
      </c>
      <c r="K23" s="26" t="s">
        <v>939</v>
      </c>
    </row>
    <row r="24" spans="1:11" ht="30" x14ac:dyDescent="0.2">
      <c r="A24" s="106">
        <v>22</v>
      </c>
      <c r="B24" s="26" t="s">
        <v>940</v>
      </c>
      <c r="C24" s="26" t="s">
        <v>891</v>
      </c>
      <c r="D24" s="26" t="s">
        <v>914</v>
      </c>
      <c r="E24" s="26" t="s">
        <v>941</v>
      </c>
      <c r="F24" s="396">
        <v>687.5</v>
      </c>
      <c r="G24" s="397" t="s">
        <v>942</v>
      </c>
      <c r="H24" s="295" t="s">
        <v>943</v>
      </c>
      <c r="I24" s="295" t="s">
        <v>944</v>
      </c>
      <c r="J24" s="295"/>
      <c r="K24" s="26"/>
    </row>
    <row r="25" spans="1:11" ht="30" x14ac:dyDescent="0.2">
      <c r="A25" s="106">
        <v>23</v>
      </c>
      <c r="B25" s="26" t="s">
        <v>945</v>
      </c>
      <c r="C25" s="26" t="s">
        <v>891</v>
      </c>
      <c r="D25" s="26" t="s">
        <v>896</v>
      </c>
      <c r="E25" s="26" t="s">
        <v>946</v>
      </c>
      <c r="F25" s="396">
        <f>1031.83+21181+1031.83</f>
        <v>23244.660000000003</v>
      </c>
      <c r="G25" s="106">
        <v>61001003625</v>
      </c>
      <c r="H25" s="295" t="s">
        <v>947</v>
      </c>
      <c r="I25" s="295" t="s">
        <v>948</v>
      </c>
      <c r="J25" s="295"/>
      <c r="K25" s="26"/>
    </row>
    <row r="26" spans="1:11" ht="30" x14ac:dyDescent="0.2">
      <c r="A26" s="106">
        <v>24</v>
      </c>
      <c r="B26" s="26" t="s">
        <v>949</v>
      </c>
      <c r="C26" s="26" t="s">
        <v>891</v>
      </c>
      <c r="D26" s="26" t="s">
        <v>896</v>
      </c>
      <c r="E26" s="26" t="s">
        <v>950</v>
      </c>
      <c r="F26" s="396">
        <f>415+766.25</f>
        <v>1181.25</v>
      </c>
      <c r="G26" s="106">
        <v>1011051411</v>
      </c>
      <c r="H26" s="295" t="s">
        <v>951</v>
      </c>
      <c r="I26" s="295" t="s">
        <v>952</v>
      </c>
      <c r="J26" s="295"/>
      <c r="K26" s="26"/>
    </row>
    <row r="27" spans="1:11" ht="15" x14ac:dyDescent="0.2">
      <c r="A27" s="106">
        <v>25</v>
      </c>
      <c r="B27" s="26" t="s">
        <v>953</v>
      </c>
      <c r="C27" s="26" t="s">
        <v>891</v>
      </c>
      <c r="D27" s="26" t="s">
        <v>914</v>
      </c>
      <c r="E27" s="26" t="s">
        <v>954</v>
      </c>
      <c r="F27" s="396">
        <f>600+625+1875</f>
        <v>3100</v>
      </c>
      <c r="G27" s="106">
        <v>59001065076</v>
      </c>
      <c r="H27" s="295" t="s">
        <v>955</v>
      </c>
      <c r="I27" s="295" t="s">
        <v>956</v>
      </c>
      <c r="J27" s="295"/>
      <c r="K27" s="26"/>
    </row>
    <row r="28" spans="1:11" ht="30" x14ac:dyDescent="0.2">
      <c r="A28" s="106">
        <v>26</v>
      </c>
      <c r="B28" s="26" t="s">
        <v>957</v>
      </c>
      <c r="C28" s="26" t="s">
        <v>891</v>
      </c>
      <c r="D28" s="26" t="s">
        <v>914</v>
      </c>
      <c r="E28" s="26" t="s">
        <v>958</v>
      </c>
      <c r="F28" s="396">
        <f>875+875</f>
        <v>1750</v>
      </c>
      <c r="G28" s="398">
        <v>390010000917</v>
      </c>
      <c r="H28" s="295" t="s">
        <v>959</v>
      </c>
      <c r="I28" s="295" t="s">
        <v>960</v>
      </c>
      <c r="J28" s="295"/>
      <c r="K28" s="26"/>
    </row>
    <row r="29" spans="1:11" ht="30" x14ac:dyDescent="0.2">
      <c r="A29" s="106">
        <v>27</v>
      </c>
      <c r="B29" s="396" t="s">
        <v>961</v>
      </c>
      <c r="C29" s="26" t="s">
        <v>891</v>
      </c>
      <c r="D29" s="26" t="s">
        <v>1064</v>
      </c>
      <c r="E29" s="26" t="s">
        <v>962</v>
      </c>
      <c r="F29" s="396">
        <v>250</v>
      </c>
      <c r="G29" s="106">
        <v>1015007690</v>
      </c>
      <c r="H29" s="295" t="s">
        <v>963</v>
      </c>
      <c r="I29" s="295" t="s">
        <v>964</v>
      </c>
      <c r="J29" s="295"/>
      <c r="K29" s="26"/>
    </row>
    <row r="30" spans="1:11" ht="30" x14ac:dyDescent="0.2">
      <c r="A30" s="106">
        <v>28</v>
      </c>
      <c r="B30" s="396" t="s">
        <v>965</v>
      </c>
      <c r="C30" s="26" t="s">
        <v>891</v>
      </c>
      <c r="D30" s="26" t="s">
        <v>896</v>
      </c>
      <c r="E30" s="26" t="s">
        <v>966</v>
      </c>
      <c r="F30" s="396">
        <f>312.5+187.5+1100</f>
        <v>1600</v>
      </c>
      <c r="G30" s="106">
        <v>33001021337</v>
      </c>
      <c r="H30" s="295" t="s">
        <v>967</v>
      </c>
      <c r="I30" s="295" t="s">
        <v>968</v>
      </c>
      <c r="J30" s="295"/>
      <c r="K30" s="26"/>
    </row>
    <row r="31" spans="1:11" ht="45" x14ac:dyDescent="0.2">
      <c r="A31" s="106">
        <v>29</v>
      </c>
      <c r="B31" s="26" t="s">
        <v>969</v>
      </c>
      <c r="C31" s="26" t="s">
        <v>891</v>
      </c>
      <c r="D31" s="26" t="s">
        <v>896</v>
      </c>
      <c r="E31" s="26" t="s">
        <v>970</v>
      </c>
      <c r="F31" s="396">
        <f>413.75+2300+412.5</f>
        <v>3126.25</v>
      </c>
      <c r="G31" s="398">
        <v>200010003107</v>
      </c>
      <c r="H31" s="295" t="s">
        <v>497</v>
      </c>
      <c r="I31" s="295" t="s">
        <v>804</v>
      </c>
      <c r="J31" s="295"/>
      <c r="K31" s="26"/>
    </row>
    <row r="32" spans="1:11" ht="15" x14ac:dyDescent="0.2">
      <c r="A32" s="106">
        <v>30</v>
      </c>
      <c r="B32" s="26" t="s">
        <v>971</v>
      </c>
      <c r="C32" s="26" t="s">
        <v>891</v>
      </c>
      <c r="D32" s="26" t="s">
        <v>896</v>
      </c>
      <c r="E32" s="26" t="s">
        <v>966</v>
      </c>
      <c r="F32" s="396">
        <f>1000+1000+6000</f>
        <v>8000</v>
      </c>
      <c r="G32" s="398">
        <v>1019012412</v>
      </c>
      <c r="H32" s="295" t="s">
        <v>737</v>
      </c>
      <c r="I32" s="295" t="s">
        <v>972</v>
      </c>
      <c r="J32" s="295"/>
      <c r="K32" s="26"/>
    </row>
    <row r="33" spans="1:11" ht="30" x14ac:dyDescent="0.2">
      <c r="A33" s="106">
        <v>31</v>
      </c>
      <c r="B33" s="26" t="s">
        <v>973</v>
      </c>
      <c r="C33" s="26" t="s">
        <v>891</v>
      </c>
      <c r="D33" s="26" t="s">
        <v>1064</v>
      </c>
      <c r="E33" s="26" t="s">
        <v>974</v>
      </c>
      <c r="F33" s="396">
        <v>375</v>
      </c>
      <c r="G33" s="106">
        <v>54001006596</v>
      </c>
      <c r="H33" s="295" t="s">
        <v>975</v>
      </c>
      <c r="I33" s="295" t="s">
        <v>976</v>
      </c>
      <c r="J33" s="295"/>
      <c r="K33" s="26"/>
    </row>
    <row r="34" spans="1:11" ht="30" x14ac:dyDescent="0.2">
      <c r="A34" s="106">
        <v>32</v>
      </c>
      <c r="B34" s="26" t="s">
        <v>977</v>
      </c>
      <c r="C34" s="26" t="s">
        <v>891</v>
      </c>
      <c r="D34" s="26" t="s">
        <v>896</v>
      </c>
      <c r="E34" s="26" t="s">
        <v>978</v>
      </c>
      <c r="F34" s="396">
        <f>1034+4920</f>
        <v>5954</v>
      </c>
      <c r="G34" s="106">
        <v>10011029592</v>
      </c>
      <c r="H34" s="295" t="s">
        <v>487</v>
      </c>
      <c r="I34" s="295" t="s">
        <v>979</v>
      </c>
      <c r="J34" s="295"/>
      <c r="K34" s="26"/>
    </row>
    <row r="35" spans="1:11" ht="30" x14ac:dyDescent="0.2">
      <c r="A35" s="106">
        <v>33</v>
      </c>
      <c r="B35" s="26" t="s">
        <v>980</v>
      </c>
      <c r="C35" s="26" t="s">
        <v>891</v>
      </c>
      <c r="D35" s="26" t="s">
        <v>914</v>
      </c>
      <c r="E35" s="26" t="s">
        <v>981</v>
      </c>
      <c r="F35" s="396">
        <f>625+1875+625</f>
        <v>3125</v>
      </c>
      <c r="G35" s="106">
        <v>35001035951</v>
      </c>
      <c r="H35" s="295" t="s">
        <v>706</v>
      </c>
      <c r="I35" s="295" t="s">
        <v>982</v>
      </c>
      <c r="J35" s="295"/>
      <c r="K35" s="26"/>
    </row>
    <row r="36" spans="1:11" ht="30" x14ac:dyDescent="0.2">
      <c r="A36" s="106">
        <v>34</v>
      </c>
      <c r="B36" s="26" t="s">
        <v>983</v>
      </c>
      <c r="C36" s="26" t="s">
        <v>891</v>
      </c>
      <c r="D36" s="26" t="s">
        <v>914</v>
      </c>
      <c r="E36" s="26" t="s">
        <v>984</v>
      </c>
      <c r="F36" s="396">
        <f>500+1500+500</f>
        <v>2500</v>
      </c>
      <c r="G36" s="397" t="s">
        <v>985</v>
      </c>
      <c r="H36" s="295" t="s">
        <v>986</v>
      </c>
      <c r="I36" s="295" t="s">
        <v>987</v>
      </c>
      <c r="J36" s="295"/>
      <c r="K36" s="26"/>
    </row>
    <row r="37" spans="1:11" ht="30" x14ac:dyDescent="0.2">
      <c r="A37" s="106">
        <v>35</v>
      </c>
      <c r="B37" s="26" t="s">
        <v>988</v>
      </c>
      <c r="C37" s="26" t="s">
        <v>891</v>
      </c>
      <c r="D37" s="26" t="s">
        <v>914</v>
      </c>
      <c r="E37" s="26" t="s">
        <v>989</v>
      </c>
      <c r="F37" s="396">
        <f>250+1000+250</f>
        <v>1500</v>
      </c>
      <c r="G37" s="106">
        <v>56001013083</v>
      </c>
      <c r="H37" s="295" t="s">
        <v>714</v>
      </c>
      <c r="I37" s="295" t="s">
        <v>990</v>
      </c>
      <c r="J37" s="295"/>
      <c r="K37" s="26"/>
    </row>
    <row r="38" spans="1:11" ht="30" x14ac:dyDescent="0.2">
      <c r="A38" s="106">
        <v>36</v>
      </c>
      <c r="B38" s="26" t="s">
        <v>991</v>
      </c>
      <c r="C38" s="26" t="s">
        <v>891</v>
      </c>
      <c r="D38" s="26" t="s">
        <v>914</v>
      </c>
      <c r="E38" s="26" t="s">
        <v>992</v>
      </c>
      <c r="F38" s="396">
        <v>1000</v>
      </c>
      <c r="G38" s="106">
        <v>19001015496</v>
      </c>
      <c r="H38" s="295" t="s">
        <v>848</v>
      </c>
      <c r="I38" s="295" t="s">
        <v>993</v>
      </c>
      <c r="J38" s="295"/>
      <c r="K38" s="26"/>
    </row>
    <row r="39" spans="1:11" ht="15" x14ac:dyDescent="0.2">
      <c r="A39" s="106">
        <v>37</v>
      </c>
      <c r="B39" s="26" t="s">
        <v>994</v>
      </c>
      <c r="C39" s="26" t="s">
        <v>891</v>
      </c>
      <c r="D39" s="26" t="s">
        <v>914</v>
      </c>
      <c r="E39" s="26" t="s">
        <v>995</v>
      </c>
      <c r="F39" s="396">
        <f>500+1500+500</f>
        <v>2500</v>
      </c>
      <c r="G39" s="106"/>
      <c r="H39" s="295"/>
      <c r="I39" s="295"/>
      <c r="J39" s="295">
        <v>15001002977</v>
      </c>
      <c r="K39" s="26" t="s">
        <v>996</v>
      </c>
    </row>
    <row r="40" spans="1:11" ht="30" x14ac:dyDescent="0.2">
      <c r="A40" s="106">
        <v>38</v>
      </c>
      <c r="B40" s="26" t="s">
        <v>997</v>
      </c>
      <c r="C40" s="26" t="s">
        <v>891</v>
      </c>
      <c r="D40" s="26" t="s">
        <v>914</v>
      </c>
      <c r="E40" s="26" t="s">
        <v>998</v>
      </c>
      <c r="F40" s="396">
        <f>375+1125+375</f>
        <v>1875</v>
      </c>
      <c r="G40" s="106"/>
      <c r="H40" s="295"/>
      <c r="I40" s="295"/>
      <c r="J40" s="295">
        <v>36001020527</v>
      </c>
      <c r="K40" s="26" t="s">
        <v>999</v>
      </c>
    </row>
    <row r="41" spans="1:11" ht="30" x14ac:dyDescent="0.2">
      <c r="A41" s="106">
        <v>39</v>
      </c>
      <c r="B41" s="26" t="s">
        <v>1000</v>
      </c>
      <c r="C41" s="26" t="s">
        <v>891</v>
      </c>
      <c r="D41" s="26" t="s">
        <v>914</v>
      </c>
      <c r="E41" s="26" t="s">
        <v>966</v>
      </c>
      <c r="F41" s="396">
        <f>625+2500</f>
        <v>3125</v>
      </c>
      <c r="G41" s="398">
        <v>130010030242</v>
      </c>
      <c r="H41" s="295" t="s">
        <v>1001</v>
      </c>
      <c r="I41" s="295" t="s">
        <v>1002</v>
      </c>
      <c r="J41" s="295"/>
      <c r="K41" s="26"/>
    </row>
    <row r="42" spans="1:11" ht="30" x14ac:dyDescent="0.2">
      <c r="A42" s="106">
        <v>40</v>
      </c>
      <c r="B42" s="396" t="s">
        <v>1003</v>
      </c>
      <c r="C42" s="26" t="s">
        <v>891</v>
      </c>
      <c r="D42" s="26" t="s">
        <v>914</v>
      </c>
      <c r="E42" s="26" t="s">
        <v>1004</v>
      </c>
      <c r="F42" s="396">
        <f>525+1470</f>
        <v>1995</v>
      </c>
      <c r="G42" s="106">
        <v>61008002560</v>
      </c>
      <c r="H42" s="295" t="s">
        <v>1005</v>
      </c>
      <c r="I42" s="295" t="s">
        <v>1006</v>
      </c>
      <c r="J42" s="295"/>
      <c r="K42" s="26"/>
    </row>
    <row r="43" spans="1:11" ht="30" x14ac:dyDescent="0.2">
      <c r="A43" s="106">
        <v>41</v>
      </c>
      <c r="B43" s="26" t="s">
        <v>1007</v>
      </c>
      <c r="C43" s="26" t="s">
        <v>891</v>
      </c>
      <c r="D43" s="26" t="s">
        <v>914</v>
      </c>
      <c r="E43" s="26" t="s">
        <v>1008</v>
      </c>
      <c r="F43" s="396">
        <f>437.5+1312.5+437.5</f>
        <v>2187.5</v>
      </c>
      <c r="G43" s="106">
        <v>1013031787</v>
      </c>
      <c r="H43" s="295" t="s">
        <v>725</v>
      </c>
      <c r="I43" s="295" t="s">
        <v>1009</v>
      </c>
      <c r="J43" s="295"/>
      <c r="K43" s="26"/>
    </row>
    <row r="44" spans="1:11" ht="30" x14ac:dyDescent="0.2">
      <c r="A44" s="106">
        <v>42</v>
      </c>
      <c r="B44" s="26" t="s">
        <v>1010</v>
      </c>
      <c r="C44" s="26" t="s">
        <v>891</v>
      </c>
      <c r="D44" s="26" t="s">
        <v>914</v>
      </c>
      <c r="E44" s="26" t="s">
        <v>1011</v>
      </c>
      <c r="F44" s="396">
        <f>625+625+1250</f>
        <v>2500</v>
      </c>
      <c r="G44" s="106">
        <v>22001002413</v>
      </c>
      <c r="H44" s="295" t="s">
        <v>580</v>
      </c>
      <c r="I44" s="295" t="s">
        <v>1012</v>
      </c>
      <c r="J44" s="295"/>
      <c r="K44" s="26"/>
    </row>
    <row r="45" spans="1:11" ht="30" x14ac:dyDescent="0.2">
      <c r="A45" s="106">
        <v>43</v>
      </c>
      <c r="B45" s="396" t="s">
        <v>1013</v>
      </c>
      <c r="C45" s="26" t="s">
        <v>891</v>
      </c>
      <c r="D45" s="26" t="s">
        <v>914</v>
      </c>
      <c r="E45" s="26" t="s">
        <v>1014</v>
      </c>
      <c r="F45" s="396">
        <f>1034+4232.36</f>
        <v>5266.36</v>
      </c>
      <c r="G45" s="106">
        <v>42001021863</v>
      </c>
      <c r="H45" s="295" t="s">
        <v>1015</v>
      </c>
      <c r="I45" s="295" t="s">
        <v>1016</v>
      </c>
      <c r="J45" s="295"/>
      <c r="K45" s="26"/>
    </row>
    <row r="46" spans="1:11" ht="30" x14ac:dyDescent="0.2">
      <c r="A46" s="106">
        <v>44</v>
      </c>
      <c r="B46" s="26" t="s">
        <v>1017</v>
      </c>
      <c r="C46" s="26" t="s">
        <v>891</v>
      </c>
      <c r="D46" s="26" t="s">
        <v>914</v>
      </c>
      <c r="E46" s="26" t="s">
        <v>1018</v>
      </c>
      <c r="F46" s="396">
        <f>600+1200</f>
        <v>1800</v>
      </c>
      <c r="G46" s="106"/>
      <c r="H46" s="295"/>
      <c r="I46" s="295"/>
      <c r="J46" s="295">
        <v>225063123</v>
      </c>
      <c r="K46" s="26" t="s">
        <v>1019</v>
      </c>
    </row>
    <row r="47" spans="1:11" ht="30" x14ac:dyDescent="0.2">
      <c r="A47" s="106">
        <v>45</v>
      </c>
      <c r="B47" s="26" t="s">
        <v>1020</v>
      </c>
      <c r="C47" s="26" t="s">
        <v>891</v>
      </c>
      <c r="D47" s="26" t="s">
        <v>914</v>
      </c>
      <c r="E47" s="26" t="s">
        <v>1021</v>
      </c>
      <c r="F47" s="396">
        <f>625+1500</f>
        <v>2125</v>
      </c>
      <c r="G47" s="106">
        <v>61006002113</v>
      </c>
      <c r="H47" s="295" t="s">
        <v>507</v>
      </c>
      <c r="I47" s="295" t="s">
        <v>1022</v>
      </c>
      <c r="J47" s="295"/>
      <c r="K47" s="26"/>
    </row>
    <row r="48" spans="1:11" ht="30" x14ac:dyDescent="0.2">
      <c r="A48" s="106">
        <v>46</v>
      </c>
      <c r="B48" s="26" t="s">
        <v>1023</v>
      </c>
      <c r="C48" s="26" t="s">
        <v>891</v>
      </c>
      <c r="D48" s="26" t="s">
        <v>914</v>
      </c>
      <c r="E48" s="26" t="s">
        <v>1024</v>
      </c>
      <c r="F48" s="396">
        <f>600+600</f>
        <v>1200</v>
      </c>
      <c r="G48" s="106">
        <v>8001030923</v>
      </c>
      <c r="H48" s="295" t="s">
        <v>718</v>
      </c>
      <c r="I48" s="295" t="s">
        <v>1025</v>
      </c>
      <c r="J48" s="295"/>
      <c r="K48" s="26"/>
    </row>
    <row r="49" spans="1:11" ht="30" x14ac:dyDescent="0.2">
      <c r="A49" s="106">
        <v>47</v>
      </c>
      <c r="B49" s="26" t="s">
        <v>1026</v>
      </c>
      <c r="C49" s="26" t="s">
        <v>891</v>
      </c>
      <c r="D49" s="26" t="s">
        <v>1059</v>
      </c>
      <c r="E49" s="26" t="s">
        <v>1027</v>
      </c>
      <c r="F49" s="396">
        <f>750+750</f>
        <v>1500</v>
      </c>
      <c r="G49" s="106">
        <v>31001001200</v>
      </c>
      <c r="H49" s="295" t="s">
        <v>812</v>
      </c>
      <c r="I49" s="295" t="s">
        <v>1028</v>
      </c>
      <c r="J49" s="295"/>
      <c r="K49" s="26"/>
    </row>
    <row r="50" spans="1:11" ht="30" x14ac:dyDescent="0.2">
      <c r="A50" s="106">
        <v>48</v>
      </c>
      <c r="B50" s="26" t="s">
        <v>1029</v>
      </c>
      <c r="C50" s="26" t="s">
        <v>891</v>
      </c>
      <c r="D50" s="26" t="s">
        <v>914</v>
      </c>
      <c r="E50" s="26" t="s">
        <v>1030</v>
      </c>
      <c r="F50" s="396">
        <f>2000+3000</f>
        <v>5000</v>
      </c>
      <c r="G50" s="106">
        <v>19001067502</v>
      </c>
      <c r="H50" s="295" t="s">
        <v>1031</v>
      </c>
      <c r="I50" s="295" t="s">
        <v>1032</v>
      </c>
      <c r="J50" s="295"/>
      <c r="K50" s="26"/>
    </row>
    <row r="51" spans="1:11" ht="30" x14ac:dyDescent="0.2">
      <c r="A51" s="106">
        <v>49</v>
      </c>
      <c r="B51" s="26" t="s">
        <v>1033</v>
      </c>
      <c r="C51" s="26" t="s">
        <v>891</v>
      </c>
      <c r="D51" s="26" t="s">
        <v>892</v>
      </c>
      <c r="E51" s="26" t="s">
        <v>1034</v>
      </c>
      <c r="F51" s="396">
        <f>500+250</f>
        <v>750</v>
      </c>
      <c r="G51" s="398">
        <v>46001003691</v>
      </c>
      <c r="H51" s="295" t="s">
        <v>1035</v>
      </c>
      <c r="I51" s="295" t="s">
        <v>702</v>
      </c>
      <c r="J51" s="295"/>
      <c r="K51" s="26"/>
    </row>
    <row r="52" spans="1:11" ht="30" x14ac:dyDescent="0.2">
      <c r="A52" s="106">
        <v>50</v>
      </c>
      <c r="B52" s="26" t="s">
        <v>1036</v>
      </c>
      <c r="C52" s="26" t="s">
        <v>891</v>
      </c>
      <c r="D52" s="26" t="s">
        <v>1059</v>
      </c>
      <c r="E52" s="26" t="s">
        <v>1037</v>
      </c>
      <c r="F52" s="396">
        <f>500+500</f>
        <v>1000</v>
      </c>
      <c r="G52" s="106">
        <v>45001000861</v>
      </c>
      <c r="H52" s="295" t="s">
        <v>959</v>
      </c>
      <c r="I52" s="295" t="s">
        <v>1038</v>
      </c>
      <c r="J52" s="295"/>
      <c r="K52" s="26"/>
    </row>
    <row r="53" spans="1:11" ht="30" x14ac:dyDescent="0.2">
      <c r="A53" s="106">
        <v>51</v>
      </c>
      <c r="B53" s="26" t="s">
        <v>1039</v>
      </c>
      <c r="C53" s="26" t="s">
        <v>891</v>
      </c>
      <c r="D53" s="26" t="s">
        <v>914</v>
      </c>
      <c r="E53" s="26" t="s">
        <v>1040</v>
      </c>
      <c r="F53" s="396">
        <v>875</v>
      </c>
      <c r="G53" s="106">
        <v>1027033467</v>
      </c>
      <c r="H53" s="295" t="s">
        <v>487</v>
      </c>
      <c r="I53" s="295" t="s">
        <v>1041</v>
      </c>
      <c r="J53" s="295"/>
      <c r="K53" s="26"/>
    </row>
    <row r="54" spans="1:11" ht="30" x14ac:dyDescent="0.2">
      <c r="A54" s="106">
        <v>52</v>
      </c>
      <c r="B54" s="26" t="s">
        <v>1042</v>
      </c>
      <c r="C54" s="26" t="s">
        <v>891</v>
      </c>
      <c r="D54" s="26" t="s">
        <v>914</v>
      </c>
      <c r="E54" s="26" t="s">
        <v>1043</v>
      </c>
      <c r="F54" s="396">
        <f>500+500</f>
        <v>1000</v>
      </c>
      <c r="G54" s="106">
        <v>25001003329</v>
      </c>
      <c r="H54" s="295" t="s">
        <v>1044</v>
      </c>
      <c r="I54" s="295" t="s">
        <v>1045</v>
      </c>
      <c r="J54" s="295"/>
      <c r="K54" s="26"/>
    </row>
    <row r="55" spans="1:11" ht="30" x14ac:dyDescent="0.2">
      <c r="A55" s="106">
        <v>53</v>
      </c>
      <c r="B55" s="26" t="s">
        <v>1046</v>
      </c>
      <c r="C55" s="26" t="s">
        <v>891</v>
      </c>
      <c r="D55" s="26" t="s">
        <v>914</v>
      </c>
      <c r="E55" s="26" t="s">
        <v>1047</v>
      </c>
      <c r="F55" s="396">
        <v>625</v>
      </c>
      <c r="G55" s="106">
        <v>52001004617</v>
      </c>
      <c r="H55" s="295" t="s">
        <v>487</v>
      </c>
      <c r="I55" s="295" t="s">
        <v>1048</v>
      </c>
      <c r="J55" s="295"/>
      <c r="K55" s="26"/>
    </row>
    <row r="56" spans="1:11" ht="30" x14ac:dyDescent="0.2">
      <c r="A56" s="106">
        <v>54</v>
      </c>
      <c r="B56" s="26" t="s">
        <v>1049</v>
      </c>
      <c r="C56" s="26" t="s">
        <v>891</v>
      </c>
      <c r="D56" s="26" t="s">
        <v>1050</v>
      </c>
      <c r="E56" s="26" t="s">
        <v>1051</v>
      </c>
      <c r="F56" s="396">
        <f>625+625</f>
        <v>1250</v>
      </c>
      <c r="G56" s="106"/>
      <c r="H56" s="295"/>
      <c r="I56" s="295"/>
      <c r="J56" s="295">
        <v>4001001710</v>
      </c>
      <c r="K56" s="26" t="s">
        <v>1052</v>
      </c>
    </row>
    <row r="57" spans="1:11" ht="45" x14ac:dyDescent="0.2">
      <c r="A57" s="106">
        <v>55</v>
      </c>
      <c r="B57" s="26" t="s">
        <v>1053</v>
      </c>
      <c r="C57" s="26" t="s">
        <v>891</v>
      </c>
      <c r="D57" s="26" t="s">
        <v>1054</v>
      </c>
      <c r="E57" s="26" t="s">
        <v>1055</v>
      </c>
      <c r="F57" s="396">
        <f>750+3000</f>
        <v>3750</v>
      </c>
      <c r="G57" s="106">
        <v>61004022579</v>
      </c>
      <c r="H57" s="295" t="s">
        <v>846</v>
      </c>
      <c r="I57" s="295" t="s">
        <v>1056</v>
      </c>
      <c r="J57" s="295"/>
      <c r="K57" s="26"/>
    </row>
    <row r="58" spans="1:11" ht="15" x14ac:dyDescent="0.2">
      <c r="A58" s="106"/>
      <c r="B58" s="396"/>
      <c r="C58" s="396" t="s">
        <v>891</v>
      </c>
      <c r="D58" s="396"/>
      <c r="E58" s="396"/>
      <c r="F58" s="396">
        <v>597.5</v>
      </c>
      <c r="G58" s="399">
        <v>43001018260</v>
      </c>
      <c r="H58" s="400" t="s">
        <v>1005</v>
      </c>
      <c r="I58" s="400" t="s">
        <v>1075</v>
      </c>
      <c r="J58" s="400"/>
      <c r="K58" s="396"/>
    </row>
    <row r="59" spans="1:11" ht="31.5" x14ac:dyDescent="0.3">
      <c r="A59" s="106">
        <v>57</v>
      </c>
      <c r="B59" s="401" t="s">
        <v>1057</v>
      </c>
      <c r="C59" s="396" t="s">
        <v>891</v>
      </c>
      <c r="D59" s="396" t="s">
        <v>892</v>
      </c>
      <c r="E59" s="396"/>
      <c r="F59" s="396">
        <v>900</v>
      </c>
      <c r="G59" s="402">
        <v>34001000413</v>
      </c>
      <c r="H59" s="400" t="s">
        <v>487</v>
      </c>
      <c r="I59" s="400" t="s">
        <v>715</v>
      </c>
      <c r="J59" s="400"/>
      <c r="K59" s="396"/>
    </row>
    <row r="60" spans="1:11" ht="30" x14ac:dyDescent="0.2">
      <c r="A60" s="106">
        <v>58</v>
      </c>
      <c r="B60" s="396" t="s">
        <v>1058</v>
      </c>
      <c r="C60" s="396" t="s">
        <v>891</v>
      </c>
      <c r="D60" s="396" t="s">
        <v>1059</v>
      </c>
      <c r="E60" s="396" t="s">
        <v>1060</v>
      </c>
      <c r="F60" s="396">
        <f>625+625</f>
        <v>1250</v>
      </c>
      <c r="G60" s="402">
        <v>23001001371</v>
      </c>
      <c r="H60" s="400" t="s">
        <v>1061</v>
      </c>
      <c r="I60" s="400" t="s">
        <v>1062</v>
      </c>
      <c r="J60" s="400"/>
      <c r="K60" s="396"/>
    </row>
    <row r="61" spans="1:11" ht="30" x14ac:dyDescent="0.2">
      <c r="A61" s="106">
        <v>59</v>
      </c>
      <c r="B61" s="396" t="s">
        <v>1063</v>
      </c>
      <c r="C61" s="396" t="s">
        <v>891</v>
      </c>
      <c r="D61" s="396" t="s">
        <v>1064</v>
      </c>
      <c r="E61" s="396" t="s">
        <v>1065</v>
      </c>
      <c r="F61" s="396">
        <v>625</v>
      </c>
      <c r="G61" s="402"/>
      <c r="H61" s="400"/>
      <c r="I61" s="400"/>
      <c r="J61" s="400">
        <v>24001002771</v>
      </c>
      <c r="K61" s="396" t="s">
        <v>1066</v>
      </c>
    </row>
    <row r="62" spans="1:11" ht="15" x14ac:dyDescent="0.2">
      <c r="A62" s="106">
        <v>60</v>
      </c>
      <c r="B62" s="396" t="s">
        <v>1067</v>
      </c>
      <c r="C62" s="396" t="s">
        <v>891</v>
      </c>
      <c r="D62" s="396" t="s">
        <v>1064</v>
      </c>
      <c r="E62" s="396" t="s">
        <v>1068</v>
      </c>
      <c r="F62" s="396">
        <v>562.5</v>
      </c>
      <c r="G62" s="402"/>
      <c r="H62" s="400"/>
      <c r="I62" s="400"/>
      <c r="J62" s="400">
        <v>44001001653</v>
      </c>
      <c r="K62" s="396" t="s">
        <v>1069</v>
      </c>
    </row>
    <row r="63" spans="1:11" ht="15" x14ac:dyDescent="0.2">
      <c r="A63" s="106">
        <v>61</v>
      </c>
      <c r="B63" s="396"/>
      <c r="C63" s="396"/>
      <c r="D63" s="396"/>
      <c r="E63" s="396"/>
      <c r="F63" s="396"/>
      <c r="G63" s="402"/>
      <c r="H63" s="400"/>
      <c r="I63" s="400"/>
      <c r="J63" s="400"/>
      <c r="K63" s="396"/>
    </row>
    <row r="64" spans="1:11" ht="30" x14ac:dyDescent="0.2">
      <c r="A64" s="106">
        <v>62</v>
      </c>
      <c r="B64" s="396" t="s">
        <v>1070</v>
      </c>
      <c r="C64" s="396" t="s">
        <v>891</v>
      </c>
      <c r="D64" s="396" t="s">
        <v>892</v>
      </c>
      <c r="E64" s="396" t="s">
        <v>1071</v>
      </c>
      <c r="F64" s="396">
        <f>875+875</f>
        <v>1750</v>
      </c>
      <c r="G64" s="402">
        <v>1009010113</v>
      </c>
      <c r="H64" s="400" t="s">
        <v>1072</v>
      </c>
      <c r="I64" s="400" t="s">
        <v>1073</v>
      </c>
      <c r="J64" s="400"/>
      <c r="K64" s="396"/>
    </row>
    <row r="65" spans="1:11" ht="15" x14ac:dyDescent="0.2">
      <c r="A65" s="106">
        <v>63</v>
      </c>
      <c r="B65" s="396"/>
      <c r="C65" s="396" t="s">
        <v>891</v>
      </c>
      <c r="D65" s="396" t="s">
        <v>892</v>
      </c>
      <c r="E65" s="396"/>
      <c r="F65" s="396">
        <v>2250</v>
      </c>
      <c r="G65" s="402"/>
      <c r="H65" s="400"/>
      <c r="I65" s="400"/>
      <c r="J65" s="400">
        <v>1027027124</v>
      </c>
      <c r="K65" s="396" t="s">
        <v>1074</v>
      </c>
    </row>
    <row r="66" spans="1:11" ht="15" x14ac:dyDescent="0.2">
      <c r="A66" s="106">
        <v>64</v>
      </c>
      <c r="B66" s="396"/>
      <c r="C66" s="396" t="s">
        <v>891</v>
      </c>
      <c r="D66" s="396"/>
      <c r="E66" s="396"/>
      <c r="F66" s="396">
        <f>1375+687.5</f>
        <v>2062.5</v>
      </c>
      <c r="G66" s="402"/>
      <c r="H66" s="400" t="s">
        <v>763</v>
      </c>
      <c r="I66" s="400" t="s">
        <v>1076</v>
      </c>
      <c r="J66" s="400"/>
      <c r="K66" s="396"/>
    </row>
    <row r="67" spans="1:11" ht="15" x14ac:dyDescent="0.2">
      <c r="A67" s="106">
        <v>65</v>
      </c>
      <c r="B67" s="26"/>
      <c r="C67" s="26" t="s">
        <v>891</v>
      </c>
      <c r="D67" s="26"/>
      <c r="E67" s="26"/>
      <c r="F67" s="26">
        <v>625</v>
      </c>
      <c r="G67" s="106">
        <v>40001003474</v>
      </c>
      <c r="H67" s="400" t="s">
        <v>487</v>
      </c>
      <c r="I67" s="400" t="s">
        <v>1077</v>
      </c>
      <c r="J67" s="295"/>
      <c r="K67" s="26"/>
    </row>
    <row r="68" spans="1:11" ht="15" x14ac:dyDescent="0.2">
      <c r="A68" s="106"/>
      <c r="B68" s="26"/>
      <c r="C68" s="26" t="s">
        <v>891</v>
      </c>
      <c r="D68" s="26"/>
      <c r="E68" s="26"/>
      <c r="F68" s="26">
        <v>1750</v>
      </c>
      <c r="G68" s="403">
        <v>370001012275</v>
      </c>
      <c r="H68" s="295" t="s">
        <v>907</v>
      </c>
      <c r="I68" s="295" t="s">
        <v>773</v>
      </c>
      <c r="J68" s="295"/>
      <c r="K68" s="26"/>
    </row>
    <row r="69" spans="1:11" ht="15" x14ac:dyDescent="0.2">
      <c r="A69" s="106"/>
      <c r="B69" s="26"/>
      <c r="C69" s="26" t="s">
        <v>891</v>
      </c>
      <c r="D69" s="26"/>
      <c r="E69" s="26"/>
      <c r="F69" s="26">
        <f>375+375</f>
        <v>750</v>
      </c>
      <c r="G69" s="403">
        <v>400010010000</v>
      </c>
      <c r="H69" s="295" t="s">
        <v>716</v>
      </c>
      <c r="I69" s="295" t="s">
        <v>1078</v>
      </c>
      <c r="J69" s="295"/>
      <c r="K69" s="26"/>
    </row>
    <row r="70" spans="1:11" ht="15" x14ac:dyDescent="0.2">
      <c r="A70" s="106"/>
      <c r="B70" s="26"/>
      <c r="C70" s="26" t="s">
        <v>891</v>
      </c>
      <c r="D70" s="26"/>
      <c r="E70" s="26"/>
      <c r="F70" s="26">
        <f>375+1125</f>
        <v>1500</v>
      </c>
      <c r="G70" s="26">
        <v>20010014290</v>
      </c>
      <c r="H70" s="295" t="s">
        <v>487</v>
      </c>
      <c r="I70" s="295" t="s">
        <v>1079</v>
      </c>
      <c r="J70" s="295"/>
      <c r="K70" s="26"/>
    </row>
    <row r="71" spans="1:11" ht="15" x14ac:dyDescent="0.2">
      <c r="A71" s="106"/>
      <c r="B71" s="26"/>
      <c r="C71" s="26" t="s">
        <v>891</v>
      </c>
      <c r="D71" s="26"/>
      <c r="E71" s="26"/>
      <c r="F71" s="26">
        <v>500</v>
      </c>
      <c r="G71" s="26">
        <v>31001028551</v>
      </c>
      <c r="H71" s="295" t="s">
        <v>1080</v>
      </c>
      <c r="I71" s="295" t="s">
        <v>1081</v>
      </c>
      <c r="J71" s="295"/>
      <c r="K71" s="26"/>
    </row>
    <row r="72" spans="1:11" ht="15" x14ac:dyDescent="0.2">
      <c r="A72" s="106"/>
      <c r="B72" s="26"/>
      <c r="C72" s="26" t="s">
        <v>891</v>
      </c>
      <c r="D72" s="26"/>
      <c r="E72" s="26"/>
      <c r="F72" s="26">
        <v>470</v>
      </c>
      <c r="G72" s="26">
        <v>55001013975</v>
      </c>
      <c r="H72" s="295" t="s">
        <v>1082</v>
      </c>
      <c r="I72" s="295" t="s">
        <v>1083</v>
      </c>
      <c r="J72" s="295"/>
      <c r="K72" s="26"/>
    </row>
    <row r="73" spans="1:11" ht="15" x14ac:dyDescent="0.2">
      <c r="A73" s="106"/>
      <c r="B73" s="26"/>
      <c r="C73" s="26" t="s">
        <v>891</v>
      </c>
      <c r="D73" s="26"/>
      <c r="E73" s="26"/>
      <c r="F73" s="26">
        <v>2500</v>
      </c>
      <c r="G73" s="26">
        <v>60001121365</v>
      </c>
      <c r="H73" s="295" t="s">
        <v>725</v>
      </c>
      <c r="I73" s="295" t="s">
        <v>1084</v>
      </c>
      <c r="J73" s="295"/>
      <c r="K73" s="26"/>
    </row>
    <row r="74" spans="1:11" ht="15" x14ac:dyDescent="0.2">
      <c r="A74" s="106"/>
      <c r="B74" s="26"/>
      <c r="C74" s="26" t="s">
        <v>891</v>
      </c>
      <c r="D74" s="26"/>
      <c r="E74" s="26"/>
      <c r="F74" s="26">
        <v>1875</v>
      </c>
      <c r="G74" s="26">
        <v>54001006596</v>
      </c>
      <c r="H74" s="295" t="s">
        <v>975</v>
      </c>
      <c r="I74" s="295" t="s">
        <v>976</v>
      </c>
      <c r="J74" s="295"/>
      <c r="K74" s="26"/>
    </row>
    <row r="75" spans="1:11" ht="15" x14ac:dyDescent="0.2">
      <c r="A75" s="106"/>
      <c r="B75" s="26"/>
      <c r="C75" s="26" t="s">
        <v>891</v>
      </c>
      <c r="D75" s="26"/>
      <c r="E75" s="26"/>
      <c r="F75" s="26">
        <v>1500</v>
      </c>
      <c r="G75" s="26">
        <v>47001005437</v>
      </c>
      <c r="H75" s="295" t="s">
        <v>1085</v>
      </c>
      <c r="I75" s="295" t="s">
        <v>1086</v>
      </c>
      <c r="J75" s="295"/>
      <c r="K75" s="26"/>
    </row>
    <row r="76" spans="1:11" ht="15" x14ac:dyDescent="0.2">
      <c r="A76" s="106"/>
      <c r="B76" s="26"/>
      <c r="C76" s="26" t="s">
        <v>891</v>
      </c>
      <c r="D76" s="26"/>
      <c r="E76" s="26"/>
      <c r="F76" s="26">
        <v>900</v>
      </c>
      <c r="G76" s="26">
        <v>61010004477</v>
      </c>
      <c r="H76" s="295" t="s">
        <v>686</v>
      </c>
      <c r="I76" s="295" t="s">
        <v>1087</v>
      </c>
      <c r="J76" s="295"/>
      <c r="K76" s="26"/>
    </row>
    <row r="77" spans="1:11" ht="15" x14ac:dyDescent="0.2">
      <c r="A77" s="106"/>
      <c r="B77" s="26"/>
      <c r="C77" s="26" t="s">
        <v>891</v>
      </c>
      <c r="D77" s="26"/>
      <c r="E77" s="26"/>
      <c r="F77" s="26">
        <v>1500</v>
      </c>
      <c r="G77" s="26">
        <v>1025011853</v>
      </c>
      <c r="H77" s="295" t="s">
        <v>546</v>
      </c>
      <c r="I77" s="295" t="s">
        <v>1088</v>
      </c>
      <c r="J77" s="295"/>
      <c r="K77" s="26"/>
    </row>
    <row r="78" spans="1:11" ht="15" x14ac:dyDescent="0.2">
      <c r="A78" s="106"/>
      <c r="B78" s="26"/>
      <c r="C78" s="26"/>
      <c r="D78" s="26"/>
      <c r="E78" s="26"/>
      <c r="F78" s="26"/>
      <c r="G78" s="26"/>
      <c r="H78" s="295"/>
      <c r="I78" s="295"/>
      <c r="J78" s="295"/>
      <c r="K78" s="26"/>
    </row>
    <row r="79" spans="1:11" ht="15" x14ac:dyDescent="0.2">
      <c r="A79" s="106"/>
      <c r="B79" s="26"/>
      <c r="C79" s="26"/>
      <c r="D79" s="26"/>
      <c r="E79" s="26"/>
      <c r="F79" s="26"/>
      <c r="G79" s="26"/>
      <c r="H79" s="295"/>
      <c r="I79" s="295"/>
      <c r="J79" s="295"/>
      <c r="K79" s="26"/>
    </row>
    <row r="80" spans="1:11" ht="15" x14ac:dyDescent="0.2">
      <c r="A80" s="106"/>
      <c r="B80" s="26"/>
      <c r="C80" s="26"/>
      <c r="D80" s="26"/>
      <c r="E80" s="26"/>
      <c r="F80" s="26"/>
      <c r="G80" s="26"/>
      <c r="H80" s="295"/>
      <c r="I80" s="295"/>
      <c r="J80" s="295"/>
      <c r="K80" s="26"/>
    </row>
    <row r="81" spans="1:11" ht="15" x14ac:dyDescent="0.2">
      <c r="A81" s="106" t="s">
        <v>284</v>
      </c>
      <c r="B81" s="26"/>
      <c r="C81" s="26"/>
      <c r="D81" s="26"/>
      <c r="E81" s="26"/>
      <c r="F81" s="26">
        <f>SUM(F9:F79)</f>
        <v>178155.16999999998</v>
      </c>
      <c r="G81" s="26"/>
      <c r="H81" s="295"/>
      <c r="I81" s="295"/>
      <c r="J81" s="295"/>
      <c r="K81" s="26"/>
    </row>
    <row r="82" spans="1:1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1:1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1:11" x14ac:dyDescent="0.2">
      <c r="A84" s="25"/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1:11" ht="15" x14ac:dyDescent="0.3">
      <c r="A85" s="2"/>
      <c r="B85" s="110" t="s">
        <v>107</v>
      </c>
      <c r="C85" s="2"/>
      <c r="D85" s="2"/>
      <c r="E85" s="5"/>
      <c r="F85" s="2"/>
      <c r="G85" s="2"/>
      <c r="H85" s="2"/>
      <c r="I85" s="2"/>
      <c r="J85" s="2"/>
      <c r="K85" s="2"/>
    </row>
    <row r="86" spans="1:11" ht="15" x14ac:dyDescent="0.3">
      <c r="A86" s="2"/>
      <c r="B86" s="2"/>
      <c r="C86" s="416"/>
      <c r="D86" s="416"/>
      <c r="F86" s="109"/>
      <c r="G86" s="112"/>
    </row>
    <row r="87" spans="1:11" ht="15" x14ac:dyDescent="0.3">
      <c r="B87" s="2"/>
      <c r="C87" s="108" t="s">
        <v>271</v>
      </c>
      <c r="D87" s="2"/>
      <c r="F87" s="12" t="s">
        <v>276</v>
      </c>
    </row>
    <row r="88" spans="1:11" ht="15" x14ac:dyDescent="0.3">
      <c r="B88" s="2"/>
      <c r="C88" s="2"/>
      <c r="D88" s="2"/>
      <c r="F88" s="2" t="s">
        <v>272</v>
      </c>
    </row>
    <row r="89" spans="1:11" ht="15" x14ac:dyDescent="0.3">
      <c r="B89" s="2"/>
      <c r="C89" s="103" t="s">
        <v>140</v>
      </c>
    </row>
  </sheetData>
  <mergeCells count="2">
    <mergeCell ref="C86:D86"/>
    <mergeCell ref="K2:L2"/>
  </mergeCells>
  <pageMargins left="0.7" right="0.7" top="0.75" bottom="0.75" header="0.3" footer="0.3"/>
  <pageSetup scale="2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view="pageBreakPreview" topLeftCell="A22" zoomScale="70" zoomScaleNormal="100" zoomScaleSheetLayoutView="70" workbookViewId="0">
      <selection activeCell="G64" sqref="G64"/>
    </sheetView>
  </sheetViews>
  <sheetFormatPr defaultRowHeight="12.75" x14ac:dyDescent="0.2"/>
  <cols>
    <col min="1" max="1" width="11.7109375" style="260" customWidth="1"/>
    <col min="2" max="2" width="21.140625" style="260" customWidth="1"/>
    <col min="3" max="3" width="21.5703125" style="260" customWidth="1"/>
    <col min="4" max="4" width="19.140625" style="260" customWidth="1"/>
    <col min="5" max="5" width="15.140625" style="260" customWidth="1"/>
    <col min="6" max="6" width="20.85546875" style="260" customWidth="1"/>
    <col min="7" max="7" width="23.85546875" style="260" customWidth="1"/>
    <col min="8" max="8" width="19" style="260" customWidth="1"/>
    <col min="9" max="9" width="21.140625" style="260" customWidth="1"/>
    <col min="10" max="10" width="17" style="260" customWidth="1"/>
    <col min="11" max="11" width="21.5703125" style="260" customWidth="1"/>
    <col min="12" max="12" width="24.42578125" style="260" customWidth="1"/>
    <col min="13" max="16384" width="9.140625" style="260"/>
  </cols>
  <sheetData>
    <row r="1" spans="1:13" customFormat="1" ht="15" x14ac:dyDescent="0.2">
      <c r="A1" s="195" t="s">
        <v>475</v>
      </c>
      <c r="B1" s="195"/>
      <c r="C1" s="196"/>
      <c r="D1" s="196"/>
      <c r="E1" s="196"/>
      <c r="F1" s="196"/>
      <c r="G1" s="196"/>
      <c r="H1" s="196"/>
      <c r="I1" s="196"/>
      <c r="J1" s="196"/>
      <c r="K1" s="202"/>
      <c r="L1" s="120" t="s">
        <v>110</v>
      </c>
    </row>
    <row r="2" spans="1:13" customFormat="1" ht="15" x14ac:dyDescent="0.3">
      <c r="A2" s="162" t="s">
        <v>141</v>
      </c>
      <c r="B2" s="162"/>
      <c r="C2" s="196"/>
      <c r="D2" s="196"/>
      <c r="E2" s="196"/>
      <c r="F2" s="196"/>
      <c r="G2" s="196"/>
      <c r="H2" s="196"/>
      <c r="I2" s="196"/>
      <c r="J2" s="196"/>
      <c r="K2" s="202"/>
      <c r="L2" s="410" t="s">
        <v>609</v>
      </c>
      <c r="M2" s="411"/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9"/>
      <c r="L3" s="199"/>
      <c r="M3" s="260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5"/>
      <c r="G4" s="196"/>
      <c r="H4" s="196"/>
      <c r="I4" s="196"/>
      <c r="J4" s="196"/>
      <c r="K4" s="196"/>
      <c r="L4" s="196"/>
    </row>
    <row r="5" spans="1:13" ht="15" x14ac:dyDescent="0.3">
      <c r="A5" s="274" t="s">
        <v>610</v>
      </c>
      <c r="B5" s="297"/>
      <c r="C5" s="122"/>
      <c r="D5" s="122"/>
      <c r="E5" s="122"/>
      <c r="F5" s="298"/>
      <c r="G5" s="299"/>
      <c r="H5" s="299"/>
      <c r="I5" s="299"/>
      <c r="J5" s="299"/>
      <c r="K5" s="299"/>
      <c r="L5" s="298"/>
    </row>
    <row r="6" spans="1:13" customFormat="1" ht="13.5" x14ac:dyDescent="0.2">
      <c r="A6" s="200"/>
      <c r="B6" s="200"/>
      <c r="C6" s="201"/>
      <c r="D6" s="201"/>
      <c r="E6" s="201"/>
      <c r="F6" s="196"/>
      <c r="G6" s="196"/>
      <c r="H6" s="196"/>
      <c r="I6" s="196"/>
      <c r="J6" s="196"/>
      <c r="K6" s="196"/>
      <c r="L6" s="196"/>
    </row>
    <row r="7" spans="1:13" customFormat="1" ht="60" x14ac:dyDescent="0.2">
      <c r="A7" s="208" t="s">
        <v>64</v>
      </c>
      <c r="B7" s="192" t="s">
        <v>251</v>
      </c>
      <c r="C7" s="194" t="s">
        <v>247</v>
      </c>
      <c r="D7" s="194" t="s">
        <v>248</v>
      </c>
      <c r="E7" s="194" t="s">
        <v>360</v>
      </c>
      <c r="F7" s="194" t="s">
        <v>250</v>
      </c>
      <c r="G7" s="194" t="s">
        <v>397</v>
      </c>
      <c r="H7" s="194" t="s">
        <v>399</v>
      </c>
      <c r="I7" s="194" t="s">
        <v>393</v>
      </c>
      <c r="J7" s="194" t="s">
        <v>394</v>
      </c>
      <c r="K7" s="194" t="s">
        <v>406</v>
      </c>
      <c r="L7" s="194" t="s">
        <v>395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4</v>
      </c>
      <c r="E8" s="194">
        <v>5</v>
      </c>
      <c r="F8" s="192">
        <v>6</v>
      </c>
      <c r="G8" s="194">
        <v>7</v>
      </c>
      <c r="H8" s="192">
        <v>8</v>
      </c>
      <c r="I8" s="192">
        <v>9</v>
      </c>
      <c r="J8" s="192">
        <v>10</v>
      </c>
      <c r="K8" s="194">
        <v>11</v>
      </c>
      <c r="L8" s="194">
        <v>12</v>
      </c>
    </row>
    <row r="9" spans="1:13" customFormat="1" ht="15" x14ac:dyDescent="0.2">
      <c r="A9" s="106">
        <v>1</v>
      </c>
      <c r="B9" s="26" t="s">
        <v>1089</v>
      </c>
      <c r="C9" s="26" t="s">
        <v>1090</v>
      </c>
      <c r="D9" s="26" t="s">
        <v>1091</v>
      </c>
      <c r="E9" s="26">
        <v>1994</v>
      </c>
      <c r="F9" s="26" t="s">
        <v>1092</v>
      </c>
      <c r="G9" s="26">
        <v>3000</v>
      </c>
      <c r="H9" s="404">
        <v>20001058661</v>
      </c>
      <c r="I9" s="295" t="s">
        <v>1093</v>
      </c>
      <c r="J9" s="295" t="s">
        <v>1094</v>
      </c>
      <c r="K9" s="295"/>
      <c r="L9" s="26"/>
    </row>
    <row r="10" spans="1:13" customFormat="1" ht="15" x14ac:dyDescent="0.2">
      <c r="A10" s="106">
        <v>2</v>
      </c>
      <c r="B10" s="26" t="s">
        <v>1089</v>
      </c>
      <c r="C10" s="26" t="s">
        <v>1095</v>
      </c>
      <c r="D10" s="26" t="s">
        <v>1096</v>
      </c>
      <c r="E10" s="26">
        <v>2003</v>
      </c>
      <c r="F10" s="26" t="s">
        <v>1097</v>
      </c>
      <c r="G10" s="26">
        <v>2600</v>
      </c>
      <c r="H10" s="404" t="s">
        <v>1098</v>
      </c>
      <c r="I10" s="295" t="s">
        <v>1099</v>
      </c>
      <c r="J10" s="295" t="s">
        <v>808</v>
      </c>
      <c r="K10" s="295"/>
      <c r="L10" s="26"/>
    </row>
    <row r="11" spans="1:13" customFormat="1" ht="15" x14ac:dyDescent="0.2">
      <c r="A11" s="106">
        <v>3</v>
      </c>
      <c r="B11" s="26" t="s">
        <v>1089</v>
      </c>
      <c r="C11" s="26" t="s">
        <v>1100</v>
      </c>
      <c r="D11" s="26" t="s">
        <v>1101</v>
      </c>
      <c r="E11" s="26">
        <v>1998</v>
      </c>
      <c r="F11" s="26" t="s">
        <v>1102</v>
      </c>
      <c r="G11" s="26">
        <v>3200</v>
      </c>
      <c r="H11" s="404" t="s">
        <v>658</v>
      </c>
      <c r="I11" s="295" t="s">
        <v>1103</v>
      </c>
      <c r="J11" s="295" t="s">
        <v>657</v>
      </c>
      <c r="K11" s="295"/>
      <c r="L11" s="26"/>
    </row>
    <row r="12" spans="1:13" customFormat="1" ht="15" x14ac:dyDescent="0.2">
      <c r="A12" s="106">
        <v>4</v>
      </c>
      <c r="B12" s="26" t="s">
        <v>1089</v>
      </c>
      <c r="C12" s="26" t="s">
        <v>1100</v>
      </c>
      <c r="D12" s="26" t="s">
        <v>1104</v>
      </c>
      <c r="E12" s="26">
        <v>1995</v>
      </c>
      <c r="F12" s="26" t="s">
        <v>1105</v>
      </c>
      <c r="G12" s="26">
        <v>3000</v>
      </c>
      <c r="H12" s="404" t="s">
        <v>1106</v>
      </c>
      <c r="I12" s="295" t="s">
        <v>1107</v>
      </c>
      <c r="J12" s="295" t="s">
        <v>1108</v>
      </c>
      <c r="K12" s="295"/>
      <c r="L12" s="26"/>
    </row>
    <row r="13" spans="1:13" customFormat="1" ht="15" x14ac:dyDescent="0.2">
      <c r="A13" s="106">
        <v>5</v>
      </c>
      <c r="B13" s="26" t="s">
        <v>1089</v>
      </c>
      <c r="C13" s="26" t="s">
        <v>1109</v>
      </c>
      <c r="D13" s="26" t="s">
        <v>1110</v>
      </c>
      <c r="E13" s="26">
        <v>1997</v>
      </c>
      <c r="F13" s="26" t="s">
        <v>1111</v>
      </c>
      <c r="G13" s="26">
        <v>2900</v>
      </c>
      <c r="H13" s="404" t="s">
        <v>1112</v>
      </c>
      <c r="I13" s="295" t="s">
        <v>526</v>
      </c>
      <c r="J13" s="295" t="s">
        <v>1113</v>
      </c>
      <c r="K13" s="295"/>
      <c r="L13" s="26"/>
    </row>
    <row r="14" spans="1:13" customFormat="1" ht="15" x14ac:dyDescent="0.2">
      <c r="A14" s="106">
        <v>6</v>
      </c>
      <c r="B14" s="26" t="s">
        <v>1089</v>
      </c>
      <c r="C14" s="26" t="s">
        <v>1100</v>
      </c>
      <c r="D14" s="405">
        <v>124</v>
      </c>
      <c r="E14" s="26">
        <v>1994</v>
      </c>
      <c r="F14" s="26" t="s">
        <v>1114</v>
      </c>
      <c r="G14" s="26">
        <v>3640</v>
      </c>
      <c r="H14" s="404" t="s">
        <v>1115</v>
      </c>
      <c r="I14" s="295" t="s">
        <v>706</v>
      </c>
      <c r="J14" s="295" t="s">
        <v>1116</v>
      </c>
      <c r="K14" s="295"/>
      <c r="L14" s="26"/>
    </row>
    <row r="15" spans="1:13" customFormat="1" ht="15" x14ac:dyDescent="0.2">
      <c r="A15" s="106">
        <v>7</v>
      </c>
      <c r="B15" s="26" t="s">
        <v>1089</v>
      </c>
      <c r="C15" s="26" t="s">
        <v>1117</v>
      </c>
      <c r="D15" s="26"/>
      <c r="E15" s="26">
        <v>2010</v>
      </c>
      <c r="F15" s="26" t="s">
        <v>1118</v>
      </c>
      <c r="G15" s="26">
        <v>2240</v>
      </c>
      <c r="H15" s="404" t="s">
        <v>1119</v>
      </c>
      <c r="I15" s="295" t="s">
        <v>1120</v>
      </c>
      <c r="J15" s="295" t="s">
        <v>1121</v>
      </c>
      <c r="K15" s="295"/>
      <c r="L15" s="26"/>
    </row>
    <row r="16" spans="1:13" customFormat="1" ht="15" x14ac:dyDescent="0.2">
      <c r="A16" s="106">
        <v>8</v>
      </c>
      <c r="B16" s="26" t="s">
        <v>1089</v>
      </c>
      <c r="C16" s="26" t="s">
        <v>1109</v>
      </c>
      <c r="D16" s="26" t="s">
        <v>1110</v>
      </c>
      <c r="E16" s="26">
        <v>1997</v>
      </c>
      <c r="F16" s="26" t="s">
        <v>1122</v>
      </c>
      <c r="G16" s="26">
        <v>2680</v>
      </c>
      <c r="H16" s="404" t="s">
        <v>1123</v>
      </c>
      <c r="I16" s="295" t="s">
        <v>487</v>
      </c>
      <c r="J16" s="295" t="s">
        <v>535</v>
      </c>
      <c r="K16" s="295"/>
      <c r="L16" s="26"/>
    </row>
    <row r="17" spans="1:12" customFormat="1" ht="15" x14ac:dyDescent="0.2">
      <c r="A17" s="106">
        <v>9</v>
      </c>
      <c r="B17" s="26" t="s">
        <v>1089</v>
      </c>
      <c r="C17" s="26" t="s">
        <v>1090</v>
      </c>
      <c r="D17" s="26" t="s">
        <v>1124</v>
      </c>
      <c r="E17" s="26">
        <v>1991</v>
      </c>
      <c r="F17" s="26" t="s">
        <v>1125</v>
      </c>
      <c r="G17" s="26">
        <v>2560</v>
      </c>
      <c r="H17" s="404" t="s">
        <v>1126</v>
      </c>
      <c r="I17" s="295" t="s">
        <v>487</v>
      </c>
      <c r="J17" s="295" t="s">
        <v>840</v>
      </c>
      <c r="K17" s="295"/>
      <c r="L17" s="26"/>
    </row>
    <row r="18" spans="1:12" customFormat="1" ht="15" x14ac:dyDescent="0.2">
      <c r="A18" s="106">
        <v>10</v>
      </c>
      <c r="B18" s="26" t="s">
        <v>1089</v>
      </c>
      <c r="C18" s="26" t="s">
        <v>1127</v>
      </c>
      <c r="D18" s="405">
        <v>19</v>
      </c>
      <c r="E18" s="26">
        <v>1993</v>
      </c>
      <c r="F18" s="26" t="s">
        <v>1128</v>
      </c>
      <c r="G18" s="26">
        <v>1180</v>
      </c>
      <c r="H18" s="404" t="s">
        <v>1129</v>
      </c>
      <c r="I18" s="295" t="s">
        <v>497</v>
      </c>
      <c r="J18" s="295" t="s">
        <v>1130</v>
      </c>
      <c r="K18" s="295"/>
      <c r="L18" s="26"/>
    </row>
    <row r="19" spans="1:12" customFormat="1" ht="15" x14ac:dyDescent="0.2">
      <c r="A19" s="106">
        <v>11</v>
      </c>
      <c r="B19" s="26" t="s">
        <v>1089</v>
      </c>
      <c r="C19" s="26" t="s">
        <v>1100</v>
      </c>
      <c r="D19" s="26" t="s">
        <v>1131</v>
      </c>
      <c r="E19" s="26">
        <v>1995</v>
      </c>
      <c r="F19" s="26" t="s">
        <v>1132</v>
      </c>
      <c r="G19" s="26">
        <v>8000</v>
      </c>
      <c r="H19" s="404" t="s">
        <v>527</v>
      </c>
      <c r="I19" s="295" t="s">
        <v>526</v>
      </c>
      <c r="J19" s="295" t="s">
        <v>525</v>
      </c>
      <c r="K19" s="295"/>
      <c r="L19" s="26"/>
    </row>
    <row r="20" spans="1:12" customFormat="1" ht="15" x14ac:dyDescent="0.2">
      <c r="A20" s="106">
        <v>12</v>
      </c>
      <c r="B20" s="26" t="s">
        <v>1089</v>
      </c>
      <c r="C20" s="26" t="s">
        <v>1109</v>
      </c>
      <c r="D20" s="26" t="s">
        <v>1133</v>
      </c>
      <c r="E20" s="26">
        <v>1994</v>
      </c>
      <c r="F20" s="26" t="s">
        <v>1134</v>
      </c>
      <c r="G20" s="26">
        <v>3038</v>
      </c>
      <c r="H20" s="404" t="s">
        <v>1135</v>
      </c>
      <c r="I20" s="295" t="s">
        <v>827</v>
      </c>
      <c r="J20" s="295" t="s">
        <v>1136</v>
      </c>
      <c r="K20" s="295"/>
      <c r="L20" s="26"/>
    </row>
    <row r="21" spans="1:12" customFormat="1" ht="15" x14ac:dyDescent="0.2">
      <c r="A21" s="106">
        <v>13</v>
      </c>
      <c r="B21" s="26" t="s">
        <v>1089</v>
      </c>
      <c r="C21" s="26" t="s">
        <v>1100</v>
      </c>
      <c r="D21" s="26" t="s">
        <v>1137</v>
      </c>
      <c r="E21" s="26">
        <v>2001</v>
      </c>
      <c r="F21" s="26" t="s">
        <v>1138</v>
      </c>
      <c r="G21" s="26">
        <v>3112</v>
      </c>
      <c r="H21" s="404" t="s">
        <v>1139</v>
      </c>
      <c r="I21" s="295" t="s">
        <v>497</v>
      </c>
      <c r="J21" s="295" t="s">
        <v>1140</v>
      </c>
      <c r="K21" s="295"/>
      <c r="L21" s="26"/>
    </row>
    <row r="22" spans="1:12" customFormat="1" ht="15" x14ac:dyDescent="0.2">
      <c r="A22" s="106">
        <v>14</v>
      </c>
      <c r="B22" s="26" t="s">
        <v>1089</v>
      </c>
      <c r="C22" s="26"/>
      <c r="D22" s="406" t="s">
        <v>1141</v>
      </c>
      <c r="E22" s="406"/>
      <c r="F22" s="406" t="s">
        <v>1142</v>
      </c>
      <c r="G22" s="26">
        <v>4000</v>
      </c>
      <c r="H22" s="26">
        <v>60001080911</v>
      </c>
      <c r="I22" s="295" t="s">
        <v>686</v>
      </c>
      <c r="J22" s="295" t="s">
        <v>687</v>
      </c>
      <c r="K22" s="295"/>
      <c r="L22" s="26"/>
    </row>
    <row r="23" spans="1:12" customFormat="1" ht="15" x14ac:dyDescent="0.2">
      <c r="A23" s="106">
        <v>15</v>
      </c>
      <c r="B23" s="26" t="s">
        <v>1089</v>
      </c>
      <c r="C23" s="26" t="s">
        <v>1090</v>
      </c>
      <c r="D23" s="406" t="s">
        <v>1143</v>
      </c>
      <c r="E23" s="406"/>
      <c r="F23" s="406" t="s">
        <v>1144</v>
      </c>
      <c r="G23" s="26">
        <v>3300</v>
      </c>
      <c r="H23" s="26">
        <v>21001004954</v>
      </c>
      <c r="I23" s="295" t="s">
        <v>1145</v>
      </c>
      <c r="J23" s="295" t="s">
        <v>1146</v>
      </c>
      <c r="K23" s="295"/>
      <c r="L23" s="26"/>
    </row>
    <row r="24" spans="1:12" customFormat="1" ht="15" x14ac:dyDescent="0.2">
      <c r="A24" s="106">
        <v>16</v>
      </c>
      <c r="B24" s="26" t="s">
        <v>1089</v>
      </c>
      <c r="C24" s="26"/>
      <c r="D24" s="406" t="s">
        <v>1147</v>
      </c>
      <c r="E24" s="406"/>
      <c r="F24" s="406" t="s">
        <v>1148</v>
      </c>
      <c r="G24" s="26">
        <v>2960</v>
      </c>
      <c r="H24" s="26">
        <v>60001105998</v>
      </c>
      <c r="I24" s="295" t="s">
        <v>802</v>
      </c>
      <c r="J24" s="295" t="s">
        <v>1149</v>
      </c>
      <c r="K24" s="295"/>
      <c r="L24" s="26"/>
    </row>
    <row r="25" spans="1:12" customFormat="1" ht="15" x14ac:dyDescent="0.2">
      <c r="A25" s="106">
        <v>17</v>
      </c>
      <c r="B25" s="106"/>
      <c r="C25" s="26"/>
      <c r="D25" s="406" t="s">
        <v>1150</v>
      </c>
      <c r="E25" s="406"/>
      <c r="F25" s="406" t="s">
        <v>1151</v>
      </c>
      <c r="G25" s="26">
        <v>3360</v>
      </c>
      <c r="H25" s="26">
        <v>60001069392</v>
      </c>
      <c r="I25" s="295" t="s">
        <v>1152</v>
      </c>
      <c r="J25" s="295" t="s">
        <v>532</v>
      </c>
      <c r="K25" s="295"/>
      <c r="L25" s="26"/>
    </row>
    <row r="26" spans="1:12" customFormat="1" ht="15" x14ac:dyDescent="0.2">
      <c r="A26" s="106">
        <v>18</v>
      </c>
      <c r="B26" s="106"/>
      <c r="C26" s="26" t="s">
        <v>1153</v>
      </c>
      <c r="D26" s="406" t="s">
        <v>1154</v>
      </c>
      <c r="E26" s="406">
        <v>2008</v>
      </c>
      <c r="F26" s="406" t="s">
        <v>1155</v>
      </c>
      <c r="G26" s="26">
        <v>2680</v>
      </c>
      <c r="H26" s="26">
        <v>90001010684</v>
      </c>
      <c r="I26" s="295" t="s">
        <v>790</v>
      </c>
      <c r="J26" s="295" t="s">
        <v>791</v>
      </c>
      <c r="K26" s="295"/>
      <c r="L26" s="26"/>
    </row>
    <row r="27" spans="1:12" customFormat="1" ht="15" x14ac:dyDescent="0.2">
      <c r="A27" s="106">
        <v>19</v>
      </c>
      <c r="B27" s="26" t="s">
        <v>1089</v>
      </c>
      <c r="C27" s="26" t="s">
        <v>1090</v>
      </c>
      <c r="D27" s="26" t="s">
        <v>1091</v>
      </c>
      <c r="E27" s="26">
        <v>1994</v>
      </c>
      <c r="F27" s="26" t="s">
        <v>1092</v>
      </c>
      <c r="G27" s="26">
        <v>2600</v>
      </c>
      <c r="H27" s="397">
        <v>20001058661</v>
      </c>
      <c r="I27" s="295" t="s">
        <v>1093</v>
      </c>
      <c r="J27" s="295" t="s">
        <v>1094</v>
      </c>
      <c r="K27" s="295"/>
      <c r="L27" s="26"/>
    </row>
    <row r="28" spans="1:12" customFormat="1" ht="15" x14ac:dyDescent="0.2">
      <c r="A28" s="106">
        <v>20</v>
      </c>
      <c r="B28" s="26" t="s">
        <v>1089</v>
      </c>
      <c r="C28" s="26" t="s">
        <v>1095</v>
      </c>
      <c r="D28" s="26" t="s">
        <v>1096</v>
      </c>
      <c r="E28" s="26">
        <v>2003</v>
      </c>
      <c r="F28" s="26" t="s">
        <v>1097</v>
      </c>
      <c r="G28" s="26">
        <v>800</v>
      </c>
      <c r="H28" s="397" t="s">
        <v>1098</v>
      </c>
      <c r="I28" s="295" t="s">
        <v>1099</v>
      </c>
      <c r="J28" s="295" t="s">
        <v>808</v>
      </c>
      <c r="K28" s="295"/>
      <c r="L28" s="26"/>
    </row>
    <row r="29" spans="1:12" customFormat="1" ht="15" x14ac:dyDescent="0.2">
      <c r="A29" s="106">
        <v>21</v>
      </c>
      <c r="B29" s="26" t="s">
        <v>1089</v>
      </c>
      <c r="C29" s="26" t="s">
        <v>1100</v>
      </c>
      <c r="D29" s="26" t="s">
        <v>1101</v>
      </c>
      <c r="E29" s="26">
        <v>1998</v>
      </c>
      <c r="F29" s="26" t="s">
        <v>1102</v>
      </c>
      <c r="G29" s="26">
        <v>2700</v>
      </c>
      <c r="H29" s="397" t="s">
        <v>658</v>
      </c>
      <c r="I29" s="295" t="s">
        <v>1103</v>
      </c>
      <c r="J29" s="295" t="s">
        <v>657</v>
      </c>
      <c r="K29" s="295"/>
      <c r="L29" s="26"/>
    </row>
    <row r="30" spans="1:12" customFormat="1" ht="15" x14ac:dyDescent="0.2">
      <c r="A30" s="106">
        <v>22</v>
      </c>
      <c r="B30" s="26" t="s">
        <v>1089</v>
      </c>
      <c r="C30" s="26" t="s">
        <v>1100</v>
      </c>
      <c r="D30" s="26" t="s">
        <v>1104</v>
      </c>
      <c r="E30" s="26">
        <v>1995</v>
      </c>
      <c r="F30" s="26" t="s">
        <v>1105</v>
      </c>
      <c r="G30" s="26">
        <v>3500</v>
      </c>
      <c r="H30" s="397" t="s">
        <v>1106</v>
      </c>
      <c r="I30" s="295" t="s">
        <v>1107</v>
      </c>
      <c r="J30" s="295" t="s">
        <v>1108</v>
      </c>
      <c r="K30" s="295"/>
      <c r="L30" s="26"/>
    </row>
    <row r="31" spans="1:12" customFormat="1" ht="15" x14ac:dyDescent="0.2">
      <c r="A31" s="106">
        <v>23</v>
      </c>
      <c r="B31" s="26" t="s">
        <v>1089</v>
      </c>
      <c r="C31" s="26" t="s">
        <v>1109</v>
      </c>
      <c r="D31" s="26" t="s">
        <v>1110</v>
      </c>
      <c r="E31" s="26">
        <v>1997</v>
      </c>
      <c r="F31" s="26" t="s">
        <v>1111</v>
      </c>
      <c r="G31" s="26">
        <v>2480</v>
      </c>
      <c r="H31" s="397" t="s">
        <v>1112</v>
      </c>
      <c r="I31" s="295" t="s">
        <v>526</v>
      </c>
      <c r="J31" s="295" t="s">
        <v>1113</v>
      </c>
      <c r="K31" s="295"/>
      <c r="L31" s="26"/>
    </row>
    <row r="32" spans="1:12" customFormat="1" ht="15" x14ac:dyDescent="0.2">
      <c r="A32" s="106">
        <v>24</v>
      </c>
      <c r="B32" s="26" t="s">
        <v>1089</v>
      </c>
      <c r="C32" s="26" t="s">
        <v>1100</v>
      </c>
      <c r="D32" s="405">
        <v>124</v>
      </c>
      <c r="E32" s="26">
        <v>1994</v>
      </c>
      <c r="F32" s="26" t="s">
        <v>1114</v>
      </c>
      <c r="G32" s="26">
        <v>2350</v>
      </c>
      <c r="H32" s="397" t="s">
        <v>1115</v>
      </c>
      <c r="I32" s="295" t="s">
        <v>706</v>
      </c>
      <c r="J32" s="295" t="s">
        <v>1116</v>
      </c>
      <c r="K32" s="295"/>
      <c r="L32" s="26"/>
    </row>
    <row r="33" spans="1:12" customFormat="1" ht="15" x14ac:dyDescent="0.2">
      <c r="A33" s="106">
        <v>25</v>
      </c>
      <c r="B33" s="26" t="s">
        <v>1089</v>
      </c>
      <c r="C33" s="26" t="s">
        <v>1117</v>
      </c>
      <c r="D33" s="26"/>
      <c r="E33" s="26">
        <v>2010</v>
      </c>
      <c r="F33" s="26" t="s">
        <v>1118</v>
      </c>
      <c r="G33" s="26">
        <v>3120</v>
      </c>
      <c r="H33" s="397" t="s">
        <v>1119</v>
      </c>
      <c r="I33" s="295" t="s">
        <v>1120</v>
      </c>
      <c r="J33" s="295" t="s">
        <v>1121</v>
      </c>
      <c r="K33" s="295"/>
      <c r="L33" s="26"/>
    </row>
    <row r="34" spans="1:12" customFormat="1" ht="15" x14ac:dyDescent="0.2">
      <c r="A34" s="106">
        <v>26</v>
      </c>
      <c r="B34" s="26" t="s">
        <v>1089</v>
      </c>
      <c r="C34" s="26" t="s">
        <v>1109</v>
      </c>
      <c r="D34" s="26" t="s">
        <v>1110</v>
      </c>
      <c r="E34" s="26">
        <v>1997</v>
      </c>
      <c r="F34" s="26" t="s">
        <v>1122</v>
      </c>
      <c r="G34" s="26">
        <v>3340</v>
      </c>
      <c r="H34" s="397" t="s">
        <v>1123</v>
      </c>
      <c r="I34" s="295" t="s">
        <v>487</v>
      </c>
      <c r="J34" s="295" t="s">
        <v>535</v>
      </c>
      <c r="K34" s="295"/>
      <c r="L34" s="26"/>
    </row>
    <row r="35" spans="1:12" customFormat="1" ht="15" x14ac:dyDescent="0.2">
      <c r="A35" s="106">
        <v>27</v>
      </c>
      <c r="B35" s="26" t="s">
        <v>1089</v>
      </c>
      <c r="C35" s="26" t="s">
        <v>1090</v>
      </c>
      <c r="D35" s="26" t="s">
        <v>1124</v>
      </c>
      <c r="E35" s="26">
        <v>1991</v>
      </c>
      <c r="F35" s="26" t="s">
        <v>1125</v>
      </c>
      <c r="G35" s="26">
        <v>3280</v>
      </c>
      <c r="H35" s="397" t="s">
        <v>1126</v>
      </c>
      <c r="I35" s="295" t="s">
        <v>487</v>
      </c>
      <c r="J35" s="295" t="s">
        <v>840</v>
      </c>
      <c r="K35" s="295"/>
      <c r="L35" s="26"/>
    </row>
    <row r="36" spans="1:12" customFormat="1" ht="15" x14ac:dyDescent="0.2">
      <c r="A36" s="106">
        <v>28</v>
      </c>
      <c r="B36" s="26" t="s">
        <v>1089</v>
      </c>
      <c r="C36" s="26" t="s">
        <v>1127</v>
      </c>
      <c r="D36" s="405">
        <v>19</v>
      </c>
      <c r="E36" s="26">
        <v>1993</v>
      </c>
      <c r="F36" s="26" t="s">
        <v>1128</v>
      </c>
      <c r="G36" s="26">
        <v>1090</v>
      </c>
      <c r="H36" s="397" t="s">
        <v>1129</v>
      </c>
      <c r="I36" s="295" t="s">
        <v>497</v>
      </c>
      <c r="J36" s="295" t="s">
        <v>1130</v>
      </c>
      <c r="K36" s="295"/>
      <c r="L36" s="26"/>
    </row>
    <row r="37" spans="1:12" customFormat="1" ht="15" x14ac:dyDescent="0.2">
      <c r="A37" s="106">
        <v>29</v>
      </c>
      <c r="B37" s="26" t="s">
        <v>1089</v>
      </c>
      <c r="C37" s="26" t="s">
        <v>1100</v>
      </c>
      <c r="D37" s="26" t="s">
        <v>1131</v>
      </c>
      <c r="E37" s="26">
        <v>1995</v>
      </c>
      <c r="F37" s="26" t="s">
        <v>1132</v>
      </c>
      <c r="G37" s="26">
        <v>4000</v>
      </c>
      <c r="H37" s="397" t="s">
        <v>527</v>
      </c>
      <c r="I37" s="295" t="s">
        <v>526</v>
      </c>
      <c r="J37" s="295" t="s">
        <v>525</v>
      </c>
      <c r="K37" s="295"/>
      <c r="L37" s="26"/>
    </row>
    <row r="38" spans="1:12" customFormat="1" ht="15" x14ac:dyDescent="0.2">
      <c r="A38" s="106">
        <v>30</v>
      </c>
      <c r="B38" s="26" t="s">
        <v>1089</v>
      </c>
      <c r="C38" s="26" t="s">
        <v>1109</v>
      </c>
      <c r="D38" s="26" t="s">
        <v>1133</v>
      </c>
      <c r="E38" s="26">
        <v>1994</v>
      </c>
      <c r="F38" s="26" t="s">
        <v>1134</v>
      </c>
      <c r="G38" s="26">
        <v>1490</v>
      </c>
      <c r="H38" s="397" t="s">
        <v>1135</v>
      </c>
      <c r="I38" s="295" t="s">
        <v>827</v>
      </c>
      <c r="J38" s="295" t="s">
        <v>1136</v>
      </c>
      <c r="K38" s="295"/>
      <c r="L38" s="26"/>
    </row>
    <row r="39" spans="1:12" customFormat="1" ht="15" x14ac:dyDescent="0.2">
      <c r="A39" s="106">
        <v>31</v>
      </c>
      <c r="B39" s="26" t="s">
        <v>1089</v>
      </c>
      <c r="C39" s="26" t="s">
        <v>1100</v>
      </c>
      <c r="D39" s="26" t="s">
        <v>1137</v>
      </c>
      <c r="E39" s="26">
        <v>2001</v>
      </c>
      <c r="F39" s="26" t="s">
        <v>1138</v>
      </c>
      <c r="G39" s="26">
        <v>2350</v>
      </c>
      <c r="H39" s="397" t="s">
        <v>1139</v>
      </c>
      <c r="I39" s="295" t="s">
        <v>497</v>
      </c>
      <c r="J39" s="295" t="s">
        <v>1140</v>
      </c>
      <c r="K39" s="295"/>
      <c r="L39" s="26"/>
    </row>
    <row r="40" spans="1:12" customFormat="1" ht="15" x14ac:dyDescent="0.2">
      <c r="A40" s="106">
        <v>32</v>
      </c>
      <c r="B40" s="26" t="s">
        <v>1089</v>
      </c>
      <c r="C40" s="26"/>
      <c r="D40" s="406" t="s">
        <v>1141</v>
      </c>
      <c r="E40" s="406"/>
      <c r="F40" s="406" t="s">
        <v>1142</v>
      </c>
      <c r="G40" s="26">
        <v>2500</v>
      </c>
      <c r="H40" s="106">
        <v>60001080911</v>
      </c>
      <c r="I40" s="295" t="s">
        <v>686</v>
      </c>
      <c r="J40" s="295" t="s">
        <v>687</v>
      </c>
      <c r="K40" s="295"/>
      <c r="L40" s="26"/>
    </row>
    <row r="41" spans="1:12" customFormat="1" ht="15" x14ac:dyDescent="0.2">
      <c r="A41" s="106">
        <v>33</v>
      </c>
      <c r="B41" s="26" t="s">
        <v>1089</v>
      </c>
      <c r="C41" s="26" t="s">
        <v>1090</v>
      </c>
      <c r="D41" s="406" t="s">
        <v>1143</v>
      </c>
      <c r="E41" s="406"/>
      <c r="F41" s="406" t="s">
        <v>1144</v>
      </c>
      <c r="G41" s="26">
        <v>1980</v>
      </c>
      <c r="H41" s="106">
        <v>21001004954</v>
      </c>
      <c r="I41" s="295" t="s">
        <v>1145</v>
      </c>
      <c r="J41" s="295" t="s">
        <v>1146</v>
      </c>
      <c r="K41" s="295"/>
      <c r="L41" s="26"/>
    </row>
    <row r="42" spans="1:12" customFormat="1" ht="15" x14ac:dyDescent="0.2">
      <c r="A42" s="106">
        <v>34</v>
      </c>
      <c r="B42" s="26" t="s">
        <v>1089</v>
      </c>
      <c r="C42" s="26"/>
      <c r="D42" s="406" t="s">
        <v>1147</v>
      </c>
      <c r="E42" s="406"/>
      <c r="F42" s="406" t="s">
        <v>1148</v>
      </c>
      <c r="G42" s="26">
        <v>1480</v>
      </c>
      <c r="H42" s="106">
        <v>60001105998</v>
      </c>
      <c r="I42" s="295" t="s">
        <v>802</v>
      </c>
      <c r="J42" s="295" t="s">
        <v>1149</v>
      </c>
      <c r="K42" s="295"/>
      <c r="L42" s="26"/>
    </row>
    <row r="43" spans="1:12" customFormat="1" ht="15" x14ac:dyDescent="0.2">
      <c r="A43" s="106">
        <v>35</v>
      </c>
      <c r="B43" s="106"/>
      <c r="C43" s="26"/>
      <c r="D43" s="406" t="s">
        <v>1150</v>
      </c>
      <c r="E43" s="406"/>
      <c r="F43" s="406" t="s">
        <v>1151</v>
      </c>
      <c r="G43" s="26">
        <v>1850</v>
      </c>
      <c r="H43" s="106">
        <v>60001069392</v>
      </c>
      <c r="I43" s="295" t="s">
        <v>1152</v>
      </c>
      <c r="J43" s="295" t="s">
        <v>532</v>
      </c>
      <c r="K43" s="295"/>
      <c r="L43" s="26"/>
    </row>
    <row r="44" spans="1:12" customFormat="1" ht="15" x14ac:dyDescent="0.2">
      <c r="A44" s="106">
        <v>36</v>
      </c>
      <c r="B44" s="106"/>
      <c r="C44" s="26" t="s">
        <v>1153</v>
      </c>
      <c r="D44" s="406" t="s">
        <v>1154</v>
      </c>
      <c r="E44" s="406">
        <v>2008</v>
      </c>
      <c r="F44" s="406" t="s">
        <v>1155</v>
      </c>
      <c r="G44" s="26">
        <v>3480</v>
      </c>
      <c r="H44" s="106">
        <v>90001010684</v>
      </c>
      <c r="I44" s="295" t="s">
        <v>790</v>
      </c>
      <c r="J44" s="295" t="s">
        <v>791</v>
      </c>
      <c r="K44" s="295"/>
      <c r="L44" s="26"/>
    </row>
    <row r="45" spans="1:12" customFormat="1" ht="15" x14ac:dyDescent="0.2">
      <c r="A45" s="106">
        <v>37</v>
      </c>
      <c r="B45" s="106"/>
      <c r="C45" s="26"/>
      <c r="D45" s="406"/>
      <c r="E45" s="406"/>
      <c r="F45" s="406"/>
      <c r="G45" s="26">
        <v>2340</v>
      </c>
      <c r="H45" s="106">
        <v>1012011015</v>
      </c>
      <c r="I45" s="295" t="s">
        <v>487</v>
      </c>
      <c r="J45" s="295" t="s">
        <v>501</v>
      </c>
      <c r="K45" s="295"/>
      <c r="L45" s="26"/>
    </row>
    <row r="46" spans="1:12" customFormat="1" ht="15" x14ac:dyDescent="0.2">
      <c r="A46" s="106">
        <v>38</v>
      </c>
      <c r="B46" s="26" t="s">
        <v>1089</v>
      </c>
      <c r="C46" s="26" t="s">
        <v>1090</v>
      </c>
      <c r="D46" s="26" t="s">
        <v>1091</v>
      </c>
      <c r="E46" s="26">
        <v>1994</v>
      </c>
      <c r="F46" s="26" t="s">
        <v>1092</v>
      </c>
      <c r="G46" s="26">
        <v>1700</v>
      </c>
      <c r="H46" s="397">
        <v>20001058661</v>
      </c>
      <c r="I46" s="295" t="s">
        <v>1093</v>
      </c>
      <c r="J46" s="295" t="s">
        <v>1094</v>
      </c>
      <c r="K46" s="295"/>
      <c r="L46" s="26"/>
    </row>
    <row r="47" spans="1:12" customFormat="1" ht="15" x14ac:dyDescent="0.2">
      <c r="A47" s="106">
        <v>39</v>
      </c>
      <c r="B47" s="26" t="s">
        <v>1089</v>
      </c>
      <c r="C47" s="26" t="s">
        <v>1100</v>
      </c>
      <c r="D47" s="26" t="s">
        <v>1101</v>
      </c>
      <c r="E47" s="26">
        <v>1998</v>
      </c>
      <c r="F47" s="26" t="s">
        <v>1102</v>
      </c>
      <c r="G47" s="26">
        <v>1650</v>
      </c>
      <c r="H47" s="397" t="s">
        <v>658</v>
      </c>
      <c r="I47" s="295" t="s">
        <v>1103</v>
      </c>
      <c r="J47" s="295" t="s">
        <v>657</v>
      </c>
      <c r="K47" s="295"/>
      <c r="L47" s="26"/>
    </row>
    <row r="48" spans="1:12" customFormat="1" ht="15" x14ac:dyDescent="0.2">
      <c r="A48" s="106">
        <v>40</v>
      </c>
      <c r="B48" s="26" t="s">
        <v>1089</v>
      </c>
      <c r="C48" s="26" t="s">
        <v>1100</v>
      </c>
      <c r="D48" s="26" t="s">
        <v>1104</v>
      </c>
      <c r="E48" s="26">
        <v>1995</v>
      </c>
      <c r="F48" s="26" t="s">
        <v>1105</v>
      </c>
      <c r="G48" s="26">
        <v>2050</v>
      </c>
      <c r="H48" s="397" t="s">
        <v>1106</v>
      </c>
      <c r="I48" s="295" t="s">
        <v>1107</v>
      </c>
      <c r="J48" s="295" t="s">
        <v>1108</v>
      </c>
      <c r="K48" s="295"/>
      <c r="L48" s="26"/>
    </row>
    <row r="49" spans="1:12" customFormat="1" ht="15" x14ac:dyDescent="0.2">
      <c r="A49" s="106">
        <v>41</v>
      </c>
      <c r="B49" s="26" t="s">
        <v>1089</v>
      </c>
      <c r="C49" s="26" t="s">
        <v>1109</v>
      </c>
      <c r="D49" s="26" t="s">
        <v>1110</v>
      </c>
      <c r="E49" s="26">
        <v>1997</v>
      </c>
      <c r="F49" s="26" t="s">
        <v>1111</v>
      </c>
      <c r="G49" s="26">
        <v>1900</v>
      </c>
      <c r="H49" s="397" t="s">
        <v>1112</v>
      </c>
      <c r="I49" s="295" t="s">
        <v>526</v>
      </c>
      <c r="J49" s="295" t="s">
        <v>1113</v>
      </c>
      <c r="K49" s="295"/>
      <c r="L49" s="26"/>
    </row>
    <row r="50" spans="1:12" customFormat="1" ht="15" x14ac:dyDescent="0.2">
      <c r="A50" s="106">
        <v>42</v>
      </c>
      <c r="B50" s="26" t="s">
        <v>1089</v>
      </c>
      <c r="C50" s="26" t="s">
        <v>1100</v>
      </c>
      <c r="D50" s="405">
        <v>124</v>
      </c>
      <c r="E50" s="26">
        <v>1994</v>
      </c>
      <c r="F50" s="26" t="s">
        <v>1114</v>
      </c>
      <c r="G50" s="26">
        <v>1450</v>
      </c>
      <c r="H50" s="397" t="s">
        <v>1115</v>
      </c>
      <c r="I50" s="295" t="s">
        <v>706</v>
      </c>
      <c r="J50" s="295" t="s">
        <v>1116</v>
      </c>
      <c r="K50" s="295"/>
      <c r="L50" s="26"/>
    </row>
    <row r="51" spans="1:12" customFormat="1" ht="15" x14ac:dyDescent="0.2">
      <c r="A51" s="106">
        <v>43</v>
      </c>
      <c r="B51" s="26" t="s">
        <v>1089</v>
      </c>
      <c r="C51" s="26" t="s">
        <v>1109</v>
      </c>
      <c r="D51" s="26" t="s">
        <v>1110</v>
      </c>
      <c r="E51" s="26">
        <v>1997</v>
      </c>
      <c r="F51" s="26" t="s">
        <v>1122</v>
      </c>
      <c r="G51" s="26">
        <v>1450</v>
      </c>
      <c r="H51" s="397" t="s">
        <v>1123</v>
      </c>
      <c r="I51" s="295" t="s">
        <v>487</v>
      </c>
      <c r="J51" s="295" t="s">
        <v>535</v>
      </c>
      <c r="K51" s="295"/>
      <c r="L51" s="26"/>
    </row>
    <row r="52" spans="1:12" customFormat="1" ht="15" x14ac:dyDescent="0.2">
      <c r="A52" s="106">
        <v>44</v>
      </c>
      <c r="B52" s="26" t="s">
        <v>1089</v>
      </c>
      <c r="C52" s="26" t="s">
        <v>1090</v>
      </c>
      <c r="D52" s="26" t="s">
        <v>1124</v>
      </c>
      <c r="E52" s="26">
        <v>1991</v>
      </c>
      <c r="F52" s="26" t="s">
        <v>1125</v>
      </c>
      <c r="G52" s="26">
        <v>1820</v>
      </c>
      <c r="H52" s="397" t="s">
        <v>1126</v>
      </c>
      <c r="I52" s="295" t="s">
        <v>487</v>
      </c>
      <c r="J52" s="295" t="s">
        <v>840</v>
      </c>
      <c r="K52" s="295"/>
      <c r="L52" s="26"/>
    </row>
    <row r="53" spans="1:12" customFormat="1" ht="15" x14ac:dyDescent="0.2">
      <c r="A53" s="106">
        <v>45</v>
      </c>
      <c r="B53" s="26" t="s">
        <v>1089</v>
      </c>
      <c r="C53" s="26" t="s">
        <v>1127</v>
      </c>
      <c r="D53" s="405">
        <v>19</v>
      </c>
      <c r="E53" s="26">
        <v>1993</v>
      </c>
      <c r="F53" s="26" t="s">
        <v>1128</v>
      </c>
      <c r="G53" s="26">
        <v>1450</v>
      </c>
      <c r="H53" s="397" t="s">
        <v>1129</v>
      </c>
      <c r="I53" s="295" t="s">
        <v>497</v>
      </c>
      <c r="J53" s="295" t="s">
        <v>1130</v>
      </c>
      <c r="K53" s="295"/>
      <c r="L53" s="26"/>
    </row>
    <row r="54" spans="1:12" customFormat="1" ht="15" x14ac:dyDescent="0.2">
      <c r="A54" s="106">
        <v>46</v>
      </c>
      <c r="B54" s="26" t="s">
        <v>1089</v>
      </c>
      <c r="C54" s="26" t="s">
        <v>1100</v>
      </c>
      <c r="D54" s="26" t="s">
        <v>1131</v>
      </c>
      <c r="E54" s="26">
        <v>1995</v>
      </c>
      <c r="F54" s="26" t="s">
        <v>1132</v>
      </c>
      <c r="G54" s="26">
        <v>2500</v>
      </c>
      <c r="H54" s="397" t="s">
        <v>527</v>
      </c>
      <c r="I54" s="295" t="s">
        <v>526</v>
      </c>
      <c r="J54" s="295" t="s">
        <v>525</v>
      </c>
      <c r="K54" s="295"/>
      <c r="L54" s="26"/>
    </row>
    <row r="55" spans="1:12" customFormat="1" ht="15" x14ac:dyDescent="0.2">
      <c r="A55" s="106">
        <v>47</v>
      </c>
      <c r="B55" s="26" t="s">
        <v>1089</v>
      </c>
      <c r="C55" s="26" t="s">
        <v>1100</v>
      </c>
      <c r="D55" s="26" t="s">
        <v>1137</v>
      </c>
      <c r="E55" s="26">
        <v>2001</v>
      </c>
      <c r="F55" s="26" t="s">
        <v>1138</v>
      </c>
      <c r="G55" s="26">
        <v>2059</v>
      </c>
      <c r="H55" s="397" t="s">
        <v>1139</v>
      </c>
      <c r="I55" s="295" t="s">
        <v>497</v>
      </c>
      <c r="J55" s="295" t="s">
        <v>1140</v>
      </c>
      <c r="K55" s="295"/>
      <c r="L55" s="26"/>
    </row>
    <row r="56" spans="1:12" customFormat="1" ht="15" x14ac:dyDescent="0.2">
      <c r="A56" s="106">
        <v>48</v>
      </c>
      <c r="B56" s="26" t="s">
        <v>1089</v>
      </c>
      <c r="C56" s="26"/>
      <c r="D56" s="406" t="s">
        <v>1141</v>
      </c>
      <c r="E56" s="406"/>
      <c r="F56" s="406" t="s">
        <v>1142</v>
      </c>
      <c r="G56" s="26">
        <v>1750</v>
      </c>
      <c r="H56" s="106">
        <v>60001080911</v>
      </c>
      <c r="I56" s="295" t="s">
        <v>686</v>
      </c>
      <c r="J56" s="295" t="s">
        <v>687</v>
      </c>
      <c r="K56" s="295"/>
      <c r="L56" s="26"/>
    </row>
    <row r="57" spans="1:12" customFormat="1" ht="15" x14ac:dyDescent="0.2">
      <c r="A57" s="106">
        <v>49</v>
      </c>
      <c r="B57" s="26" t="s">
        <v>1089</v>
      </c>
      <c r="C57" s="26" t="s">
        <v>1090</v>
      </c>
      <c r="D57" s="406" t="s">
        <v>1143</v>
      </c>
      <c r="E57" s="406"/>
      <c r="F57" s="406" t="s">
        <v>1144</v>
      </c>
      <c r="G57" s="26">
        <v>1980</v>
      </c>
      <c r="H57" s="106">
        <v>21001004954</v>
      </c>
      <c r="I57" s="295" t="s">
        <v>1145</v>
      </c>
      <c r="J57" s="295" t="s">
        <v>1146</v>
      </c>
      <c r="K57" s="295"/>
      <c r="L57" s="26"/>
    </row>
    <row r="58" spans="1:12" customFormat="1" ht="15" x14ac:dyDescent="0.2">
      <c r="A58" s="106">
        <v>50</v>
      </c>
      <c r="B58" s="106"/>
      <c r="C58" s="26"/>
      <c r="D58" s="406" t="s">
        <v>1150</v>
      </c>
      <c r="E58" s="406"/>
      <c r="F58" s="406" t="s">
        <v>1151</v>
      </c>
      <c r="G58" s="26">
        <v>1850</v>
      </c>
      <c r="H58" s="106">
        <v>60001069392</v>
      </c>
      <c r="I58" s="295" t="s">
        <v>1152</v>
      </c>
      <c r="J58" s="295" t="s">
        <v>532</v>
      </c>
      <c r="K58" s="295"/>
      <c r="L58" s="26"/>
    </row>
    <row r="59" spans="1:12" customFormat="1" ht="15" x14ac:dyDescent="0.2">
      <c r="A59" s="106">
        <v>51</v>
      </c>
      <c r="B59" s="106"/>
      <c r="C59" s="26" t="s">
        <v>1153</v>
      </c>
      <c r="D59" s="406" t="s">
        <v>1154</v>
      </c>
      <c r="E59" s="406">
        <v>2008</v>
      </c>
      <c r="F59" s="406" t="s">
        <v>1155</v>
      </c>
      <c r="G59" s="26">
        <v>3470</v>
      </c>
      <c r="H59" s="106">
        <v>90001010684</v>
      </c>
      <c r="I59" s="295" t="s">
        <v>790</v>
      </c>
      <c r="J59" s="295" t="s">
        <v>791</v>
      </c>
      <c r="K59" s="295"/>
      <c r="L59" s="26"/>
    </row>
    <row r="60" spans="1:12" customFormat="1" ht="15" x14ac:dyDescent="0.2">
      <c r="A60" s="106">
        <v>52</v>
      </c>
      <c r="B60" s="106"/>
      <c r="C60" s="26"/>
      <c r="D60" s="406"/>
      <c r="E60" s="406"/>
      <c r="F60" s="406"/>
      <c r="G60" s="26">
        <v>1450</v>
      </c>
      <c r="H60" s="106">
        <v>1012011015</v>
      </c>
      <c r="I60" s="295" t="s">
        <v>487</v>
      </c>
      <c r="J60" s="295" t="s">
        <v>501</v>
      </c>
      <c r="K60" s="295"/>
      <c r="L60" s="26"/>
    </row>
    <row r="61" spans="1:12" customFormat="1" ht="15" x14ac:dyDescent="0.2">
      <c r="A61" s="106">
        <v>53</v>
      </c>
      <c r="B61" s="26" t="s">
        <v>1089</v>
      </c>
      <c r="C61" s="26" t="s">
        <v>1100</v>
      </c>
      <c r="D61" s="26" t="s">
        <v>1101</v>
      </c>
      <c r="E61" s="26">
        <v>1998</v>
      </c>
      <c r="F61" s="26" t="s">
        <v>1102</v>
      </c>
      <c r="G61" s="26">
        <v>300</v>
      </c>
      <c r="H61" s="397" t="s">
        <v>658</v>
      </c>
      <c r="I61" s="400" t="s">
        <v>1103</v>
      </c>
      <c r="J61" s="295" t="s">
        <v>657</v>
      </c>
      <c r="K61" s="295"/>
      <c r="L61" s="26"/>
    </row>
    <row r="62" spans="1:12" customFormat="1" ht="15" x14ac:dyDescent="0.2">
      <c r="A62" s="106">
        <v>54</v>
      </c>
      <c r="B62" s="26" t="s">
        <v>1089</v>
      </c>
      <c r="C62" s="26" t="s">
        <v>1100</v>
      </c>
      <c r="D62" s="26" t="s">
        <v>1131</v>
      </c>
      <c r="E62" s="26">
        <v>1995</v>
      </c>
      <c r="F62" s="26" t="s">
        <v>1132</v>
      </c>
      <c r="G62" s="26">
        <v>3600</v>
      </c>
      <c r="H62" s="397" t="s">
        <v>527</v>
      </c>
      <c r="I62" s="400" t="s">
        <v>526</v>
      </c>
      <c r="J62" s="295" t="s">
        <v>525</v>
      </c>
      <c r="K62" s="295"/>
      <c r="L62" s="26"/>
    </row>
    <row r="63" spans="1:12" customFormat="1" ht="15" x14ac:dyDescent="0.2">
      <c r="A63" s="106">
        <v>55</v>
      </c>
      <c r="B63" s="405" t="s">
        <v>1089</v>
      </c>
      <c r="C63" s="26"/>
      <c r="D63" s="406"/>
      <c r="E63" s="406"/>
      <c r="F63" s="406"/>
      <c r="G63" s="26">
        <v>1650</v>
      </c>
      <c r="H63" s="106"/>
      <c r="I63" s="400" t="s">
        <v>600</v>
      </c>
      <c r="J63" s="295" t="s">
        <v>599</v>
      </c>
      <c r="K63" s="295"/>
      <c r="L63" s="26"/>
    </row>
    <row r="64" spans="1:12" customFormat="1" ht="15" x14ac:dyDescent="0.2">
      <c r="A64" s="106"/>
      <c r="B64" s="106"/>
      <c r="C64" s="26"/>
      <c r="D64" s="406"/>
      <c r="E64" s="406"/>
      <c r="F64" s="406"/>
      <c r="G64" s="26"/>
      <c r="H64" s="26"/>
      <c r="I64" s="295"/>
      <c r="J64" s="295"/>
      <c r="K64" s="295"/>
      <c r="L64" s="26"/>
    </row>
    <row r="65" spans="1:12" customFormat="1" ht="15" x14ac:dyDescent="0.2">
      <c r="A65" s="106"/>
      <c r="B65" s="106"/>
      <c r="C65" s="26"/>
      <c r="D65" s="406"/>
      <c r="E65" s="406"/>
      <c r="F65" s="406"/>
      <c r="G65" s="26"/>
      <c r="H65" s="26"/>
      <c r="I65" s="295"/>
      <c r="J65" s="295"/>
      <c r="K65" s="295"/>
      <c r="L65" s="26"/>
    </row>
    <row r="66" spans="1:12" customFormat="1" ht="15" x14ac:dyDescent="0.2">
      <c r="A66" s="106"/>
      <c r="B66" s="106"/>
      <c r="C66" s="26"/>
      <c r="D66" s="26"/>
      <c r="E66" s="26"/>
      <c r="F66" s="26"/>
      <c r="G66" s="26"/>
      <c r="H66" s="26"/>
      <c r="I66" s="295"/>
      <c r="J66" s="295"/>
      <c r="K66" s="295"/>
      <c r="L66" s="26"/>
    </row>
    <row r="67" spans="1:12" customFormat="1" ht="15" x14ac:dyDescent="0.2">
      <c r="A67" s="106"/>
      <c r="B67" s="106"/>
      <c r="C67" s="26"/>
      <c r="D67" s="26"/>
      <c r="E67" s="26"/>
      <c r="F67" s="26"/>
      <c r="G67" s="26"/>
      <c r="H67" s="26"/>
      <c r="I67" s="295"/>
      <c r="J67" s="295"/>
      <c r="K67" s="295"/>
      <c r="L67" s="26"/>
    </row>
    <row r="68" spans="1:12" customFormat="1" ht="15" x14ac:dyDescent="0.2">
      <c r="A68" s="106"/>
      <c r="B68" s="106"/>
      <c r="C68" s="26"/>
      <c r="D68" s="26"/>
      <c r="E68" s="26"/>
      <c r="F68" s="26"/>
      <c r="G68" s="26"/>
      <c r="H68" s="26"/>
      <c r="I68" s="295"/>
      <c r="J68" s="295"/>
      <c r="K68" s="295"/>
      <c r="L68" s="26"/>
    </row>
    <row r="69" spans="1:12" customFormat="1" ht="15" x14ac:dyDescent="0.2">
      <c r="A69" s="106" t="s">
        <v>284</v>
      </c>
      <c r="B69" s="106"/>
      <c r="C69" s="26"/>
      <c r="D69" s="26"/>
      <c r="E69" s="26"/>
      <c r="F69" s="26"/>
      <c r="G69" s="26">
        <v>138259</v>
      </c>
      <c r="H69" s="26"/>
      <c r="I69" s="295"/>
      <c r="J69" s="295"/>
      <c r="K69" s="295"/>
      <c r="L69" s="26"/>
    </row>
    <row r="70" spans="1:12" x14ac:dyDescent="0.2">
      <c r="A70" s="300"/>
      <c r="B70" s="300"/>
      <c r="C70" s="300"/>
      <c r="D70" s="300"/>
      <c r="E70" s="300"/>
      <c r="F70" s="300"/>
      <c r="G70" s="300"/>
      <c r="H70" s="300"/>
      <c r="I70" s="300"/>
      <c r="J70" s="300"/>
      <c r="K70" s="300"/>
      <c r="L70" s="300"/>
    </row>
    <row r="71" spans="1:12" x14ac:dyDescent="0.2">
      <c r="A71" s="300"/>
      <c r="B71" s="300"/>
      <c r="C71" s="300"/>
      <c r="D71" s="300"/>
      <c r="E71" s="300"/>
      <c r="F71" s="300"/>
      <c r="G71" s="300"/>
      <c r="H71" s="300"/>
      <c r="I71" s="300"/>
      <c r="J71" s="300"/>
      <c r="K71" s="300"/>
      <c r="L71" s="300"/>
    </row>
    <row r="72" spans="1:12" x14ac:dyDescent="0.2">
      <c r="A72" s="301"/>
      <c r="B72" s="301"/>
      <c r="C72" s="300"/>
      <c r="D72" s="300"/>
      <c r="E72" s="300"/>
      <c r="F72" s="300"/>
      <c r="G72" s="300"/>
      <c r="H72" s="300"/>
      <c r="I72" s="300"/>
      <c r="J72" s="300"/>
      <c r="K72" s="300"/>
      <c r="L72" s="300"/>
    </row>
    <row r="73" spans="1:12" ht="15" x14ac:dyDescent="0.3">
      <c r="A73" s="259"/>
      <c r="B73" s="259"/>
      <c r="C73" s="261" t="s">
        <v>107</v>
      </c>
      <c r="D73" s="259"/>
      <c r="E73" s="259"/>
      <c r="F73" s="262"/>
      <c r="G73" s="259"/>
      <c r="H73" s="259"/>
      <c r="I73" s="259"/>
      <c r="J73" s="259"/>
      <c r="K73" s="259"/>
      <c r="L73" s="259"/>
    </row>
    <row r="74" spans="1:12" ht="15" x14ac:dyDescent="0.3">
      <c r="A74" s="259"/>
      <c r="B74" s="259"/>
      <c r="C74" s="259"/>
      <c r="D74" s="263"/>
      <c r="E74" s="259"/>
      <c r="G74" s="263"/>
      <c r="H74" s="306"/>
    </row>
    <row r="75" spans="1:12" ht="15" x14ac:dyDescent="0.3">
      <c r="C75" s="259"/>
      <c r="D75" s="265" t="s">
        <v>271</v>
      </c>
      <c r="E75" s="259"/>
      <c r="G75" s="266" t="s">
        <v>276</v>
      </c>
    </row>
    <row r="76" spans="1:12" ht="15" x14ac:dyDescent="0.3">
      <c r="C76" s="259"/>
      <c r="D76" s="267" t="s">
        <v>140</v>
      </c>
      <c r="E76" s="259"/>
      <c r="G76" s="259" t="s">
        <v>272</v>
      </c>
    </row>
    <row r="77" spans="1:12" ht="15" x14ac:dyDescent="0.3">
      <c r="C77" s="259"/>
      <c r="D77" s="267"/>
    </row>
  </sheetData>
  <mergeCells count="1">
    <mergeCell ref="L2:M2"/>
  </mergeCells>
  <pageMargins left="0.7" right="0.7" top="0.75" bottom="0.75" header="0.3" footer="0.3"/>
  <pageSetup scale="4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A5" sqref="A5"/>
    </sheetView>
  </sheetViews>
  <sheetFormatPr defaultRowHeight="12.75" x14ac:dyDescent="0.2"/>
  <cols>
    <col min="1" max="1" width="11.7109375" style="260" customWidth="1"/>
    <col min="2" max="2" width="21.5703125" style="260" customWidth="1"/>
    <col min="3" max="3" width="19.140625" style="260" customWidth="1"/>
    <col min="4" max="4" width="23.7109375" style="260" customWidth="1"/>
    <col min="5" max="6" width="16.5703125" style="260" bestFit="1" customWidth="1"/>
    <col min="7" max="7" width="17" style="260" customWidth="1"/>
    <col min="8" max="8" width="19" style="260" customWidth="1"/>
    <col min="9" max="9" width="24.42578125" style="260" customWidth="1"/>
    <col min="10" max="16384" width="9.140625" style="260"/>
  </cols>
  <sheetData>
    <row r="1" spans="1:13" customFormat="1" ht="15" x14ac:dyDescent="0.2">
      <c r="A1" s="195" t="s">
        <v>476</v>
      </c>
      <c r="B1" s="196"/>
      <c r="C1" s="196"/>
      <c r="D1" s="196"/>
      <c r="E1" s="196"/>
      <c r="F1" s="196"/>
      <c r="G1" s="196"/>
      <c r="H1" s="202"/>
      <c r="I1" s="120" t="s">
        <v>110</v>
      </c>
    </row>
    <row r="2" spans="1:13" customFormat="1" ht="15" x14ac:dyDescent="0.3">
      <c r="A2" s="162" t="s">
        <v>141</v>
      </c>
      <c r="B2" s="196"/>
      <c r="C2" s="196"/>
      <c r="D2" s="196"/>
      <c r="E2" s="196"/>
      <c r="F2" s="196"/>
      <c r="G2" s="196"/>
      <c r="H2" s="202"/>
      <c r="I2" s="410" t="s">
        <v>609</v>
      </c>
      <c r="J2" s="411"/>
    </row>
    <row r="3" spans="1:13" customFormat="1" ht="15" x14ac:dyDescent="0.2">
      <c r="A3" s="196"/>
      <c r="B3" s="196"/>
      <c r="C3" s="196"/>
      <c r="D3" s="196"/>
      <c r="E3" s="196"/>
      <c r="F3" s="196"/>
      <c r="G3" s="196"/>
      <c r="H3" s="199"/>
      <c r="I3" s="199"/>
      <c r="M3" s="260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6"/>
      <c r="E4" s="196"/>
      <c r="F4" s="196"/>
      <c r="G4" s="196"/>
      <c r="H4" s="196"/>
      <c r="I4" s="205"/>
    </row>
    <row r="5" spans="1:13" ht="15" x14ac:dyDescent="0.3">
      <c r="A5" s="274" t="s">
        <v>610</v>
      </c>
      <c r="B5" s="122"/>
      <c r="C5" s="122"/>
      <c r="D5" s="299"/>
      <c r="E5" s="299"/>
      <c r="F5" s="299"/>
      <c r="G5" s="299"/>
      <c r="H5" s="299"/>
      <c r="I5" s="298"/>
    </row>
    <row r="6" spans="1:13" customFormat="1" ht="13.5" x14ac:dyDescent="0.2">
      <c r="A6" s="200"/>
      <c r="B6" s="201"/>
      <c r="C6" s="201"/>
      <c r="D6" s="196"/>
      <c r="E6" s="196"/>
      <c r="F6" s="196"/>
      <c r="G6" s="196"/>
      <c r="H6" s="196"/>
      <c r="I6" s="196"/>
    </row>
    <row r="7" spans="1:13" customFormat="1" ht="60" x14ac:dyDescent="0.2">
      <c r="A7" s="208" t="s">
        <v>64</v>
      </c>
      <c r="B7" s="194" t="s">
        <v>391</v>
      </c>
      <c r="C7" s="194" t="s">
        <v>392</v>
      </c>
      <c r="D7" s="194" t="s">
        <v>397</v>
      </c>
      <c r="E7" s="194" t="s">
        <v>399</v>
      </c>
      <c r="F7" s="194" t="s">
        <v>393</v>
      </c>
      <c r="G7" s="194" t="s">
        <v>394</v>
      </c>
      <c r="H7" s="194" t="s">
        <v>406</v>
      </c>
      <c r="I7" s="194" t="s">
        <v>395</v>
      </c>
    </row>
    <row r="8" spans="1:13" customFormat="1" ht="15" x14ac:dyDescent="0.2">
      <c r="A8" s="192">
        <v>1</v>
      </c>
      <c r="B8" s="192">
        <v>2</v>
      </c>
      <c r="C8" s="194">
        <v>3</v>
      </c>
      <c r="D8" s="192">
        <v>6</v>
      </c>
      <c r="E8" s="194">
        <v>7</v>
      </c>
      <c r="F8" s="192">
        <v>8</v>
      </c>
      <c r="G8" s="192">
        <v>9</v>
      </c>
      <c r="H8" s="192">
        <v>10</v>
      </c>
      <c r="I8" s="194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295"/>
      <c r="G9" s="295"/>
      <c r="H9" s="295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295"/>
      <c r="G10" s="295"/>
      <c r="H10" s="295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295"/>
      <c r="G11" s="295"/>
      <c r="H11" s="295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295"/>
      <c r="G12" s="295"/>
      <c r="H12" s="295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295"/>
      <c r="G13" s="295"/>
      <c r="H13" s="295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295"/>
      <c r="G14" s="295"/>
      <c r="H14" s="295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295"/>
      <c r="G15" s="295"/>
      <c r="H15" s="295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295"/>
      <c r="G16" s="295"/>
      <c r="H16" s="295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295"/>
      <c r="G17" s="295"/>
      <c r="H17" s="295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295"/>
      <c r="G18" s="295"/>
      <c r="H18" s="295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295"/>
      <c r="G19" s="295"/>
      <c r="H19" s="295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295"/>
      <c r="G20" s="295"/>
      <c r="H20" s="295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295"/>
      <c r="G21" s="295"/>
      <c r="H21" s="295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295"/>
      <c r="G22" s="295"/>
      <c r="H22" s="295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295"/>
      <c r="G23" s="295"/>
      <c r="H23" s="295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295"/>
      <c r="G24" s="295"/>
      <c r="H24" s="295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295"/>
      <c r="G25" s="295"/>
      <c r="H25" s="295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295"/>
      <c r="G26" s="295"/>
      <c r="H26" s="295"/>
      <c r="I26" s="26"/>
    </row>
    <row r="27" spans="1:9" customFormat="1" ht="15" x14ac:dyDescent="0.2">
      <c r="A27" s="106" t="s">
        <v>284</v>
      </c>
      <c r="B27" s="26"/>
      <c r="C27" s="26"/>
      <c r="D27" s="26"/>
      <c r="E27" s="26"/>
      <c r="F27" s="295"/>
      <c r="G27" s="295"/>
      <c r="H27" s="295"/>
      <c r="I27" s="26"/>
    </row>
    <row r="28" spans="1:9" x14ac:dyDescent="0.2">
      <c r="A28" s="300"/>
      <c r="B28" s="300"/>
      <c r="C28" s="300"/>
      <c r="D28" s="300"/>
      <c r="E28" s="300"/>
      <c r="F28" s="300"/>
      <c r="G28" s="300"/>
      <c r="H28" s="300"/>
      <c r="I28" s="300"/>
    </row>
    <row r="29" spans="1:9" x14ac:dyDescent="0.2">
      <c r="A29" s="300"/>
      <c r="B29" s="300"/>
      <c r="C29" s="300"/>
      <c r="D29" s="300"/>
      <c r="E29" s="300"/>
      <c r="F29" s="300"/>
      <c r="G29" s="300"/>
      <c r="H29" s="300"/>
      <c r="I29" s="300"/>
    </row>
    <row r="30" spans="1:9" x14ac:dyDescent="0.2">
      <c r="A30" s="301"/>
      <c r="B30" s="300"/>
      <c r="C30" s="300"/>
      <c r="D30" s="300"/>
      <c r="E30" s="300"/>
      <c r="F30" s="300"/>
      <c r="G30" s="300"/>
      <c r="H30" s="300"/>
      <c r="I30" s="300"/>
    </row>
    <row r="31" spans="1:9" ht="15" x14ac:dyDescent="0.3">
      <c r="A31" s="259"/>
      <c r="B31" s="261" t="s">
        <v>107</v>
      </c>
      <c r="C31" s="259"/>
      <c r="D31" s="259"/>
      <c r="E31" s="262"/>
      <c r="F31" s="259"/>
      <c r="G31" s="259"/>
      <c r="H31" s="259"/>
      <c r="I31" s="259"/>
    </row>
    <row r="32" spans="1:9" ht="15" x14ac:dyDescent="0.3">
      <c r="A32" s="259"/>
      <c r="B32" s="259"/>
      <c r="C32" s="263"/>
      <c r="D32" s="259"/>
      <c r="F32" s="263"/>
      <c r="G32" s="306"/>
    </row>
    <row r="33" spans="2:6" ht="15" x14ac:dyDescent="0.3">
      <c r="B33" s="259"/>
      <c r="C33" s="265" t="s">
        <v>271</v>
      </c>
      <c r="D33" s="259"/>
      <c r="F33" s="266" t="s">
        <v>276</v>
      </c>
    </row>
    <row r="34" spans="2:6" ht="15" x14ac:dyDescent="0.3">
      <c r="B34" s="259"/>
      <c r="C34" s="267" t="s">
        <v>140</v>
      </c>
      <c r="D34" s="259"/>
      <c r="F34" s="259" t="s">
        <v>272</v>
      </c>
    </row>
    <row r="35" spans="2:6" ht="15" x14ac:dyDescent="0.3">
      <c r="B35" s="259"/>
      <c r="C35" s="267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Normal="100" zoomScaleSheetLayoutView="70" workbookViewId="0">
      <selection activeCell="A35" sqref="A35:XFD35"/>
    </sheetView>
  </sheetViews>
  <sheetFormatPr defaultRowHeight="15" x14ac:dyDescent="0.3"/>
  <cols>
    <col min="1" max="1" width="10" style="259" customWidth="1"/>
    <col min="2" max="2" width="20.28515625" style="259" customWidth="1"/>
    <col min="3" max="3" width="30" style="259" customWidth="1"/>
    <col min="4" max="4" width="29" style="259" customWidth="1"/>
    <col min="5" max="5" width="22.5703125" style="259" customWidth="1"/>
    <col min="6" max="6" width="20" style="259" customWidth="1"/>
    <col min="7" max="7" width="29.28515625" style="259" customWidth="1"/>
    <col min="8" max="8" width="27.140625" style="259" customWidth="1"/>
    <col min="9" max="9" width="26.42578125" style="259" customWidth="1"/>
    <col min="10" max="10" width="0.5703125" style="259" customWidth="1"/>
    <col min="11" max="16384" width="9.140625" style="259"/>
  </cols>
  <sheetData>
    <row r="1" spans="1:10" x14ac:dyDescent="0.3">
      <c r="A1" s="116" t="s">
        <v>411</v>
      </c>
      <c r="B1" s="118"/>
      <c r="C1" s="118"/>
      <c r="D1" s="118"/>
      <c r="E1" s="118"/>
      <c r="F1" s="118"/>
      <c r="G1" s="118"/>
      <c r="H1" s="118"/>
      <c r="I1" s="239" t="s">
        <v>199</v>
      </c>
      <c r="J1" s="240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410" t="s">
        <v>609</v>
      </c>
      <c r="J2" s="411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0"/>
    </row>
    <row r="4" spans="1:10" x14ac:dyDescent="0.3">
      <c r="A4" s="119" t="str">
        <f>'[5]ფორმა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274" t="s">
        <v>610</v>
      </c>
      <c r="B5" s="297"/>
      <c r="C5" s="297"/>
      <c r="D5" s="297"/>
      <c r="E5" s="297"/>
      <c r="F5" s="297"/>
      <c r="G5" s="297"/>
      <c r="H5" s="297"/>
      <c r="I5" s="297"/>
      <c r="J5" s="266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1" t="s">
        <v>64</v>
      </c>
      <c r="B8" s="241" t="s">
        <v>383</v>
      </c>
      <c r="C8" s="242" t="s">
        <v>445</v>
      </c>
      <c r="D8" s="242" t="s">
        <v>446</v>
      </c>
      <c r="E8" s="242" t="s">
        <v>384</v>
      </c>
      <c r="F8" s="242" t="s">
        <v>403</v>
      </c>
      <c r="G8" s="242" t="s">
        <v>404</v>
      </c>
      <c r="H8" s="242" t="s">
        <v>451</v>
      </c>
      <c r="I8" s="242" t="s">
        <v>405</v>
      </c>
      <c r="J8" s="162"/>
    </row>
    <row r="9" spans="1:10" x14ac:dyDescent="0.3">
      <c r="A9" s="244">
        <v>1</v>
      </c>
      <c r="B9" s="281"/>
      <c r="C9" s="249"/>
      <c r="D9" s="249"/>
      <c r="E9" s="248"/>
      <c r="F9" s="248"/>
      <c r="G9" s="248"/>
      <c r="H9" s="248"/>
      <c r="I9" s="248"/>
      <c r="J9" s="162"/>
    </row>
    <row r="10" spans="1:10" x14ac:dyDescent="0.3">
      <c r="A10" s="244">
        <v>2</v>
      </c>
      <c r="B10" s="281"/>
      <c r="C10" s="249"/>
      <c r="D10" s="249"/>
      <c r="E10" s="248"/>
      <c r="F10" s="248"/>
      <c r="G10" s="248"/>
      <c r="H10" s="248"/>
      <c r="I10" s="248"/>
      <c r="J10" s="162"/>
    </row>
    <row r="11" spans="1:10" x14ac:dyDescent="0.3">
      <c r="A11" s="244">
        <v>3</v>
      </c>
      <c r="B11" s="281"/>
      <c r="C11" s="249"/>
      <c r="D11" s="249"/>
      <c r="E11" s="248"/>
      <c r="F11" s="248"/>
      <c r="G11" s="248"/>
      <c r="H11" s="248"/>
      <c r="I11" s="248"/>
      <c r="J11" s="162"/>
    </row>
    <row r="12" spans="1:10" x14ac:dyDescent="0.3">
      <c r="A12" s="244">
        <v>4</v>
      </c>
      <c r="B12" s="281"/>
      <c r="C12" s="249"/>
      <c r="D12" s="249"/>
      <c r="E12" s="248"/>
      <c r="F12" s="248"/>
      <c r="G12" s="248"/>
      <c r="H12" s="248"/>
      <c r="I12" s="248"/>
      <c r="J12" s="162"/>
    </row>
    <row r="13" spans="1:10" x14ac:dyDescent="0.3">
      <c r="A13" s="244">
        <v>5</v>
      </c>
      <c r="B13" s="281"/>
      <c r="C13" s="249"/>
      <c r="D13" s="249"/>
      <c r="E13" s="248"/>
      <c r="F13" s="248"/>
      <c r="G13" s="248"/>
      <c r="H13" s="248"/>
      <c r="I13" s="248"/>
      <c r="J13" s="162"/>
    </row>
    <row r="14" spans="1:10" x14ac:dyDescent="0.3">
      <c r="A14" s="244">
        <v>6</v>
      </c>
      <c r="B14" s="281"/>
      <c r="C14" s="249"/>
      <c r="D14" s="249"/>
      <c r="E14" s="248"/>
      <c r="F14" s="248"/>
      <c r="G14" s="248"/>
      <c r="H14" s="248"/>
      <c r="I14" s="248"/>
      <c r="J14" s="162"/>
    </row>
    <row r="15" spans="1:10" x14ac:dyDescent="0.3">
      <c r="A15" s="244">
        <v>7</v>
      </c>
      <c r="B15" s="281"/>
      <c r="C15" s="249"/>
      <c r="D15" s="249"/>
      <c r="E15" s="248"/>
      <c r="F15" s="248"/>
      <c r="G15" s="248"/>
      <c r="H15" s="248"/>
      <c r="I15" s="248"/>
      <c r="J15" s="162"/>
    </row>
    <row r="16" spans="1:10" x14ac:dyDescent="0.3">
      <c r="A16" s="244">
        <v>8</v>
      </c>
      <c r="B16" s="281"/>
      <c r="C16" s="249"/>
      <c r="D16" s="249"/>
      <c r="E16" s="248"/>
      <c r="F16" s="248"/>
      <c r="G16" s="248"/>
      <c r="H16" s="248"/>
      <c r="I16" s="248"/>
      <c r="J16" s="162"/>
    </row>
    <row r="17" spans="1:10" x14ac:dyDescent="0.3">
      <c r="A17" s="244">
        <v>9</v>
      </c>
      <c r="B17" s="281"/>
      <c r="C17" s="249"/>
      <c r="D17" s="249"/>
      <c r="E17" s="248"/>
      <c r="F17" s="248"/>
      <c r="G17" s="248"/>
      <c r="H17" s="248"/>
      <c r="I17" s="248"/>
      <c r="J17" s="162"/>
    </row>
    <row r="18" spans="1:10" x14ac:dyDescent="0.3">
      <c r="A18" s="244">
        <v>10</v>
      </c>
      <c r="B18" s="281"/>
      <c r="C18" s="249"/>
      <c r="D18" s="249"/>
      <c r="E18" s="248"/>
      <c r="F18" s="248"/>
      <c r="G18" s="248"/>
      <c r="H18" s="248"/>
      <c r="I18" s="248"/>
      <c r="J18" s="162"/>
    </row>
    <row r="19" spans="1:10" x14ac:dyDescent="0.3">
      <c r="A19" s="244">
        <v>11</v>
      </c>
      <c r="B19" s="281"/>
      <c r="C19" s="249"/>
      <c r="D19" s="249"/>
      <c r="E19" s="248"/>
      <c r="F19" s="248"/>
      <c r="G19" s="248"/>
      <c r="H19" s="248"/>
      <c r="I19" s="248"/>
      <c r="J19" s="162"/>
    </row>
    <row r="20" spans="1:10" x14ac:dyDescent="0.3">
      <c r="A20" s="244">
        <v>12</v>
      </c>
      <c r="B20" s="281"/>
      <c r="C20" s="249"/>
      <c r="D20" s="249"/>
      <c r="E20" s="248"/>
      <c r="F20" s="248"/>
      <c r="G20" s="248"/>
      <c r="H20" s="248"/>
      <c r="I20" s="248"/>
      <c r="J20" s="162"/>
    </row>
    <row r="21" spans="1:10" x14ac:dyDescent="0.3">
      <c r="A21" s="244">
        <v>13</v>
      </c>
      <c r="B21" s="281"/>
      <c r="C21" s="249"/>
      <c r="D21" s="249"/>
      <c r="E21" s="248"/>
      <c r="F21" s="248"/>
      <c r="G21" s="248"/>
      <c r="H21" s="248"/>
      <c r="I21" s="248"/>
      <c r="J21" s="162"/>
    </row>
    <row r="22" spans="1:10" x14ac:dyDescent="0.3">
      <c r="A22" s="244">
        <v>14</v>
      </c>
      <c r="B22" s="281"/>
      <c r="C22" s="249"/>
      <c r="D22" s="249"/>
      <c r="E22" s="248"/>
      <c r="F22" s="248"/>
      <c r="G22" s="248"/>
      <c r="H22" s="248"/>
      <c r="I22" s="248"/>
      <c r="J22" s="162"/>
    </row>
    <row r="23" spans="1:10" x14ac:dyDescent="0.3">
      <c r="A23" s="244">
        <v>15</v>
      </c>
      <c r="B23" s="281"/>
      <c r="C23" s="249"/>
      <c r="D23" s="249"/>
      <c r="E23" s="248"/>
      <c r="F23" s="248"/>
      <c r="G23" s="248"/>
      <c r="H23" s="248"/>
      <c r="I23" s="248"/>
      <c r="J23" s="162"/>
    </row>
    <row r="24" spans="1:10" x14ac:dyDescent="0.3">
      <c r="A24" s="244">
        <v>16</v>
      </c>
      <c r="B24" s="281"/>
      <c r="C24" s="249"/>
      <c r="D24" s="249"/>
      <c r="E24" s="248"/>
      <c r="F24" s="248"/>
      <c r="G24" s="248"/>
      <c r="H24" s="248"/>
      <c r="I24" s="248"/>
      <c r="J24" s="162"/>
    </row>
    <row r="25" spans="1:10" x14ac:dyDescent="0.3">
      <c r="A25" s="244">
        <v>17</v>
      </c>
      <c r="B25" s="281"/>
      <c r="C25" s="249"/>
      <c r="D25" s="249"/>
      <c r="E25" s="248"/>
      <c r="F25" s="248"/>
      <c r="G25" s="248"/>
      <c r="H25" s="248"/>
      <c r="I25" s="248"/>
      <c r="J25" s="162"/>
    </row>
    <row r="26" spans="1:10" x14ac:dyDescent="0.3">
      <c r="A26" s="244">
        <v>18</v>
      </c>
      <c r="B26" s="281"/>
      <c r="C26" s="249"/>
      <c r="D26" s="249"/>
      <c r="E26" s="248"/>
      <c r="F26" s="248"/>
      <c r="G26" s="248"/>
      <c r="H26" s="248"/>
      <c r="I26" s="248"/>
      <c r="J26" s="162"/>
    </row>
    <row r="27" spans="1:10" x14ac:dyDescent="0.3">
      <c r="A27" s="244">
        <v>19</v>
      </c>
      <c r="B27" s="281"/>
      <c r="C27" s="249"/>
      <c r="D27" s="249"/>
      <c r="E27" s="248"/>
      <c r="F27" s="248"/>
      <c r="G27" s="248"/>
      <c r="H27" s="248"/>
      <c r="I27" s="248"/>
      <c r="J27" s="162"/>
    </row>
    <row r="28" spans="1:10" x14ac:dyDescent="0.3">
      <c r="A28" s="244">
        <v>20</v>
      </c>
      <c r="B28" s="281"/>
      <c r="C28" s="249"/>
      <c r="D28" s="249"/>
      <c r="E28" s="248"/>
      <c r="F28" s="248"/>
      <c r="G28" s="248"/>
      <c r="H28" s="248"/>
      <c r="I28" s="248"/>
      <c r="J28" s="162"/>
    </row>
    <row r="29" spans="1:10" x14ac:dyDescent="0.3">
      <c r="A29" s="244">
        <v>21</v>
      </c>
      <c r="B29" s="281"/>
      <c r="C29" s="252"/>
      <c r="D29" s="252"/>
      <c r="E29" s="251"/>
      <c r="F29" s="251"/>
      <c r="G29" s="251"/>
      <c r="H29" s="353"/>
      <c r="I29" s="248"/>
      <c r="J29" s="162"/>
    </row>
    <row r="30" spans="1:10" x14ac:dyDescent="0.3">
      <c r="A30" s="244">
        <v>22</v>
      </c>
      <c r="B30" s="281"/>
      <c r="C30" s="252"/>
      <c r="D30" s="252"/>
      <c r="E30" s="251"/>
      <c r="F30" s="251"/>
      <c r="G30" s="251"/>
      <c r="H30" s="353"/>
      <c r="I30" s="248"/>
      <c r="J30" s="162"/>
    </row>
    <row r="31" spans="1:10" x14ac:dyDescent="0.3">
      <c r="A31" s="244">
        <v>23</v>
      </c>
      <c r="B31" s="281"/>
      <c r="C31" s="252"/>
      <c r="D31" s="252"/>
      <c r="E31" s="251"/>
      <c r="F31" s="251"/>
      <c r="G31" s="251"/>
      <c r="H31" s="353"/>
      <c r="I31" s="248"/>
      <c r="J31" s="162"/>
    </row>
    <row r="32" spans="1:10" x14ac:dyDescent="0.3">
      <c r="A32" s="244">
        <v>24</v>
      </c>
      <c r="B32" s="281"/>
      <c r="C32" s="252"/>
      <c r="D32" s="252"/>
      <c r="E32" s="251"/>
      <c r="F32" s="251"/>
      <c r="G32" s="251"/>
      <c r="H32" s="353"/>
      <c r="I32" s="248"/>
      <c r="J32" s="162"/>
    </row>
    <row r="33" spans="1:12" x14ac:dyDescent="0.3">
      <c r="A33" s="244">
        <v>25</v>
      </c>
      <c r="B33" s="281"/>
      <c r="C33" s="252"/>
      <c r="D33" s="252"/>
      <c r="E33" s="251"/>
      <c r="F33" s="251"/>
      <c r="G33" s="251"/>
      <c r="H33" s="353"/>
      <c r="I33" s="248"/>
      <c r="J33" s="162"/>
    </row>
    <row r="34" spans="1:12" x14ac:dyDescent="0.3">
      <c r="A34" s="244">
        <v>26</v>
      </c>
      <c r="B34" s="281"/>
      <c r="C34" s="252"/>
      <c r="D34" s="252"/>
      <c r="E34" s="251"/>
      <c r="F34" s="251"/>
      <c r="G34" s="251"/>
      <c r="H34" s="353"/>
      <c r="I34" s="248"/>
      <c r="J34" s="162"/>
    </row>
    <row r="35" spans="1:12" x14ac:dyDescent="0.3">
      <c r="A35" s="244">
        <v>27</v>
      </c>
      <c r="B35" s="281"/>
      <c r="C35" s="252"/>
      <c r="D35" s="252"/>
      <c r="E35" s="251"/>
      <c r="F35" s="251"/>
      <c r="G35" s="251"/>
      <c r="H35" s="353"/>
      <c r="I35" s="248"/>
      <c r="J35" s="162"/>
    </row>
    <row r="36" spans="1:12" x14ac:dyDescent="0.3">
      <c r="A36" s="244">
        <v>28</v>
      </c>
      <c r="B36" s="281"/>
      <c r="C36" s="252"/>
      <c r="D36" s="252"/>
      <c r="E36" s="251"/>
      <c r="F36" s="251"/>
      <c r="G36" s="251"/>
      <c r="H36" s="353"/>
      <c r="I36" s="248"/>
      <c r="J36" s="162"/>
    </row>
    <row r="37" spans="1:12" x14ac:dyDescent="0.3">
      <c r="A37" s="244">
        <v>29</v>
      </c>
      <c r="B37" s="281"/>
      <c r="C37" s="252"/>
      <c r="D37" s="252"/>
      <c r="E37" s="251"/>
      <c r="F37" s="251"/>
      <c r="G37" s="251"/>
      <c r="H37" s="353"/>
      <c r="I37" s="248"/>
      <c r="J37" s="162"/>
    </row>
    <row r="38" spans="1:12" x14ac:dyDescent="0.3">
      <c r="A38" s="244" t="s">
        <v>284</v>
      </c>
      <c r="B38" s="281"/>
      <c r="C38" s="252"/>
      <c r="D38" s="252"/>
      <c r="E38" s="251"/>
      <c r="F38" s="251"/>
      <c r="G38" s="355"/>
      <c r="H38" s="366" t="s">
        <v>438</v>
      </c>
      <c r="I38" s="356">
        <f>SUM(I9:I37)</f>
        <v>0</v>
      </c>
      <c r="J38" s="162"/>
    </row>
    <row r="40" spans="1:12" x14ac:dyDescent="0.3">
      <c r="A40" s="259" t="s">
        <v>477</v>
      </c>
    </row>
    <row r="42" spans="1:12" x14ac:dyDescent="0.3">
      <c r="B42" s="261" t="s">
        <v>107</v>
      </c>
      <c r="F42" s="262"/>
    </row>
    <row r="43" spans="1:12" x14ac:dyDescent="0.3">
      <c r="F43" s="260"/>
      <c r="I43" s="260"/>
      <c r="J43" s="260"/>
      <c r="K43" s="260"/>
      <c r="L43" s="260"/>
    </row>
    <row r="44" spans="1:12" x14ac:dyDescent="0.3">
      <c r="C44" s="263"/>
      <c r="F44" s="263"/>
      <c r="G44" s="263"/>
      <c r="H44" s="266"/>
      <c r="I44" s="264"/>
      <c r="J44" s="260"/>
      <c r="K44" s="260"/>
      <c r="L44" s="260"/>
    </row>
    <row r="45" spans="1:12" x14ac:dyDescent="0.3">
      <c r="A45" s="260"/>
      <c r="C45" s="265" t="s">
        <v>271</v>
      </c>
      <c r="F45" s="266" t="s">
        <v>276</v>
      </c>
      <c r="G45" s="265"/>
      <c r="H45" s="265"/>
      <c r="I45" s="264"/>
      <c r="J45" s="260"/>
      <c r="K45" s="260"/>
      <c r="L45" s="260"/>
    </row>
    <row r="46" spans="1:12" x14ac:dyDescent="0.3">
      <c r="A46" s="260"/>
      <c r="C46" s="267" t="s">
        <v>140</v>
      </c>
      <c r="F46" s="259" t="s">
        <v>272</v>
      </c>
      <c r="I46" s="260"/>
      <c r="J46" s="260"/>
      <c r="K46" s="260"/>
      <c r="L46" s="260"/>
    </row>
    <row r="47" spans="1:12" s="260" customFormat="1" x14ac:dyDescent="0.3">
      <c r="B47" s="259"/>
      <c r="C47" s="267"/>
      <c r="G47" s="267"/>
      <c r="H47" s="267"/>
    </row>
    <row r="48" spans="1:12" s="260" customFormat="1" ht="12.75" x14ac:dyDescent="0.2"/>
    <row r="49" s="260" customFormat="1" ht="12.75" x14ac:dyDescent="0.2"/>
    <row r="50" s="260" customFormat="1" ht="12.75" x14ac:dyDescent="0.2"/>
    <row r="51" s="26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Normal="100" zoomScaleSheetLayoutView="70" workbookViewId="0">
      <selection activeCell="B5" sqref="B5"/>
    </sheetView>
  </sheetViews>
  <sheetFormatPr defaultRowHeight="12.75" x14ac:dyDescent="0.2"/>
  <cols>
    <col min="1" max="1" width="2.7109375" style="271" customWidth="1"/>
    <col min="2" max="2" width="9" style="271" customWidth="1"/>
    <col min="3" max="3" width="23.42578125" style="271" customWidth="1"/>
    <col min="4" max="4" width="13.28515625" style="271" customWidth="1"/>
    <col min="5" max="5" width="9.5703125" style="271" customWidth="1"/>
    <col min="6" max="6" width="11.5703125" style="271" customWidth="1"/>
    <col min="7" max="7" width="12.28515625" style="271" customWidth="1"/>
    <col min="8" max="8" width="15.28515625" style="271" customWidth="1"/>
    <col min="9" max="9" width="17.5703125" style="271" customWidth="1"/>
    <col min="10" max="11" width="12.42578125" style="271" customWidth="1"/>
    <col min="12" max="12" width="23.5703125" style="271" customWidth="1"/>
    <col min="13" max="13" width="18.5703125" style="271" customWidth="1"/>
    <col min="14" max="14" width="0.85546875" style="271" customWidth="1"/>
    <col min="15" max="16384" width="9.140625" style="271"/>
  </cols>
  <sheetData>
    <row r="1" spans="1:14" ht="13.5" x14ac:dyDescent="0.2">
      <c r="A1" s="268" t="s">
        <v>479</v>
      </c>
      <c r="B1" s="269"/>
      <c r="C1" s="269"/>
      <c r="D1" s="269"/>
      <c r="E1" s="269"/>
      <c r="F1" s="269"/>
      <c r="G1" s="269"/>
      <c r="H1" s="269"/>
      <c r="I1" s="272"/>
      <c r="J1" s="341"/>
      <c r="K1" s="341"/>
      <c r="L1" s="341"/>
      <c r="M1" s="341" t="s">
        <v>427</v>
      </c>
      <c r="N1" s="272"/>
    </row>
    <row r="2" spans="1:14" ht="15" x14ac:dyDescent="0.2">
      <c r="A2" s="272" t="s">
        <v>323</v>
      </c>
      <c r="B2" s="269"/>
      <c r="C2" s="269"/>
      <c r="D2" s="270"/>
      <c r="E2" s="270"/>
      <c r="F2" s="270"/>
      <c r="G2" s="270"/>
      <c r="H2" s="270"/>
      <c r="I2" s="269"/>
      <c r="J2" s="269"/>
      <c r="K2" s="269"/>
      <c r="L2" s="269"/>
      <c r="M2" s="410" t="s">
        <v>609</v>
      </c>
      <c r="N2" s="411"/>
    </row>
    <row r="3" spans="1:14" x14ac:dyDescent="0.2">
      <c r="A3" s="272"/>
      <c r="B3" s="269"/>
      <c r="C3" s="269"/>
      <c r="D3" s="270"/>
      <c r="E3" s="270"/>
      <c r="F3" s="270"/>
      <c r="G3" s="270"/>
      <c r="H3" s="270"/>
      <c r="I3" s="269"/>
      <c r="J3" s="269"/>
      <c r="K3" s="269"/>
      <c r="L3" s="269"/>
      <c r="M3" s="269"/>
      <c r="N3" s="272"/>
    </row>
    <row r="4" spans="1:14" ht="15" x14ac:dyDescent="0.3">
      <c r="A4" s="173" t="s">
        <v>277</v>
      </c>
      <c r="B4" s="269"/>
      <c r="C4" s="269"/>
      <c r="D4" s="273"/>
      <c r="E4" s="342"/>
      <c r="F4" s="273"/>
      <c r="G4" s="270"/>
      <c r="H4" s="270"/>
      <c r="I4" s="270"/>
      <c r="J4" s="270"/>
      <c r="K4" s="270"/>
      <c r="L4" s="269"/>
      <c r="M4" s="270"/>
      <c r="N4" s="272"/>
    </row>
    <row r="5" spans="1:14" x14ac:dyDescent="0.2">
      <c r="A5" s="274"/>
      <c r="B5" s="274" t="s">
        <v>610</v>
      </c>
      <c r="C5" s="274"/>
      <c r="D5" s="274"/>
      <c r="E5" s="275"/>
      <c r="F5" s="275"/>
      <c r="G5" s="275"/>
      <c r="H5" s="275"/>
      <c r="I5" s="275"/>
      <c r="J5" s="275"/>
      <c r="K5" s="275"/>
      <c r="L5" s="275"/>
      <c r="M5" s="275"/>
      <c r="N5" s="272"/>
    </row>
    <row r="6" spans="1:14" ht="13.5" thickBot="1" x14ac:dyDescent="0.25">
      <c r="A6" s="343"/>
      <c r="B6" s="343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272"/>
    </row>
    <row r="7" spans="1:14" ht="51" x14ac:dyDescent="0.2">
      <c r="A7" s="344" t="s">
        <v>64</v>
      </c>
      <c r="B7" s="345" t="s">
        <v>428</v>
      </c>
      <c r="C7" s="345" t="s">
        <v>429</v>
      </c>
      <c r="D7" s="346" t="s">
        <v>430</v>
      </c>
      <c r="E7" s="346" t="s">
        <v>278</v>
      </c>
      <c r="F7" s="346" t="s">
        <v>431</v>
      </c>
      <c r="G7" s="346" t="s">
        <v>432</v>
      </c>
      <c r="H7" s="345" t="s">
        <v>433</v>
      </c>
      <c r="I7" s="347" t="s">
        <v>434</v>
      </c>
      <c r="J7" s="347" t="s">
        <v>435</v>
      </c>
      <c r="K7" s="348" t="s">
        <v>436</v>
      </c>
      <c r="L7" s="348" t="s">
        <v>437</v>
      </c>
      <c r="M7" s="346" t="s">
        <v>427</v>
      </c>
      <c r="N7" s="272"/>
    </row>
    <row r="8" spans="1:14" x14ac:dyDescent="0.2">
      <c r="A8" s="277">
        <v>1</v>
      </c>
      <c r="B8" s="278">
        <v>2</v>
      </c>
      <c r="C8" s="278">
        <v>3</v>
      </c>
      <c r="D8" s="279">
        <v>4</v>
      </c>
      <c r="E8" s="279">
        <v>5</v>
      </c>
      <c r="F8" s="279">
        <v>6</v>
      </c>
      <c r="G8" s="279">
        <v>7</v>
      </c>
      <c r="H8" s="279">
        <v>8</v>
      </c>
      <c r="I8" s="279">
        <v>9</v>
      </c>
      <c r="J8" s="279">
        <v>10</v>
      </c>
      <c r="K8" s="279">
        <v>11</v>
      </c>
      <c r="L8" s="279">
        <v>12</v>
      </c>
      <c r="M8" s="279">
        <v>13</v>
      </c>
      <c r="N8" s="272"/>
    </row>
    <row r="9" spans="1:14" ht="15" x14ac:dyDescent="0.25">
      <c r="A9" s="280">
        <v>1</v>
      </c>
      <c r="B9" s="281"/>
      <c r="C9" s="349"/>
      <c r="D9" s="280"/>
      <c r="E9" s="280"/>
      <c r="F9" s="280"/>
      <c r="G9" s="280"/>
      <c r="H9" s="280"/>
      <c r="I9" s="280"/>
      <c r="J9" s="280"/>
      <c r="K9" s="280"/>
      <c r="L9" s="280"/>
      <c r="M9" s="350" t="str">
        <f t="shared" ref="M9:M33" si="0">IF(ISBLANK(B9),"",$M$2)</f>
        <v/>
      </c>
      <c r="N9" s="272"/>
    </row>
    <row r="10" spans="1:14" ht="15" x14ac:dyDescent="0.25">
      <c r="A10" s="280">
        <v>2</v>
      </c>
      <c r="B10" s="281"/>
      <c r="C10" s="349"/>
      <c r="D10" s="280"/>
      <c r="E10" s="280"/>
      <c r="F10" s="280"/>
      <c r="G10" s="280"/>
      <c r="H10" s="280"/>
      <c r="I10" s="280"/>
      <c r="J10" s="280"/>
      <c r="K10" s="280"/>
      <c r="L10" s="280"/>
      <c r="M10" s="350" t="str">
        <f t="shared" si="0"/>
        <v/>
      </c>
      <c r="N10" s="272"/>
    </row>
    <row r="11" spans="1:14" ht="15" x14ac:dyDescent="0.25">
      <c r="A11" s="280">
        <v>3</v>
      </c>
      <c r="B11" s="281"/>
      <c r="C11" s="349"/>
      <c r="D11" s="280"/>
      <c r="E11" s="280"/>
      <c r="F11" s="280"/>
      <c r="G11" s="280"/>
      <c r="H11" s="280"/>
      <c r="I11" s="280"/>
      <c r="J11" s="280"/>
      <c r="K11" s="280"/>
      <c r="L11" s="280"/>
      <c r="M11" s="350" t="str">
        <f t="shared" si="0"/>
        <v/>
      </c>
      <c r="N11" s="272"/>
    </row>
    <row r="12" spans="1:14" ht="15" x14ac:dyDescent="0.25">
      <c r="A12" s="280">
        <v>4</v>
      </c>
      <c r="B12" s="281"/>
      <c r="C12" s="349"/>
      <c r="D12" s="280"/>
      <c r="E12" s="280"/>
      <c r="F12" s="280"/>
      <c r="G12" s="280"/>
      <c r="H12" s="280"/>
      <c r="I12" s="280"/>
      <c r="J12" s="280"/>
      <c r="K12" s="280"/>
      <c r="L12" s="280"/>
      <c r="M12" s="350" t="str">
        <f t="shared" si="0"/>
        <v/>
      </c>
      <c r="N12" s="272"/>
    </row>
    <row r="13" spans="1:14" ht="15" x14ac:dyDescent="0.25">
      <c r="A13" s="280">
        <v>5</v>
      </c>
      <c r="B13" s="281"/>
      <c r="C13" s="349"/>
      <c r="D13" s="280"/>
      <c r="E13" s="280"/>
      <c r="F13" s="280"/>
      <c r="G13" s="280"/>
      <c r="H13" s="280"/>
      <c r="I13" s="280"/>
      <c r="J13" s="280"/>
      <c r="K13" s="280"/>
      <c r="L13" s="280"/>
      <c r="M13" s="350" t="str">
        <f t="shared" si="0"/>
        <v/>
      </c>
      <c r="N13" s="272"/>
    </row>
    <row r="14" spans="1:14" ht="15" x14ac:dyDescent="0.25">
      <c r="A14" s="280">
        <v>6</v>
      </c>
      <c r="B14" s="281"/>
      <c r="C14" s="349"/>
      <c r="D14" s="280"/>
      <c r="E14" s="280"/>
      <c r="F14" s="280"/>
      <c r="G14" s="280"/>
      <c r="H14" s="280"/>
      <c r="I14" s="280"/>
      <c r="J14" s="280"/>
      <c r="K14" s="280"/>
      <c r="L14" s="280"/>
      <c r="M14" s="350" t="str">
        <f t="shared" si="0"/>
        <v/>
      </c>
      <c r="N14" s="272"/>
    </row>
    <row r="15" spans="1:14" ht="15" x14ac:dyDescent="0.25">
      <c r="A15" s="280">
        <v>7</v>
      </c>
      <c r="B15" s="281"/>
      <c r="C15" s="349"/>
      <c r="D15" s="280"/>
      <c r="E15" s="280"/>
      <c r="F15" s="280"/>
      <c r="G15" s="280"/>
      <c r="H15" s="280"/>
      <c r="I15" s="280"/>
      <c r="J15" s="280"/>
      <c r="K15" s="280"/>
      <c r="L15" s="280"/>
      <c r="M15" s="350" t="str">
        <f t="shared" si="0"/>
        <v/>
      </c>
      <c r="N15" s="272"/>
    </row>
    <row r="16" spans="1:14" ht="15" x14ac:dyDescent="0.25">
      <c r="A16" s="280">
        <v>8</v>
      </c>
      <c r="B16" s="281"/>
      <c r="C16" s="349"/>
      <c r="D16" s="280"/>
      <c r="E16" s="280"/>
      <c r="F16" s="280"/>
      <c r="G16" s="280"/>
      <c r="H16" s="280"/>
      <c r="I16" s="280"/>
      <c r="J16" s="280"/>
      <c r="K16" s="280"/>
      <c r="L16" s="280"/>
      <c r="M16" s="350" t="str">
        <f t="shared" si="0"/>
        <v/>
      </c>
      <c r="N16" s="272"/>
    </row>
    <row r="17" spans="1:14" ht="15" x14ac:dyDescent="0.25">
      <c r="A17" s="280">
        <v>9</v>
      </c>
      <c r="B17" s="281"/>
      <c r="C17" s="349"/>
      <c r="D17" s="280"/>
      <c r="E17" s="280"/>
      <c r="F17" s="280"/>
      <c r="G17" s="280"/>
      <c r="H17" s="280"/>
      <c r="I17" s="280"/>
      <c r="J17" s="280"/>
      <c r="K17" s="280"/>
      <c r="L17" s="280"/>
      <c r="M17" s="350" t="str">
        <f t="shared" si="0"/>
        <v/>
      </c>
      <c r="N17" s="272"/>
    </row>
    <row r="18" spans="1:14" ht="15" x14ac:dyDescent="0.25">
      <c r="A18" s="280">
        <v>10</v>
      </c>
      <c r="B18" s="281"/>
      <c r="C18" s="349"/>
      <c r="D18" s="280"/>
      <c r="E18" s="280"/>
      <c r="F18" s="280"/>
      <c r="G18" s="280"/>
      <c r="H18" s="280"/>
      <c r="I18" s="280"/>
      <c r="J18" s="280"/>
      <c r="K18" s="280"/>
      <c r="L18" s="280"/>
      <c r="M18" s="350" t="str">
        <f t="shared" si="0"/>
        <v/>
      </c>
      <c r="N18" s="272"/>
    </row>
    <row r="19" spans="1:14" ht="15" x14ac:dyDescent="0.25">
      <c r="A19" s="280">
        <v>11</v>
      </c>
      <c r="B19" s="281"/>
      <c r="C19" s="349"/>
      <c r="D19" s="280"/>
      <c r="E19" s="280"/>
      <c r="F19" s="280"/>
      <c r="G19" s="280"/>
      <c r="H19" s="280"/>
      <c r="I19" s="280"/>
      <c r="J19" s="280"/>
      <c r="K19" s="280"/>
      <c r="L19" s="280"/>
      <c r="M19" s="350" t="str">
        <f t="shared" si="0"/>
        <v/>
      </c>
      <c r="N19" s="272"/>
    </row>
    <row r="20" spans="1:14" ht="15" x14ac:dyDescent="0.25">
      <c r="A20" s="280">
        <v>12</v>
      </c>
      <c r="B20" s="281"/>
      <c r="C20" s="349"/>
      <c r="D20" s="280"/>
      <c r="E20" s="280"/>
      <c r="F20" s="280"/>
      <c r="G20" s="280"/>
      <c r="H20" s="280"/>
      <c r="I20" s="280"/>
      <c r="J20" s="280"/>
      <c r="K20" s="280"/>
      <c r="L20" s="280"/>
      <c r="M20" s="350" t="str">
        <f t="shared" si="0"/>
        <v/>
      </c>
      <c r="N20" s="272"/>
    </row>
    <row r="21" spans="1:14" ht="15" x14ac:dyDescent="0.25">
      <c r="A21" s="280">
        <v>13</v>
      </c>
      <c r="B21" s="281"/>
      <c r="C21" s="349"/>
      <c r="D21" s="280"/>
      <c r="E21" s="280"/>
      <c r="F21" s="280"/>
      <c r="G21" s="280"/>
      <c r="H21" s="280"/>
      <c r="I21" s="280"/>
      <c r="J21" s="280"/>
      <c r="K21" s="280"/>
      <c r="L21" s="280"/>
      <c r="M21" s="350" t="str">
        <f t="shared" si="0"/>
        <v/>
      </c>
      <c r="N21" s="272"/>
    </row>
    <row r="22" spans="1:14" ht="15" x14ac:dyDescent="0.25">
      <c r="A22" s="280">
        <v>14</v>
      </c>
      <c r="B22" s="281"/>
      <c r="C22" s="349"/>
      <c r="D22" s="280"/>
      <c r="E22" s="280"/>
      <c r="F22" s="280"/>
      <c r="G22" s="280"/>
      <c r="H22" s="280"/>
      <c r="I22" s="280"/>
      <c r="J22" s="280"/>
      <c r="K22" s="280"/>
      <c r="L22" s="280"/>
      <c r="M22" s="350" t="str">
        <f t="shared" si="0"/>
        <v/>
      </c>
      <c r="N22" s="272"/>
    </row>
    <row r="23" spans="1:14" ht="15" x14ac:dyDescent="0.25">
      <c r="A23" s="280">
        <v>15</v>
      </c>
      <c r="B23" s="281"/>
      <c r="C23" s="349"/>
      <c r="D23" s="280"/>
      <c r="E23" s="280"/>
      <c r="F23" s="280"/>
      <c r="G23" s="280"/>
      <c r="H23" s="280"/>
      <c r="I23" s="280"/>
      <c r="J23" s="280"/>
      <c r="K23" s="280"/>
      <c r="L23" s="280"/>
      <c r="M23" s="350" t="str">
        <f t="shared" si="0"/>
        <v/>
      </c>
      <c r="N23" s="272"/>
    </row>
    <row r="24" spans="1:14" ht="15" x14ac:dyDescent="0.25">
      <c r="A24" s="280">
        <v>16</v>
      </c>
      <c r="B24" s="281"/>
      <c r="C24" s="349"/>
      <c r="D24" s="280"/>
      <c r="E24" s="280"/>
      <c r="F24" s="280"/>
      <c r="G24" s="280"/>
      <c r="H24" s="280"/>
      <c r="I24" s="280"/>
      <c r="J24" s="280"/>
      <c r="K24" s="280"/>
      <c r="L24" s="280"/>
      <c r="M24" s="350" t="str">
        <f t="shared" si="0"/>
        <v/>
      </c>
      <c r="N24" s="272"/>
    </row>
    <row r="25" spans="1:14" ht="15" x14ac:dyDescent="0.25">
      <c r="A25" s="280">
        <v>17</v>
      </c>
      <c r="B25" s="281"/>
      <c r="C25" s="349"/>
      <c r="D25" s="280"/>
      <c r="E25" s="280"/>
      <c r="F25" s="280"/>
      <c r="G25" s="280"/>
      <c r="H25" s="280"/>
      <c r="I25" s="280"/>
      <c r="J25" s="280"/>
      <c r="K25" s="280"/>
      <c r="L25" s="280"/>
      <c r="M25" s="350" t="str">
        <f t="shared" si="0"/>
        <v/>
      </c>
      <c r="N25" s="272"/>
    </row>
    <row r="26" spans="1:14" ht="15" x14ac:dyDescent="0.25">
      <c r="A26" s="280">
        <v>18</v>
      </c>
      <c r="B26" s="281"/>
      <c r="C26" s="349"/>
      <c r="D26" s="280"/>
      <c r="E26" s="280"/>
      <c r="F26" s="280"/>
      <c r="G26" s="280"/>
      <c r="H26" s="280"/>
      <c r="I26" s="280"/>
      <c r="J26" s="280"/>
      <c r="K26" s="280"/>
      <c r="L26" s="280"/>
      <c r="M26" s="350" t="str">
        <f t="shared" si="0"/>
        <v/>
      </c>
      <c r="N26" s="272"/>
    </row>
    <row r="27" spans="1:14" ht="15" x14ac:dyDescent="0.25">
      <c r="A27" s="280">
        <v>19</v>
      </c>
      <c r="B27" s="281"/>
      <c r="C27" s="349"/>
      <c r="D27" s="280"/>
      <c r="E27" s="280"/>
      <c r="F27" s="280"/>
      <c r="G27" s="280"/>
      <c r="H27" s="280"/>
      <c r="I27" s="280"/>
      <c r="J27" s="280"/>
      <c r="K27" s="280"/>
      <c r="L27" s="280"/>
      <c r="M27" s="350" t="str">
        <f t="shared" si="0"/>
        <v/>
      </c>
      <c r="N27" s="272"/>
    </row>
    <row r="28" spans="1:14" ht="15" x14ac:dyDescent="0.25">
      <c r="A28" s="280">
        <v>20</v>
      </c>
      <c r="B28" s="281"/>
      <c r="C28" s="349"/>
      <c r="D28" s="280"/>
      <c r="E28" s="280"/>
      <c r="F28" s="280"/>
      <c r="G28" s="280"/>
      <c r="H28" s="280"/>
      <c r="I28" s="280"/>
      <c r="J28" s="280"/>
      <c r="K28" s="280"/>
      <c r="L28" s="280"/>
      <c r="M28" s="350" t="str">
        <f t="shared" si="0"/>
        <v/>
      </c>
      <c r="N28" s="272"/>
    </row>
    <row r="29" spans="1:14" ht="15" x14ac:dyDescent="0.25">
      <c r="A29" s="280">
        <v>21</v>
      </c>
      <c r="B29" s="281"/>
      <c r="C29" s="349"/>
      <c r="D29" s="280"/>
      <c r="E29" s="280"/>
      <c r="F29" s="280"/>
      <c r="G29" s="280"/>
      <c r="H29" s="280"/>
      <c r="I29" s="280"/>
      <c r="J29" s="280"/>
      <c r="K29" s="280"/>
      <c r="L29" s="280"/>
      <c r="M29" s="350" t="str">
        <f t="shared" si="0"/>
        <v/>
      </c>
      <c r="N29" s="272"/>
    </row>
    <row r="30" spans="1:14" ht="15" x14ac:dyDescent="0.25">
      <c r="A30" s="280">
        <v>22</v>
      </c>
      <c r="B30" s="281"/>
      <c r="C30" s="349"/>
      <c r="D30" s="280"/>
      <c r="E30" s="280"/>
      <c r="F30" s="280"/>
      <c r="G30" s="280"/>
      <c r="H30" s="280"/>
      <c r="I30" s="280"/>
      <c r="J30" s="280"/>
      <c r="K30" s="280"/>
      <c r="L30" s="280"/>
      <c r="M30" s="350" t="str">
        <f t="shared" si="0"/>
        <v/>
      </c>
      <c r="N30" s="272"/>
    </row>
    <row r="31" spans="1:14" ht="15" x14ac:dyDescent="0.25">
      <c r="A31" s="280">
        <v>23</v>
      </c>
      <c r="B31" s="281"/>
      <c r="C31" s="349"/>
      <c r="D31" s="280"/>
      <c r="E31" s="280"/>
      <c r="F31" s="280"/>
      <c r="G31" s="280"/>
      <c r="H31" s="280"/>
      <c r="I31" s="280"/>
      <c r="J31" s="280"/>
      <c r="K31" s="280"/>
      <c r="L31" s="280"/>
      <c r="M31" s="350" t="str">
        <f t="shared" si="0"/>
        <v/>
      </c>
      <c r="N31" s="272"/>
    </row>
    <row r="32" spans="1:14" ht="15" x14ac:dyDescent="0.25">
      <c r="A32" s="280">
        <v>24</v>
      </c>
      <c r="B32" s="281"/>
      <c r="C32" s="349"/>
      <c r="D32" s="280"/>
      <c r="E32" s="280"/>
      <c r="F32" s="280"/>
      <c r="G32" s="280"/>
      <c r="H32" s="280"/>
      <c r="I32" s="280"/>
      <c r="J32" s="280"/>
      <c r="K32" s="280"/>
      <c r="L32" s="280"/>
      <c r="M32" s="350" t="str">
        <f t="shared" si="0"/>
        <v/>
      </c>
      <c r="N32" s="272"/>
    </row>
    <row r="33" spans="1:14" ht="15" x14ac:dyDescent="0.25">
      <c r="A33" s="351" t="s">
        <v>284</v>
      </c>
      <c r="B33" s="281"/>
      <c r="C33" s="349"/>
      <c r="D33" s="280"/>
      <c r="E33" s="280"/>
      <c r="F33" s="280"/>
      <c r="G33" s="280"/>
      <c r="H33" s="280"/>
      <c r="I33" s="280"/>
      <c r="J33" s="280"/>
      <c r="K33" s="280"/>
      <c r="L33" s="280"/>
      <c r="M33" s="350" t="str">
        <f t="shared" si="0"/>
        <v/>
      </c>
      <c r="N33" s="272"/>
    </row>
    <row r="34" spans="1:14" s="287" customFormat="1" x14ac:dyDescent="0.2"/>
    <row r="37" spans="1:14" s="21" customFormat="1" ht="15" x14ac:dyDescent="0.3">
      <c r="B37" s="282" t="s">
        <v>107</v>
      </c>
    </row>
    <row r="38" spans="1:14" s="21" customFormat="1" ht="15" x14ac:dyDescent="0.3">
      <c r="B38" s="282"/>
    </row>
    <row r="39" spans="1:14" s="21" customFormat="1" ht="15" x14ac:dyDescent="0.3">
      <c r="C39" s="284"/>
      <c r="D39" s="283"/>
      <c r="E39" s="283"/>
      <c r="H39" s="284"/>
      <c r="I39" s="284"/>
      <c r="J39" s="283"/>
      <c r="K39" s="283"/>
      <c r="L39" s="283"/>
    </row>
    <row r="40" spans="1:14" s="21" customFormat="1" ht="15" x14ac:dyDescent="0.3">
      <c r="C40" s="285" t="s">
        <v>271</v>
      </c>
      <c r="D40" s="283"/>
      <c r="E40" s="283"/>
      <c r="H40" s="282" t="s">
        <v>325</v>
      </c>
      <c r="M40" s="283"/>
    </row>
    <row r="41" spans="1:14" s="21" customFormat="1" ht="15" x14ac:dyDescent="0.3">
      <c r="C41" s="285" t="s">
        <v>140</v>
      </c>
      <c r="D41" s="283"/>
      <c r="E41" s="283"/>
      <c r="H41" s="286" t="s">
        <v>272</v>
      </c>
      <c r="M41" s="283"/>
    </row>
    <row r="42" spans="1:14" ht="15" x14ac:dyDescent="0.3">
      <c r="C42" s="285"/>
      <c r="F42" s="286"/>
      <c r="J42" s="288"/>
      <c r="K42" s="288"/>
      <c r="L42" s="288"/>
      <c r="M42" s="288"/>
    </row>
    <row r="43" spans="1:14" ht="15" x14ac:dyDescent="0.3">
      <c r="C43" s="28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 x14ac:dyDescent="0.3"/>
  <cols>
    <col min="1" max="1" width="14.28515625" style="21" bestFit="1" customWidth="1"/>
    <col min="2" max="2" width="80" style="33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0"/>
      <c r="C1" s="412" t="s">
        <v>110</v>
      </c>
      <c r="D1" s="412"/>
      <c r="E1" s="172"/>
    </row>
    <row r="2" spans="1:12" s="6" customFormat="1" x14ac:dyDescent="0.3">
      <c r="A2" s="118" t="s">
        <v>141</v>
      </c>
      <c r="B2" s="330"/>
      <c r="C2" s="410" t="s">
        <v>609</v>
      </c>
      <c r="D2" s="411"/>
      <c r="E2" s="172"/>
    </row>
    <row r="3" spans="1:12" s="6" customFormat="1" x14ac:dyDescent="0.3">
      <c r="A3" s="118"/>
      <c r="B3" s="330"/>
      <c r="C3" s="117"/>
      <c r="D3" s="117"/>
      <c r="E3" s="172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31"/>
      <c r="C4" s="118"/>
      <c r="D4" s="118"/>
      <c r="E4" s="167"/>
      <c r="L4" s="6"/>
    </row>
    <row r="5" spans="1:12" s="2" customFormat="1" x14ac:dyDescent="0.3">
      <c r="A5" s="274" t="s">
        <v>610</v>
      </c>
      <c r="B5" s="332"/>
      <c r="C5" s="60"/>
      <c r="D5" s="60"/>
      <c r="E5" s="167"/>
    </row>
    <row r="6" spans="1:12" s="2" customFormat="1" x14ac:dyDescent="0.3">
      <c r="A6" s="119"/>
      <c r="B6" s="331"/>
      <c r="C6" s="118"/>
      <c r="D6" s="118"/>
      <c r="E6" s="167"/>
    </row>
    <row r="7" spans="1:12" s="6" customFormat="1" ht="18" x14ac:dyDescent="0.3">
      <c r="A7" s="142"/>
      <c r="B7" s="171"/>
      <c r="C7" s="120"/>
      <c r="D7" s="120"/>
      <c r="E7" s="172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2"/>
      <c r="F8" s="20"/>
    </row>
    <row r="9" spans="1:12" s="7" customFormat="1" x14ac:dyDescent="0.3">
      <c r="A9" s="316">
        <v>1</v>
      </c>
      <c r="B9" s="316" t="s">
        <v>65</v>
      </c>
      <c r="C9" s="127">
        <f>SUM(C10,C25)</f>
        <v>0</v>
      </c>
      <c r="D9" s="127">
        <f>SUM(D10,D25)</f>
        <v>0</v>
      </c>
      <c r="E9" s="172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2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2"/>
    </row>
    <row r="12" spans="1:12" s="10" customForma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72"/>
    </row>
    <row r="13" spans="1:12" s="3" customFormat="1" x14ac:dyDescent="0.3">
      <c r="A13" s="139" t="s">
        <v>81</v>
      </c>
      <c r="B13" s="139" t="s">
        <v>317</v>
      </c>
      <c r="C13" s="8"/>
      <c r="D13" s="8"/>
      <c r="E13" s="172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2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2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2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2"/>
    </row>
    <row r="18" spans="1:5" s="3" customForma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72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2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2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2"/>
    </row>
    <row r="22" spans="1:5" s="3" customFormat="1" x14ac:dyDescent="0.3">
      <c r="A22" s="139" t="s">
        <v>94</v>
      </c>
      <c r="B22" s="139" t="s">
        <v>455</v>
      </c>
      <c r="C22" s="8"/>
      <c r="D22" s="8"/>
      <c r="E22" s="172"/>
    </row>
    <row r="23" spans="1:5" s="3" customFormat="1" x14ac:dyDescent="0.3">
      <c r="A23" s="130" t="s">
        <v>95</v>
      </c>
      <c r="B23" s="130" t="s">
        <v>456</v>
      </c>
      <c r="C23" s="357"/>
      <c r="D23" s="8"/>
      <c r="E23" s="172"/>
    </row>
    <row r="24" spans="1:5" s="3" customFormat="1" x14ac:dyDescent="0.3">
      <c r="A24" s="130" t="s">
        <v>254</v>
      </c>
      <c r="B24" s="130" t="s">
        <v>462</v>
      </c>
      <c r="C24" s="8"/>
      <c r="D24" s="8"/>
      <c r="E24" s="172"/>
    </row>
    <row r="25" spans="1:5" s="3" customFormat="1" x14ac:dyDescent="0.3">
      <c r="A25" s="129">
        <v>1.2</v>
      </c>
      <c r="B25" s="316" t="s">
        <v>96</v>
      </c>
      <c r="C25" s="127">
        <f>SUM(C26,C30)</f>
        <v>0</v>
      </c>
      <c r="D25" s="127">
        <f>SUM(D26,D30)</f>
        <v>0</v>
      </c>
      <c r="E25" s="172"/>
    </row>
    <row r="26" spans="1:5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72"/>
    </row>
    <row r="27" spans="1:5" x14ac:dyDescent="0.3">
      <c r="A27" s="324" t="s">
        <v>98</v>
      </c>
      <c r="B27" s="139" t="s">
        <v>315</v>
      </c>
      <c r="C27" s="8"/>
      <c r="D27" s="8"/>
      <c r="E27" s="172"/>
    </row>
    <row r="28" spans="1:5" x14ac:dyDescent="0.3">
      <c r="A28" s="324" t="s">
        <v>99</v>
      </c>
      <c r="B28" s="139" t="s">
        <v>318</v>
      </c>
      <c r="C28" s="8"/>
      <c r="D28" s="8"/>
      <c r="E28" s="172"/>
    </row>
    <row r="29" spans="1:5" x14ac:dyDescent="0.3">
      <c r="A29" s="324" t="s">
        <v>465</v>
      </c>
      <c r="B29" s="139" t="s">
        <v>316</v>
      </c>
      <c r="C29" s="8"/>
      <c r="D29" s="8"/>
      <c r="E29" s="172"/>
    </row>
    <row r="30" spans="1:5" x14ac:dyDescent="0.3">
      <c r="A30" s="130" t="s">
        <v>33</v>
      </c>
      <c r="B30" s="354" t="s">
        <v>463</v>
      </c>
      <c r="C30" s="8"/>
      <c r="D30" s="8"/>
      <c r="E30" s="172"/>
    </row>
    <row r="31" spans="1:5" s="23" customFormat="1" ht="12.75" x14ac:dyDescent="0.2">
      <c r="B31" s="333"/>
    </row>
    <row r="32" spans="1:5" s="2" customFormat="1" x14ac:dyDescent="0.3">
      <c r="A32" s="1"/>
      <c r="B32" s="334"/>
      <c r="E32" s="5"/>
    </row>
    <row r="33" spans="1:9" s="2" customFormat="1" x14ac:dyDescent="0.3">
      <c r="B33" s="33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34"/>
      <c r="E36" s="5"/>
    </row>
    <row r="37" spans="1:9" s="2" customFormat="1" x14ac:dyDescent="0.3">
      <c r="B37" s="334"/>
      <c r="E37"/>
      <c r="F37"/>
      <c r="G37"/>
      <c r="H37"/>
      <c r="I37"/>
    </row>
    <row r="38" spans="1:9" s="2" customFormat="1" x14ac:dyDescent="0.3">
      <c r="B38" s="334"/>
      <c r="D38" s="12"/>
      <c r="E38"/>
      <c r="F38"/>
      <c r="G38"/>
      <c r="H38"/>
      <c r="I38"/>
    </row>
    <row r="39" spans="1:9" s="2" customFormat="1" x14ac:dyDescent="0.3">
      <c r="A39"/>
      <c r="B39" s="336" t="s">
        <v>459</v>
      </c>
      <c r="D39" s="12"/>
      <c r="E39"/>
      <c r="F39"/>
      <c r="G39"/>
      <c r="H39"/>
      <c r="I39"/>
    </row>
    <row r="40" spans="1:9" s="2" customFormat="1" x14ac:dyDescent="0.3">
      <c r="A40"/>
      <c r="B40" s="334" t="s">
        <v>273</v>
      </c>
      <c r="D40" s="12"/>
      <c r="E40"/>
      <c r="F40"/>
      <c r="G40"/>
      <c r="H40"/>
      <c r="I40"/>
    </row>
    <row r="41" spans="1:9" customFormat="1" ht="12.75" x14ac:dyDescent="0.2">
      <c r="B41" s="337" t="s">
        <v>140</v>
      </c>
    </row>
    <row r="42" spans="1:9" customFormat="1" ht="12.75" x14ac:dyDescent="0.2">
      <c r="B42" s="33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Normal="100" zoomScaleSheetLayoutView="70" workbookViewId="0">
      <selection activeCell="B16" sqref="B16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412</v>
      </c>
      <c r="B1" s="314"/>
      <c r="C1" s="412" t="s">
        <v>110</v>
      </c>
      <c r="D1" s="412"/>
      <c r="E1" s="133"/>
    </row>
    <row r="2" spans="1:5" s="6" customFormat="1" x14ac:dyDescent="0.3">
      <c r="A2" s="116" t="s">
        <v>413</v>
      </c>
      <c r="B2" s="314"/>
      <c r="C2" s="410" t="s">
        <v>609</v>
      </c>
      <c r="D2" s="411"/>
      <c r="E2" s="133"/>
    </row>
    <row r="3" spans="1:5" s="6" customFormat="1" x14ac:dyDescent="0.3">
      <c r="A3" s="116" t="s">
        <v>414</v>
      </c>
      <c r="B3" s="314"/>
      <c r="C3" s="315"/>
      <c r="D3" s="315"/>
      <c r="E3" s="133"/>
    </row>
    <row r="4" spans="1:5" s="6" customFormat="1" x14ac:dyDescent="0.3">
      <c r="A4" s="118" t="s">
        <v>141</v>
      </c>
      <c r="B4" s="314"/>
      <c r="C4" s="315"/>
      <c r="D4" s="315"/>
      <c r="E4" s="133"/>
    </row>
    <row r="5" spans="1:5" s="6" customFormat="1" x14ac:dyDescent="0.3">
      <c r="A5" s="118"/>
      <c r="B5" s="314"/>
      <c r="C5" s="315"/>
      <c r="D5" s="315"/>
      <c r="E5" s="133"/>
    </row>
    <row r="6" spans="1:5" x14ac:dyDescent="0.3">
      <c r="A6" s="119" t="str">
        <f>'[1]ფორმა N2'!A4</f>
        <v>ანგარიშვალდებული პირის დასახელება:</v>
      </c>
      <c r="B6" s="119"/>
      <c r="C6" s="118"/>
      <c r="D6" s="118"/>
      <c r="E6" s="134"/>
    </row>
    <row r="7" spans="1:5" x14ac:dyDescent="0.3">
      <c r="A7" s="274" t="s">
        <v>610</v>
      </c>
      <c r="B7" s="122"/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14"/>
      <c r="B9" s="314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16">
        <v>1</v>
      </c>
      <c r="B11" s="316" t="s">
        <v>57</v>
      </c>
      <c r="C11" s="124">
        <v>833670</v>
      </c>
      <c r="D11" s="124">
        <f>C11</f>
        <v>833670</v>
      </c>
      <c r="E11" s="317"/>
    </row>
    <row r="12" spans="1:5" s="9" customFormat="1" ht="18" x14ac:dyDescent="0.2">
      <c r="A12" s="129">
        <v>1.1000000000000001</v>
      </c>
      <c r="B12" s="129" t="s">
        <v>58</v>
      </c>
      <c r="C12" s="125">
        <f>C13+C14</f>
        <v>229699</v>
      </c>
      <c r="D12" s="125">
        <f>C12</f>
        <v>229699</v>
      </c>
      <c r="E12" s="135"/>
    </row>
    <row r="13" spans="1:5" s="10" customFormat="1" x14ac:dyDescent="0.2">
      <c r="A13" s="130" t="s">
        <v>30</v>
      </c>
      <c r="B13" s="130" t="s">
        <v>59</v>
      </c>
      <c r="C13" s="4">
        <v>132179</v>
      </c>
      <c r="D13" s="4">
        <f>C13</f>
        <v>132179</v>
      </c>
      <c r="E13" s="136"/>
    </row>
    <row r="14" spans="1:5" s="3" customFormat="1" x14ac:dyDescent="0.2">
      <c r="A14" s="130" t="s">
        <v>31</v>
      </c>
      <c r="B14" s="130" t="s">
        <v>0</v>
      </c>
      <c r="C14" s="4">
        <v>97520</v>
      </c>
      <c r="D14" s="4">
        <f>C14</f>
        <v>97520</v>
      </c>
      <c r="E14" s="137"/>
    </row>
    <row r="15" spans="1:5" s="7" customFormat="1" x14ac:dyDescent="0.2">
      <c r="A15" s="129">
        <v>1.2</v>
      </c>
      <c r="B15" s="129" t="s">
        <v>60</v>
      </c>
      <c r="C15" s="126">
        <f>C16+C19++C25+C31+C32+C34+C37+C38+C44+C45+C46+C48</f>
        <v>605903.35</v>
      </c>
      <c r="D15" s="126">
        <f>SUM(D16,D19,D31,D32,D33,D34,D37,D38,D44:D48,D52,D53)</f>
        <v>601053.21</v>
      </c>
      <c r="E15" s="317"/>
    </row>
    <row r="16" spans="1:5" s="3" customFormat="1" x14ac:dyDescent="0.2">
      <c r="A16" s="130" t="s">
        <v>32</v>
      </c>
      <c r="B16" s="130" t="s">
        <v>1</v>
      </c>
      <c r="C16" s="386">
        <f>C17</f>
        <v>4115</v>
      </c>
      <c r="D16" s="125">
        <f>C16</f>
        <v>4115</v>
      </c>
      <c r="E16" s="137"/>
    </row>
    <row r="17" spans="1:6" s="3" customFormat="1" x14ac:dyDescent="0.2">
      <c r="A17" s="139" t="s">
        <v>98</v>
      </c>
      <c r="B17" s="139" t="s">
        <v>61</v>
      </c>
      <c r="C17" s="387">
        <v>4115</v>
      </c>
      <c r="D17" s="318">
        <f>C17</f>
        <v>4115</v>
      </c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18"/>
      <c r="E18" s="137"/>
    </row>
    <row r="19" spans="1:6" s="3" customFormat="1" x14ac:dyDescent="0.2">
      <c r="A19" s="130" t="s">
        <v>33</v>
      </c>
      <c r="B19" s="130" t="s">
        <v>2</v>
      </c>
      <c r="C19" s="386">
        <f>C20+C21+C22+C23+C24+C25</f>
        <v>75934.790000000008</v>
      </c>
      <c r="D19" s="125">
        <f>C19</f>
        <v>75934.790000000008</v>
      </c>
      <c r="E19" s="319"/>
      <c r="F19" s="320"/>
    </row>
    <row r="20" spans="1:6" s="323" customFormat="1" ht="30" x14ac:dyDescent="0.2">
      <c r="A20" s="139" t="s">
        <v>12</v>
      </c>
      <c r="B20" s="139" t="s">
        <v>253</v>
      </c>
      <c r="C20" s="321">
        <f>'[2]ფორმა N5'!$C$18+'[3]ფორმა N5'!$C$18+'[4]ფორმა N5'!$C$18</f>
        <v>14963.380000000001</v>
      </c>
      <c r="D20" s="39">
        <f>C20</f>
        <v>14963.380000000001</v>
      </c>
      <c r="E20" s="322"/>
    </row>
    <row r="21" spans="1:6" s="323" customFormat="1" x14ac:dyDescent="0.2">
      <c r="A21" s="139" t="s">
        <v>13</v>
      </c>
      <c r="B21" s="139" t="s">
        <v>14</v>
      </c>
      <c r="C21" s="321">
        <f>'[2]ფორმა N5'!$C$19+'[3]ფორმა N5'!$C$19+'[4]ფორმა N5'!$C$19</f>
        <v>24157.200000000001</v>
      </c>
      <c r="D21" s="40">
        <f>C21</f>
        <v>24157.200000000001</v>
      </c>
      <c r="E21" s="322"/>
    </row>
    <row r="22" spans="1:6" s="323" customFormat="1" ht="30" x14ac:dyDescent="0.2">
      <c r="A22" s="139" t="s">
        <v>287</v>
      </c>
      <c r="B22" s="139" t="s">
        <v>22</v>
      </c>
      <c r="C22" s="321">
        <f>'[2]ფორმა N5'!$C$20+'[3]ფორმა N5'!$C$20+'[4]ფორმა N5'!$C$20</f>
        <v>0</v>
      </c>
      <c r="D22" s="41"/>
      <c r="E22" s="322"/>
    </row>
    <row r="23" spans="1:6" s="323" customFormat="1" ht="16.5" customHeight="1" x14ac:dyDescent="0.2">
      <c r="A23" s="139" t="s">
        <v>288</v>
      </c>
      <c r="B23" s="139" t="s">
        <v>15</v>
      </c>
      <c r="C23" s="321">
        <f>'[2]ფორმა N5'!$C$21+'[3]ფორმა N5'!$C$21+'[4]ფორმა N5'!$C$21</f>
        <v>31723.27</v>
      </c>
      <c r="D23" s="41">
        <f t="shared" ref="D23:D29" si="0">C23</f>
        <v>31723.27</v>
      </c>
      <c r="E23" s="322"/>
    </row>
    <row r="24" spans="1:6" s="323" customFormat="1" ht="16.5" customHeight="1" x14ac:dyDescent="0.2">
      <c r="A24" s="139" t="s">
        <v>289</v>
      </c>
      <c r="B24" s="139" t="s">
        <v>16</v>
      </c>
      <c r="C24" s="321">
        <f>'[2]ფორმა N5'!$C$22+'[3]ფორმა N5'!$C$22+'[4]ფორმა N5'!$C$22</f>
        <v>240.8</v>
      </c>
      <c r="D24" s="41">
        <f t="shared" si="0"/>
        <v>240.8</v>
      </c>
      <c r="E24" s="322"/>
    </row>
    <row r="25" spans="1:6" s="323" customFormat="1" ht="16.5" customHeight="1" x14ac:dyDescent="0.2">
      <c r="A25" s="139" t="s">
        <v>290</v>
      </c>
      <c r="B25" s="139" t="s">
        <v>17</v>
      </c>
      <c r="C25" s="386">
        <f>C26+C27+C28+C29</f>
        <v>4850.1399999999994</v>
      </c>
      <c r="D25" s="125">
        <f t="shared" si="0"/>
        <v>4850.1399999999994</v>
      </c>
      <c r="E25" s="322"/>
    </row>
    <row r="26" spans="1:6" s="323" customFormat="1" ht="16.5" customHeight="1" x14ac:dyDescent="0.2">
      <c r="A26" s="324" t="s">
        <v>291</v>
      </c>
      <c r="B26" s="324" t="s">
        <v>18</v>
      </c>
      <c r="C26" s="321">
        <f>'[2]ფორმა N5'!$C$24+'[3]ფორმა N5'!$C$24+'[4]ფორმა N5'!$C$24</f>
        <v>3188.16</v>
      </c>
      <c r="D26" s="41">
        <f t="shared" si="0"/>
        <v>3188.16</v>
      </c>
      <c r="E26" s="322"/>
    </row>
    <row r="27" spans="1:6" s="323" customFormat="1" ht="16.5" customHeight="1" x14ac:dyDescent="0.2">
      <c r="A27" s="324" t="s">
        <v>292</v>
      </c>
      <c r="B27" s="324" t="s">
        <v>19</v>
      </c>
      <c r="C27" s="321">
        <f>'[2]ფორმა N5'!$C$25+'[3]ფორმა N5'!$C$25+'[4]ფორმა N5'!$C$25</f>
        <v>247.79</v>
      </c>
      <c r="D27" s="41">
        <f t="shared" si="0"/>
        <v>247.79</v>
      </c>
      <c r="E27" s="322"/>
    </row>
    <row r="28" spans="1:6" s="323" customFormat="1" ht="16.5" customHeight="1" x14ac:dyDescent="0.2">
      <c r="A28" s="324" t="s">
        <v>293</v>
      </c>
      <c r="B28" s="324" t="s">
        <v>20</v>
      </c>
      <c r="C28" s="321">
        <f>'[2]ფორმა N5'!$C$26+'[3]ფორმა N5'!$C$26+'[4]ფორმა N5'!$C$26</f>
        <v>448.16999999999996</v>
      </c>
      <c r="D28" s="41">
        <f t="shared" si="0"/>
        <v>448.16999999999996</v>
      </c>
      <c r="E28" s="322"/>
    </row>
    <row r="29" spans="1:6" s="323" customFormat="1" ht="16.5" customHeight="1" x14ac:dyDescent="0.2">
      <c r="A29" s="324" t="s">
        <v>294</v>
      </c>
      <c r="B29" s="324" t="s">
        <v>23</v>
      </c>
      <c r="C29" s="321">
        <f>'[2]ფორმა N5'!$C$27+'[3]ფორმა N5'!$C$27+'[4]ფორმა N5'!$C$27</f>
        <v>966.02</v>
      </c>
      <c r="D29" s="42">
        <f t="shared" si="0"/>
        <v>966.02</v>
      </c>
      <c r="E29" s="322"/>
    </row>
    <row r="30" spans="1:6" s="323" customFormat="1" ht="16.5" customHeight="1" x14ac:dyDescent="0.2">
      <c r="A30" s="139" t="s">
        <v>295</v>
      </c>
      <c r="B30" s="139" t="s">
        <v>21</v>
      </c>
      <c r="C30" s="321"/>
      <c r="D30" s="42"/>
      <c r="E30" s="322"/>
    </row>
    <row r="31" spans="1:6" s="3" customFormat="1" ht="16.5" customHeight="1" x14ac:dyDescent="0.2">
      <c r="A31" s="130" t="s">
        <v>34</v>
      </c>
      <c r="B31" s="130" t="s">
        <v>3</v>
      </c>
      <c r="C31" s="385">
        <f>'[2]ფორმა N5'!$C$29+'[3]ფორმა N5'!$C$29+'[4]ფორმა N5'!$C$29</f>
        <v>105</v>
      </c>
      <c r="D31" s="318">
        <f>C31</f>
        <v>105</v>
      </c>
      <c r="E31" s="319"/>
    </row>
    <row r="32" spans="1:6" s="3" customFormat="1" ht="16.5" customHeight="1" x14ac:dyDescent="0.2">
      <c r="A32" s="130" t="s">
        <v>35</v>
      </c>
      <c r="B32" s="130" t="s">
        <v>4</v>
      </c>
      <c r="C32" s="385">
        <f>'[2]ფორმა N5'!$C$30+'[3]ფორმა N5'!$C$30+'[4]ფორმა N5'!$C$30</f>
        <v>966</v>
      </c>
      <c r="D32" s="318">
        <f>C32</f>
        <v>966</v>
      </c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/>
      <c r="D33" s="318"/>
      <c r="E33" s="137"/>
    </row>
    <row r="34" spans="1:5" s="3" customFormat="1" x14ac:dyDescent="0.2">
      <c r="A34" s="130" t="s">
        <v>37</v>
      </c>
      <c r="B34" s="130" t="s">
        <v>63</v>
      </c>
      <c r="C34" s="386">
        <f>C35+C36</f>
        <v>139225</v>
      </c>
      <c r="D34" s="125">
        <f t="shared" ref="D34:D42" si="1">C34</f>
        <v>139225</v>
      </c>
      <c r="E34" s="137"/>
    </row>
    <row r="35" spans="1:5" s="3" customFormat="1" ht="16.5" customHeight="1" x14ac:dyDescent="0.2">
      <c r="A35" s="139" t="s">
        <v>296</v>
      </c>
      <c r="B35" s="139" t="s">
        <v>56</v>
      </c>
      <c r="C35" s="387">
        <f>'[2]ფორმა N5'!$C$33+'[3]ფორმა N5'!$C$33+'[4]ფორმა N5'!$C$33</f>
        <v>138258.6</v>
      </c>
      <c r="D35" s="318">
        <f t="shared" si="1"/>
        <v>138258.6</v>
      </c>
      <c r="E35" s="137"/>
    </row>
    <row r="36" spans="1:5" s="3" customFormat="1" ht="16.5" customHeight="1" x14ac:dyDescent="0.2">
      <c r="A36" s="139" t="s">
        <v>297</v>
      </c>
      <c r="B36" s="139" t="s">
        <v>55</v>
      </c>
      <c r="C36" s="387">
        <f>'[2]ფორმა N5'!$C$34+'[3]ფორმა N5'!$C$34+'[4]ფორმა N5'!$C$34</f>
        <v>966.4</v>
      </c>
      <c r="D36" s="318">
        <f t="shared" si="1"/>
        <v>966.4</v>
      </c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385">
        <v>1271</v>
      </c>
      <c r="D37" s="318">
        <f t="shared" si="1"/>
        <v>1271</v>
      </c>
      <c r="E37" s="137"/>
    </row>
    <row r="38" spans="1:5" s="3" customFormat="1" ht="16.5" customHeight="1" x14ac:dyDescent="0.2">
      <c r="A38" s="130" t="s">
        <v>39</v>
      </c>
      <c r="B38" s="130" t="s">
        <v>415</v>
      </c>
      <c r="C38" s="386">
        <f>C39+C40+C41+C42</f>
        <v>193681.62</v>
      </c>
      <c r="D38" s="125">
        <f t="shared" si="1"/>
        <v>193681.62</v>
      </c>
      <c r="E38" s="137"/>
    </row>
    <row r="39" spans="1:5" s="3" customFormat="1" ht="16.5" customHeight="1" x14ac:dyDescent="0.2">
      <c r="A39" s="17" t="s">
        <v>361</v>
      </c>
      <c r="B39" s="17" t="s">
        <v>365</v>
      </c>
      <c r="C39" s="387">
        <f>'[2]ფორმა N5'!$C$37+'[3]ფორმა N5'!$C$37+'[4]ფორმა N5'!$C$37</f>
        <v>98849.16</v>
      </c>
      <c r="D39" s="318">
        <f t="shared" si="1"/>
        <v>98849.16</v>
      </c>
      <c r="E39" s="137"/>
    </row>
    <row r="40" spans="1:5" s="3" customFormat="1" ht="16.5" customHeight="1" x14ac:dyDescent="0.2">
      <c r="A40" s="17" t="s">
        <v>362</v>
      </c>
      <c r="B40" s="17" t="s">
        <v>366</v>
      </c>
      <c r="C40" s="387">
        <f>'[2]ფორმა N5'!$C$38+'[3]ფორმა N5'!$C$38+'[4]ფორმა N5'!$C$38</f>
        <v>83442.459999999992</v>
      </c>
      <c r="D40" s="318">
        <f t="shared" si="1"/>
        <v>83442.459999999992</v>
      </c>
      <c r="E40" s="137"/>
    </row>
    <row r="41" spans="1:5" s="3" customFormat="1" ht="16.5" customHeight="1" x14ac:dyDescent="0.2">
      <c r="A41" s="17" t="s">
        <v>363</v>
      </c>
      <c r="B41" s="17" t="s">
        <v>369</v>
      </c>
      <c r="C41" s="387">
        <f>'[2]ფორმა N5'!$C$39+'[3]ფორმა N5'!$C$39+'[4]ფორმა N5'!$C$39</f>
        <v>1740</v>
      </c>
      <c r="D41" s="318">
        <f t="shared" si="1"/>
        <v>1740</v>
      </c>
      <c r="E41" s="137"/>
    </row>
    <row r="42" spans="1:5" s="3" customFormat="1" ht="16.5" customHeight="1" x14ac:dyDescent="0.2">
      <c r="A42" s="17" t="s">
        <v>368</v>
      </c>
      <c r="B42" s="17" t="s">
        <v>370</v>
      </c>
      <c r="C42" s="387">
        <f>'[2]ფორმა N5'!$C$40+'[3]ფორმა N5'!$C$40+'[4]ფორმა N5'!$C$40</f>
        <v>9650</v>
      </c>
      <c r="D42" s="318">
        <f t="shared" si="1"/>
        <v>9650</v>
      </c>
      <c r="E42" s="137"/>
    </row>
    <row r="43" spans="1:5" s="3" customFormat="1" ht="16.5" customHeight="1" x14ac:dyDescent="0.2">
      <c r="A43" s="17" t="s">
        <v>371</v>
      </c>
      <c r="B43" s="17" t="s">
        <v>367</v>
      </c>
      <c r="C43" s="4">
        <f>'[2]ფორმა N5'!$C$41+'[3]ფორმა N5'!$C$41+'[4]ფორმა N5'!$C$41</f>
        <v>0</v>
      </c>
      <c r="D43" s="318"/>
      <c r="E43" s="137"/>
    </row>
    <row r="44" spans="1:5" s="3" customFormat="1" ht="30" x14ac:dyDescent="0.2">
      <c r="A44" s="130" t="s">
        <v>40</v>
      </c>
      <c r="B44" s="130" t="s">
        <v>28</v>
      </c>
      <c r="C44" s="384">
        <f>'[2]ფორმა N5'!$C$42+'[3]ფორმა N5'!$C$42+'[4]ფორმა N5'!$C$42</f>
        <v>5276.88</v>
      </c>
      <c r="D44" s="318">
        <f>C44</f>
        <v>5276.88</v>
      </c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385">
        <f>'[2]ფორმა N5'!$C$43+'[3]ფორმა N5'!$C$43+'[4]ფორმა N5'!$C$43</f>
        <v>1922.75</v>
      </c>
      <c r="D45" s="318">
        <f>C45</f>
        <v>1922.75</v>
      </c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385">
        <f>'[2]ფორმა N5'!$C$44+'[3]ფორმა N5'!$C$44+'[4]ფორმა N5'!$C$44</f>
        <v>400</v>
      </c>
      <c r="D46" s="318">
        <f>C46</f>
        <v>400</v>
      </c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4"/>
      <c r="D47" s="318"/>
      <c r="E47" s="137"/>
    </row>
    <row r="48" spans="1:5" s="3" customFormat="1" ht="16.5" customHeight="1" x14ac:dyDescent="0.2">
      <c r="A48" s="130" t="s">
        <v>44</v>
      </c>
      <c r="B48" s="130" t="s">
        <v>416</v>
      </c>
      <c r="C48" s="125">
        <f>C49</f>
        <v>178155.16999999998</v>
      </c>
      <c r="D48" s="125">
        <f>C48</f>
        <v>178155.16999999998</v>
      </c>
      <c r="E48" s="137"/>
    </row>
    <row r="49" spans="1:6" s="3" customFormat="1" ht="16.5" customHeight="1" x14ac:dyDescent="0.2">
      <c r="A49" s="139" t="s">
        <v>377</v>
      </c>
      <c r="B49" s="139" t="s">
        <v>380</v>
      </c>
      <c r="C49" s="4">
        <f>'ფორმა 9.4'!F81</f>
        <v>178155.16999999998</v>
      </c>
      <c r="D49" s="318">
        <f>C49</f>
        <v>178155.16999999998</v>
      </c>
      <c r="E49" s="137"/>
    </row>
    <row r="50" spans="1:6" s="3" customFormat="1" ht="16.5" customHeight="1" x14ac:dyDescent="0.2">
      <c r="A50" s="139" t="s">
        <v>378</v>
      </c>
      <c r="B50" s="139" t="s">
        <v>379</v>
      </c>
      <c r="C50" s="4"/>
      <c r="D50" s="318"/>
      <c r="E50" s="137"/>
    </row>
    <row r="51" spans="1:6" s="3" customFormat="1" ht="16.5" customHeight="1" x14ac:dyDescent="0.2">
      <c r="A51" s="139" t="s">
        <v>381</v>
      </c>
      <c r="B51" s="139" t="s">
        <v>382</v>
      </c>
      <c r="C51" s="4"/>
      <c r="D51" s="318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18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18"/>
      <c r="E53" s="319"/>
      <c r="F53" s="320"/>
    </row>
    <row r="54" spans="1:6" s="3" customFormat="1" ht="30" x14ac:dyDescent="0.2">
      <c r="A54" s="129">
        <v>1.3</v>
      </c>
      <c r="B54" s="129" t="s">
        <v>421</v>
      </c>
      <c r="C54" s="126">
        <f>SUM(C55:C56)</f>
        <v>0</v>
      </c>
      <c r="D54" s="126">
        <f>SUM(D55:D56)</f>
        <v>0</v>
      </c>
      <c r="E54" s="319"/>
      <c r="F54" s="320"/>
    </row>
    <row r="55" spans="1:6" s="3" customFormat="1" ht="30" x14ac:dyDescent="0.2">
      <c r="A55" s="130" t="s">
        <v>50</v>
      </c>
      <c r="B55" s="130" t="s">
        <v>48</v>
      </c>
      <c r="C55" s="4"/>
      <c r="D55" s="318"/>
      <c r="E55" s="319"/>
      <c r="F55" s="320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18"/>
      <c r="E56" s="319"/>
      <c r="F56" s="320"/>
    </row>
    <row r="57" spans="1:6" s="3" customFormat="1" x14ac:dyDescent="0.2">
      <c r="A57" s="129">
        <v>1.4</v>
      </c>
      <c r="B57" s="129" t="s">
        <v>423</v>
      </c>
      <c r="C57" s="4"/>
      <c r="D57" s="318"/>
      <c r="E57" s="319"/>
      <c r="F57" s="320"/>
    </row>
    <row r="58" spans="1:6" s="323" customFormat="1" x14ac:dyDescent="0.2">
      <c r="A58" s="129">
        <v>1.5</v>
      </c>
      <c r="B58" s="129" t="s">
        <v>7</v>
      </c>
      <c r="C58" s="321"/>
      <c r="D58" s="41"/>
      <c r="E58" s="322"/>
    </row>
    <row r="59" spans="1:6" s="323" customFormat="1" x14ac:dyDescent="0.3">
      <c r="A59" s="129">
        <v>1.6</v>
      </c>
      <c r="B59" s="46" t="s">
        <v>8</v>
      </c>
      <c r="C59" s="127">
        <f>SUM(C60:C64)</f>
        <v>0</v>
      </c>
      <c r="D59" s="128">
        <f>SUM(D60:D64)</f>
        <v>0</v>
      </c>
      <c r="E59" s="322"/>
    </row>
    <row r="60" spans="1:6" s="323" customFormat="1" x14ac:dyDescent="0.2">
      <c r="A60" s="130" t="s">
        <v>303</v>
      </c>
      <c r="B60" s="47" t="s">
        <v>52</v>
      </c>
      <c r="C60" s="321"/>
      <c r="D60" s="41"/>
      <c r="E60" s="322"/>
    </row>
    <row r="61" spans="1:6" s="323" customFormat="1" ht="30" x14ac:dyDescent="0.2">
      <c r="A61" s="130" t="s">
        <v>304</v>
      </c>
      <c r="B61" s="47" t="s">
        <v>54</v>
      </c>
      <c r="C61" s="321"/>
      <c r="D61" s="41"/>
      <c r="E61" s="322"/>
    </row>
    <row r="62" spans="1:6" s="323" customFormat="1" x14ac:dyDescent="0.2">
      <c r="A62" s="130" t="s">
        <v>305</v>
      </c>
      <c r="B62" s="47" t="s">
        <v>53</v>
      </c>
      <c r="C62" s="41"/>
      <c r="D62" s="41"/>
      <c r="E62" s="322"/>
    </row>
    <row r="63" spans="1:6" s="323" customFormat="1" x14ac:dyDescent="0.2">
      <c r="A63" s="130" t="s">
        <v>306</v>
      </c>
      <c r="B63" s="47" t="s">
        <v>27</v>
      </c>
      <c r="C63" s="321"/>
      <c r="D63" s="41"/>
      <c r="E63" s="322"/>
    </row>
    <row r="64" spans="1:6" s="323" customFormat="1" x14ac:dyDescent="0.2">
      <c r="A64" s="130" t="s">
        <v>343</v>
      </c>
      <c r="B64" s="47" t="s">
        <v>344</v>
      </c>
      <c r="C64" s="321"/>
      <c r="D64" s="41"/>
      <c r="E64" s="322"/>
    </row>
    <row r="65" spans="1:5" x14ac:dyDescent="0.3">
      <c r="A65" s="316">
        <v>2</v>
      </c>
      <c r="B65" s="316" t="s">
        <v>417</v>
      </c>
      <c r="C65" s="325"/>
      <c r="D65" s="127">
        <f>SUM(D66:D72)</f>
        <v>0</v>
      </c>
      <c r="E65" s="138"/>
    </row>
    <row r="66" spans="1:5" x14ac:dyDescent="0.3">
      <c r="A66" s="140">
        <v>2.1</v>
      </c>
      <c r="B66" s="326" t="s">
        <v>100</v>
      </c>
      <c r="C66" s="327"/>
      <c r="D66" s="22"/>
      <c r="E66" s="138"/>
    </row>
    <row r="67" spans="1:5" x14ac:dyDescent="0.3">
      <c r="A67" s="140">
        <v>2.2000000000000002</v>
      </c>
      <c r="B67" s="326" t="s">
        <v>418</v>
      </c>
      <c r="C67" s="327"/>
      <c r="D67" s="22"/>
      <c r="E67" s="138"/>
    </row>
    <row r="68" spans="1:5" x14ac:dyDescent="0.3">
      <c r="A68" s="140">
        <v>2.2999999999999998</v>
      </c>
      <c r="B68" s="326" t="s">
        <v>104</v>
      </c>
      <c r="C68" s="327"/>
      <c r="D68" s="22"/>
      <c r="E68" s="138"/>
    </row>
    <row r="69" spans="1:5" x14ac:dyDescent="0.3">
      <c r="A69" s="140">
        <v>2.4</v>
      </c>
      <c r="B69" s="326" t="s">
        <v>103</v>
      </c>
      <c r="C69" s="327"/>
      <c r="D69" s="22"/>
      <c r="E69" s="138"/>
    </row>
    <row r="70" spans="1:5" x14ac:dyDescent="0.3">
      <c r="A70" s="140">
        <v>2.5</v>
      </c>
      <c r="B70" s="326" t="s">
        <v>419</v>
      </c>
      <c r="C70" s="327"/>
      <c r="D70" s="22"/>
      <c r="E70" s="138"/>
    </row>
    <row r="71" spans="1:5" x14ac:dyDescent="0.3">
      <c r="A71" s="140">
        <v>2.6</v>
      </c>
      <c r="B71" s="326" t="s">
        <v>101</v>
      </c>
      <c r="C71" s="327"/>
      <c r="D71" s="22"/>
      <c r="E71" s="138"/>
    </row>
    <row r="72" spans="1:5" x14ac:dyDescent="0.3">
      <c r="A72" s="140">
        <v>2.7</v>
      </c>
      <c r="B72" s="326" t="s">
        <v>102</v>
      </c>
      <c r="C72" s="328"/>
      <c r="D72" s="22"/>
      <c r="E72" s="138"/>
    </row>
    <row r="73" spans="1:5" x14ac:dyDescent="0.3">
      <c r="A73" s="316">
        <v>3</v>
      </c>
      <c r="B73" s="316" t="s">
        <v>460</v>
      </c>
      <c r="C73" s="127"/>
      <c r="D73" s="22"/>
      <c r="E73" s="138"/>
    </row>
    <row r="74" spans="1:5" x14ac:dyDescent="0.3">
      <c r="A74" s="316">
        <v>4</v>
      </c>
      <c r="B74" s="316" t="s">
        <v>255</v>
      </c>
      <c r="C74" s="127"/>
      <c r="D74" s="127">
        <f>SUM(D75:D76)</f>
        <v>0</v>
      </c>
      <c r="E74" s="138"/>
    </row>
    <row r="75" spans="1:5" x14ac:dyDescent="0.3">
      <c r="A75" s="140">
        <v>4.0999999999999996</v>
      </c>
      <c r="B75" s="140" t="s">
        <v>256</v>
      </c>
      <c r="C75" s="327"/>
      <c r="D75" s="8"/>
      <c r="E75" s="138"/>
    </row>
    <row r="76" spans="1:5" x14ac:dyDescent="0.3">
      <c r="A76" s="140">
        <v>4.2</v>
      </c>
      <c r="B76" s="140" t="s">
        <v>257</v>
      </c>
      <c r="C76" s="328"/>
      <c r="D76" s="8"/>
      <c r="E76" s="138"/>
    </row>
    <row r="77" spans="1:5" x14ac:dyDescent="0.3">
      <c r="A77" s="316">
        <v>5</v>
      </c>
      <c r="B77" s="316" t="s">
        <v>285</v>
      </c>
      <c r="C77" s="359"/>
      <c r="D77" s="328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457</v>
      </c>
      <c r="D85" s="12"/>
      <c r="E85"/>
      <c r="F85"/>
      <c r="G85"/>
      <c r="H85"/>
      <c r="I85"/>
    </row>
    <row r="86" spans="1:9" x14ac:dyDescent="0.3">
      <c r="A86"/>
      <c r="B86" s="2" t="s">
        <v>458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B34" sqref="B34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333</v>
      </c>
      <c r="B1" s="119"/>
      <c r="C1" s="412" t="s">
        <v>110</v>
      </c>
      <c r="D1" s="412"/>
      <c r="E1" s="133"/>
    </row>
    <row r="2" spans="1:5" s="6" customFormat="1" x14ac:dyDescent="0.3">
      <c r="A2" s="116" t="s">
        <v>334</v>
      </c>
      <c r="B2" s="119"/>
      <c r="C2" s="410" t="s">
        <v>609</v>
      </c>
      <c r="D2" s="411"/>
      <c r="E2" s="133"/>
    </row>
    <row r="3" spans="1:5" s="6" customFormat="1" x14ac:dyDescent="0.3">
      <c r="A3" s="118" t="s">
        <v>141</v>
      </c>
      <c r="B3" s="116"/>
      <c r="C3" s="236"/>
      <c r="D3" s="236"/>
      <c r="E3" s="133"/>
    </row>
    <row r="4" spans="1:5" s="6" customFormat="1" x14ac:dyDescent="0.3">
      <c r="A4" s="118"/>
      <c r="B4" s="118"/>
      <c r="C4" s="236"/>
      <c r="D4" s="236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274" t="s">
        <v>610</v>
      </c>
      <c r="B6" s="122"/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5"/>
      <c r="B8" s="235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x14ac:dyDescent="0.3">
      <c r="A24" s="141"/>
      <c r="B24" s="141" t="s">
        <v>342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39" t="s">
        <v>448</v>
      </c>
      <c r="E26" s="5"/>
    </row>
    <row r="27" spans="1:5" x14ac:dyDescent="0.3">
      <c r="A27" s="2" t="s">
        <v>449</v>
      </c>
    </row>
    <row r="28" spans="1:5" x14ac:dyDescent="0.3">
      <c r="A28" s="290" t="s">
        <v>450</v>
      </c>
    </row>
    <row r="29" spans="1:5" x14ac:dyDescent="0.3">
      <c r="A29" s="290"/>
    </row>
    <row r="30" spans="1:5" x14ac:dyDescent="0.3">
      <c r="A30" s="290" t="s">
        <v>357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1"/>
  <sheetViews>
    <sheetView view="pageBreakPreview" topLeftCell="A131" zoomScale="72" zoomScaleNormal="100" zoomScaleSheetLayoutView="72" workbookViewId="0">
      <selection activeCell="G184" sqref="G184"/>
    </sheetView>
  </sheetViews>
  <sheetFormatPr defaultRowHeight="12.75" x14ac:dyDescent="0.2"/>
  <cols>
    <col min="1" max="1" width="5.42578125" style="260" customWidth="1"/>
    <col min="2" max="2" width="20.85546875" style="260" customWidth="1"/>
    <col min="3" max="3" width="26" style="260" customWidth="1"/>
    <col min="4" max="4" width="17" style="260" customWidth="1"/>
    <col min="5" max="5" width="21.140625" style="260" customWidth="1"/>
    <col min="6" max="6" width="14.7109375" style="260" customWidth="1"/>
    <col min="7" max="7" width="15.5703125" style="260" customWidth="1"/>
    <col min="8" max="8" width="14.7109375" style="260" customWidth="1"/>
    <col min="9" max="9" width="29.7109375" style="260" customWidth="1"/>
    <col min="10" max="10" width="0" style="260" hidden="1" customWidth="1"/>
    <col min="11" max="16384" width="9.140625" style="260"/>
  </cols>
  <sheetData>
    <row r="1" spans="1:10" ht="15" x14ac:dyDescent="0.3">
      <c r="A1" s="116" t="s">
        <v>420</v>
      </c>
      <c r="B1" s="116"/>
      <c r="C1" s="119"/>
      <c r="D1" s="119"/>
      <c r="E1" s="119"/>
      <c r="F1" s="119"/>
      <c r="G1" s="302"/>
      <c r="H1" s="302"/>
      <c r="I1" s="412" t="s">
        <v>110</v>
      </c>
      <c r="J1" s="412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2"/>
      <c r="H2" s="302"/>
      <c r="I2" s="410" t="s">
        <v>609</v>
      </c>
      <c r="J2" s="411"/>
    </row>
    <row r="3" spans="1:10" ht="15" x14ac:dyDescent="0.3">
      <c r="A3" s="118"/>
      <c r="B3" s="118"/>
      <c r="C3" s="116"/>
      <c r="D3" s="116"/>
      <c r="E3" s="116"/>
      <c r="F3" s="116"/>
      <c r="G3" s="238"/>
      <c r="H3" s="238"/>
      <c r="I3" s="302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274" t="s">
        <v>610</v>
      </c>
      <c r="B5" s="122"/>
      <c r="C5" s="122"/>
      <c r="D5" s="122"/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37"/>
      <c r="B7" s="237"/>
      <c r="C7" s="237"/>
      <c r="D7" s="296"/>
      <c r="E7" s="237"/>
      <c r="F7" s="237"/>
      <c r="G7" s="120"/>
      <c r="H7" s="120"/>
      <c r="I7" s="120"/>
    </row>
    <row r="8" spans="1:10" ht="45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351</v>
      </c>
      <c r="F8" s="132" t="s">
        <v>355</v>
      </c>
      <c r="G8" s="121" t="s">
        <v>10</v>
      </c>
      <c r="H8" s="121" t="s">
        <v>9</v>
      </c>
      <c r="I8" s="121" t="s">
        <v>402</v>
      </c>
      <c r="J8" s="305" t="s">
        <v>354</v>
      </c>
    </row>
    <row r="9" spans="1:10" ht="15" x14ac:dyDescent="0.2">
      <c r="A9" s="140">
        <v>1</v>
      </c>
      <c r="B9" s="140" t="s">
        <v>611</v>
      </c>
      <c r="C9" s="140" t="s">
        <v>599</v>
      </c>
      <c r="D9" s="140">
        <v>1013028549</v>
      </c>
      <c r="E9" s="140" t="s">
        <v>774</v>
      </c>
      <c r="F9" s="140" t="s">
        <v>354</v>
      </c>
      <c r="G9" s="4">
        <f>375+375+500+250+625+125+625+875+825+2063+600</f>
        <v>7238</v>
      </c>
      <c r="H9" s="4"/>
      <c r="I9" s="4"/>
      <c r="J9" s="305" t="s">
        <v>0</v>
      </c>
    </row>
    <row r="10" spans="1:10" ht="15" x14ac:dyDescent="0.2">
      <c r="A10" s="140">
        <v>2</v>
      </c>
      <c r="B10" s="140" t="s">
        <v>612</v>
      </c>
      <c r="C10" s="140" t="s">
        <v>613</v>
      </c>
      <c r="D10" s="140">
        <v>1013021320</v>
      </c>
      <c r="E10" s="140" t="s">
        <v>614</v>
      </c>
      <c r="F10" s="140" t="s">
        <v>354</v>
      </c>
      <c r="G10" s="4">
        <f>250+125+375+375+375+375</f>
        <v>1875</v>
      </c>
      <c r="H10" s="4"/>
      <c r="I10" s="4"/>
    </row>
    <row r="11" spans="1:10" ht="15" x14ac:dyDescent="0.2">
      <c r="A11" s="140">
        <v>3</v>
      </c>
      <c r="B11" s="129" t="s">
        <v>615</v>
      </c>
      <c r="C11" s="129" t="s">
        <v>616</v>
      </c>
      <c r="D11" s="129">
        <v>36001002966</v>
      </c>
      <c r="E11" s="129" t="s">
        <v>617</v>
      </c>
      <c r="F11" s="140" t="s">
        <v>618</v>
      </c>
      <c r="G11" s="4">
        <f>750+625+750+1000</f>
        <v>3125</v>
      </c>
      <c r="H11" s="4"/>
      <c r="I11" s="4"/>
    </row>
    <row r="12" spans="1:10" ht="15" x14ac:dyDescent="0.2">
      <c r="A12" s="140">
        <v>4</v>
      </c>
      <c r="B12" s="129" t="s">
        <v>619</v>
      </c>
      <c r="C12" s="129" t="s">
        <v>620</v>
      </c>
      <c r="D12" s="129">
        <v>1027055671</v>
      </c>
      <c r="E12" s="129" t="s">
        <v>775</v>
      </c>
      <c r="F12" s="140" t="s">
        <v>354</v>
      </c>
      <c r="G12" s="4">
        <f>250+250+250+250+250+250</f>
        <v>1500</v>
      </c>
      <c r="H12" s="4"/>
      <c r="I12" s="4"/>
    </row>
    <row r="13" spans="1:10" ht="15" x14ac:dyDescent="0.2">
      <c r="A13" s="140">
        <v>5</v>
      </c>
      <c r="B13" s="129" t="s">
        <v>585</v>
      </c>
      <c r="C13" s="129" t="s">
        <v>680</v>
      </c>
      <c r="D13" s="388" t="s">
        <v>776</v>
      </c>
      <c r="E13" s="129" t="s">
        <v>777</v>
      </c>
      <c r="F13" s="140" t="s">
        <v>354</v>
      </c>
      <c r="G13" s="4">
        <f>312.5+312.5</f>
        <v>625</v>
      </c>
      <c r="H13" s="4"/>
      <c r="I13" s="4"/>
    </row>
    <row r="14" spans="1:10" ht="15" x14ac:dyDescent="0.2">
      <c r="A14" s="140">
        <v>6</v>
      </c>
      <c r="B14" s="129" t="s">
        <v>615</v>
      </c>
      <c r="C14" s="129" t="s">
        <v>621</v>
      </c>
      <c r="D14" s="129">
        <v>1019015992</v>
      </c>
      <c r="E14" s="129" t="s">
        <v>622</v>
      </c>
      <c r="F14" s="140" t="s">
        <v>354</v>
      </c>
      <c r="G14" s="4">
        <f>225+225+250+125+625+125+625+125+625+1063</f>
        <v>4013</v>
      </c>
      <c r="H14" s="4"/>
      <c r="I14" s="4"/>
    </row>
    <row r="15" spans="1:10" ht="15" x14ac:dyDescent="0.2">
      <c r="A15" s="140">
        <v>7</v>
      </c>
      <c r="B15" s="129" t="s">
        <v>605</v>
      </c>
      <c r="C15" s="129" t="s">
        <v>604</v>
      </c>
      <c r="D15" s="129">
        <v>1005019099</v>
      </c>
      <c r="E15" s="129" t="s">
        <v>778</v>
      </c>
      <c r="F15" s="140" t="s">
        <v>354</v>
      </c>
      <c r="G15" s="4">
        <f>375+125+375+1875+125+125+375+375+475+187.5</f>
        <v>4412.5</v>
      </c>
      <c r="H15" s="4"/>
      <c r="I15" s="4"/>
    </row>
    <row r="16" spans="1:10" ht="30" x14ac:dyDescent="0.2">
      <c r="A16" s="140">
        <v>8</v>
      </c>
      <c r="B16" s="129" t="s">
        <v>779</v>
      </c>
      <c r="C16" s="129" t="s">
        <v>780</v>
      </c>
      <c r="D16" s="388" t="s">
        <v>781</v>
      </c>
      <c r="E16" s="129" t="s">
        <v>782</v>
      </c>
      <c r="F16" s="140" t="s">
        <v>354</v>
      </c>
      <c r="G16" s="4">
        <f>312.5+312.5</f>
        <v>625</v>
      </c>
      <c r="H16" s="4"/>
      <c r="I16" s="4"/>
    </row>
    <row r="17" spans="1:9" ht="15" x14ac:dyDescent="0.2">
      <c r="A17" s="140">
        <v>9</v>
      </c>
      <c r="B17" s="129" t="s">
        <v>623</v>
      </c>
      <c r="C17" s="129" t="s">
        <v>624</v>
      </c>
      <c r="D17" s="129">
        <v>58001003412</v>
      </c>
      <c r="E17" s="129" t="s">
        <v>783</v>
      </c>
      <c r="F17" s="140" t="s">
        <v>354</v>
      </c>
      <c r="G17" s="4">
        <f>375+375+500+100+625+125+625+125+1425+938</f>
        <v>5213</v>
      </c>
      <c r="H17" s="4"/>
      <c r="I17" s="4"/>
    </row>
    <row r="18" spans="1:9" ht="15" x14ac:dyDescent="0.2">
      <c r="A18" s="140">
        <v>10</v>
      </c>
      <c r="B18" s="129" t="s">
        <v>625</v>
      </c>
      <c r="C18" s="129" t="s">
        <v>626</v>
      </c>
      <c r="D18" s="388" t="s">
        <v>785</v>
      </c>
      <c r="E18" s="129"/>
      <c r="F18" s="140" t="s">
        <v>354</v>
      </c>
      <c r="G18" s="4">
        <f>1250+1250+1250+1875</f>
        <v>5625</v>
      </c>
      <c r="H18" s="4"/>
      <c r="I18" s="4"/>
    </row>
    <row r="19" spans="1:9" ht="15" x14ac:dyDescent="0.2">
      <c r="A19" s="140">
        <v>11</v>
      </c>
      <c r="B19" s="129" t="s">
        <v>619</v>
      </c>
      <c r="C19" s="129" t="s">
        <v>627</v>
      </c>
      <c r="D19" s="388" t="s">
        <v>786</v>
      </c>
      <c r="E19" s="129" t="s">
        <v>784</v>
      </c>
      <c r="F19" s="140" t="s">
        <v>354</v>
      </c>
      <c r="G19" s="4">
        <f>250+250+312.5+312.5</f>
        <v>1125</v>
      </c>
      <c r="H19" s="4"/>
      <c r="I19" s="4"/>
    </row>
    <row r="20" spans="1:9" ht="15" x14ac:dyDescent="0.2">
      <c r="A20" s="140">
        <v>12</v>
      </c>
      <c r="B20" s="129" t="s">
        <v>628</v>
      </c>
      <c r="C20" s="129" t="s">
        <v>629</v>
      </c>
      <c r="D20" s="129">
        <v>1024050629</v>
      </c>
      <c r="E20" s="129" t="s">
        <v>787</v>
      </c>
      <c r="F20" s="140" t="s">
        <v>354</v>
      </c>
      <c r="G20" s="4">
        <f>375+375+375+375+250+375+375+375</f>
        <v>2875</v>
      </c>
      <c r="H20" s="4"/>
      <c r="I20" s="4"/>
    </row>
    <row r="21" spans="1:9" ht="15" x14ac:dyDescent="0.2">
      <c r="A21" s="140">
        <v>13</v>
      </c>
      <c r="B21" s="129" t="s">
        <v>630</v>
      </c>
      <c r="C21" s="129" t="s">
        <v>631</v>
      </c>
      <c r="D21" s="129">
        <v>1029016655</v>
      </c>
      <c r="E21" s="129" t="s">
        <v>775</v>
      </c>
      <c r="F21" s="140" t="s">
        <v>354</v>
      </c>
      <c r="G21" s="4">
        <f>250+250+106.25+250+250+37.5+250+87.5+250+359</f>
        <v>2090.25</v>
      </c>
      <c r="H21" s="4"/>
      <c r="I21" s="4"/>
    </row>
    <row r="22" spans="1:9" ht="15" x14ac:dyDescent="0.2">
      <c r="A22" s="140">
        <v>14</v>
      </c>
      <c r="B22" s="129" t="s">
        <v>632</v>
      </c>
      <c r="C22" s="129" t="s">
        <v>633</v>
      </c>
      <c r="D22" s="129">
        <v>1013012486</v>
      </c>
      <c r="E22" s="129" t="s">
        <v>886</v>
      </c>
      <c r="F22" s="140" t="s">
        <v>354</v>
      </c>
      <c r="G22" s="4">
        <f>375+125+375+125+575+375</f>
        <v>1950</v>
      </c>
      <c r="H22" s="4"/>
      <c r="I22" s="4"/>
    </row>
    <row r="23" spans="1:9" ht="15" x14ac:dyDescent="0.2">
      <c r="A23" s="140">
        <v>15</v>
      </c>
      <c r="B23" s="129" t="s">
        <v>517</v>
      </c>
      <c r="C23" s="129" t="s">
        <v>634</v>
      </c>
      <c r="D23" s="129">
        <v>1017044448</v>
      </c>
      <c r="E23" s="129" t="s">
        <v>886</v>
      </c>
      <c r="F23" s="140" t="s">
        <v>354</v>
      </c>
      <c r="G23" s="4">
        <f>187.5+250+250+175+250+313</f>
        <v>1425.5</v>
      </c>
      <c r="H23" s="4"/>
      <c r="I23" s="4"/>
    </row>
    <row r="24" spans="1:9" ht="15" x14ac:dyDescent="0.2">
      <c r="A24" s="140">
        <v>16</v>
      </c>
      <c r="B24" s="129" t="s">
        <v>541</v>
      </c>
      <c r="C24" s="129" t="s">
        <v>559</v>
      </c>
      <c r="D24" s="129">
        <v>60001084034</v>
      </c>
      <c r="E24" s="129" t="s">
        <v>617</v>
      </c>
      <c r="F24" s="140" t="s">
        <v>354</v>
      </c>
      <c r="G24" s="4">
        <f>375+375+375+206</f>
        <v>1331</v>
      </c>
      <c r="H24" s="4"/>
      <c r="I24" s="4"/>
    </row>
    <row r="25" spans="1:9" ht="15" x14ac:dyDescent="0.2">
      <c r="A25" s="140">
        <v>17</v>
      </c>
      <c r="B25" s="129" t="s">
        <v>635</v>
      </c>
      <c r="C25" s="129" t="s">
        <v>636</v>
      </c>
      <c r="D25" s="129">
        <v>1009012775</v>
      </c>
      <c r="E25" s="129" t="s">
        <v>788</v>
      </c>
      <c r="F25" s="140" t="s">
        <v>354</v>
      </c>
      <c r="G25" s="4">
        <f>375+375+375</f>
        <v>1125</v>
      </c>
      <c r="H25" s="4"/>
      <c r="I25" s="4"/>
    </row>
    <row r="26" spans="1:9" ht="15" x14ac:dyDescent="0.2">
      <c r="A26" s="140">
        <v>18</v>
      </c>
      <c r="B26" s="129" t="s">
        <v>637</v>
      </c>
      <c r="C26" s="129" t="s">
        <v>638</v>
      </c>
      <c r="D26" s="129">
        <v>49001003001</v>
      </c>
      <c r="E26" s="129" t="s">
        <v>789</v>
      </c>
      <c r="F26" s="140" t="s">
        <v>354</v>
      </c>
      <c r="G26" s="4">
        <f>375+375+250+375+1469</f>
        <v>2844</v>
      </c>
      <c r="H26" s="4"/>
      <c r="I26" s="4"/>
    </row>
    <row r="27" spans="1:9" ht="15" x14ac:dyDescent="0.2">
      <c r="A27" s="140">
        <v>19</v>
      </c>
      <c r="B27" s="129" t="s">
        <v>639</v>
      </c>
      <c r="C27" s="129" t="s">
        <v>640</v>
      </c>
      <c r="D27" s="129">
        <v>1001044766</v>
      </c>
      <c r="E27" s="129" t="s">
        <v>886</v>
      </c>
      <c r="F27" s="140" t="s">
        <v>354</v>
      </c>
      <c r="G27" s="4">
        <f>375+375+375+375+375+375+375+162.5+2500+1350+5563+1188+150</f>
        <v>13538.5</v>
      </c>
      <c r="H27" s="4"/>
      <c r="I27" s="4"/>
    </row>
    <row r="28" spans="1:9" ht="15" x14ac:dyDescent="0.2">
      <c r="A28" s="140">
        <v>20</v>
      </c>
      <c r="B28" s="129" t="s">
        <v>641</v>
      </c>
      <c r="C28" s="129" t="s">
        <v>642</v>
      </c>
      <c r="D28" s="129">
        <v>61001023635</v>
      </c>
      <c r="E28" s="129" t="s">
        <v>886</v>
      </c>
      <c r="F28" s="140" t="s">
        <v>0</v>
      </c>
      <c r="G28" s="4">
        <f>100+100+250</f>
        <v>450</v>
      </c>
      <c r="H28" s="4"/>
      <c r="I28" s="4"/>
    </row>
    <row r="29" spans="1:9" ht="15" x14ac:dyDescent="0.2">
      <c r="A29" s="140">
        <v>21</v>
      </c>
      <c r="B29" s="129" t="s">
        <v>487</v>
      </c>
      <c r="C29" s="129" t="s">
        <v>643</v>
      </c>
      <c r="D29" s="129">
        <v>60001116560</v>
      </c>
      <c r="E29" s="129" t="s">
        <v>886</v>
      </c>
      <c r="F29" s="140" t="s">
        <v>0</v>
      </c>
      <c r="G29" s="4">
        <f>550+287.5+87.5+287.5+125+550+250+250</f>
        <v>2387.5</v>
      </c>
      <c r="H29" s="4"/>
      <c r="I29" s="4"/>
    </row>
    <row r="30" spans="1:9" ht="15" x14ac:dyDescent="0.2">
      <c r="A30" s="140">
        <v>22</v>
      </c>
      <c r="B30" s="129" t="s">
        <v>644</v>
      </c>
      <c r="C30" s="129" t="s">
        <v>645</v>
      </c>
      <c r="D30" s="129">
        <v>13001033370</v>
      </c>
      <c r="E30" s="129" t="s">
        <v>886</v>
      </c>
      <c r="F30" s="140" t="s">
        <v>0</v>
      </c>
      <c r="G30" s="4">
        <f>31.25+31+250</f>
        <v>312.25</v>
      </c>
      <c r="H30" s="4"/>
      <c r="I30" s="4"/>
    </row>
    <row r="31" spans="1:9" ht="15" x14ac:dyDescent="0.2">
      <c r="A31" s="140">
        <v>23</v>
      </c>
      <c r="B31" s="129" t="s">
        <v>646</v>
      </c>
      <c r="C31" s="129" t="s">
        <v>647</v>
      </c>
      <c r="D31" s="129">
        <v>60001032200</v>
      </c>
      <c r="E31" s="129" t="s">
        <v>886</v>
      </c>
      <c r="F31" s="140" t="s">
        <v>0</v>
      </c>
      <c r="G31" s="4">
        <f>572.5+572.5</f>
        <v>1145</v>
      </c>
      <c r="H31" s="4"/>
      <c r="I31" s="4"/>
    </row>
    <row r="32" spans="1:9" ht="15" x14ac:dyDescent="0.2">
      <c r="A32" s="140">
        <v>24</v>
      </c>
      <c r="B32" s="129" t="s">
        <v>517</v>
      </c>
      <c r="C32" s="129" t="s">
        <v>648</v>
      </c>
      <c r="D32" s="129">
        <v>1003017675</v>
      </c>
      <c r="E32" s="129" t="s">
        <v>886</v>
      </c>
      <c r="F32" s="140" t="s">
        <v>354</v>
      </c>
      <c r="G32" s="4">
        <f>875+62.5+62.5+62.5+187.5+375+4150.5+875+2844+250</f>
        <v>9744.5</v>
      </c>
      <c r="H32" s="4"/>
      <c r="I32" s="4"/>
    </row>
    <row r="33" spans="1:9" ht="15" x14ac:dyDescent="0.2">
      <c r="A33" s="140">
        <v>25</v>
      </c>
      <c r="B33" s="129" t="s">
        <v>649</v>
      </c>
      <c r="C33" s="129" t="s">
        <v>650</v>
      </c>
      <c r="D33" s="129"/>
      <c r="E33" s="129" t="s">
        <v>886</v>
      </c>
      <c r="F33" s="140" t="s">
        <v>354</v>
      </c>
      <c r="G33" s="4">
        <f>375+375+375+250+125+250+250+375</f>
        <v>2375</v>
      </c>
      <c r="H33" s="4"/>
      <c r="I33" s="4"/>
    </row>
    <row r="34" spans="1:9" ht="15" x14ac:dyDescent="0.2">
      <c r="A34" s="140">
        <v>26</v>
      </c>
      <c r="B34" s="129" t="s">
        <v>630</v>
      </c>
      <c r="C34" s="129" t="s">
        <v>651</v>
      </c>
      <c r="D34" s="388" t="s">
        <v>652</v>
      </c>
      <c r="E34" s="129" t="s">
        <v>886</v>
      </c>
      <c r="F34" s="140" t="s">
        <v>354</v>
      </c>
      <c r="G34" s="389">
        <f>62.5+62.5+62.5+62.5+62.5+73.9</f>
        <v>386.4</v>
      </c>
      <c r="H34" s="4"/>
      <c r="I34" s="4"/>
    </row>
    <row r="35" spans="1:9" ht="15" x14ac:dyDescent="0.2">
      <c r="A35" s="140">
        <v>27</v>
      </c>
      <c r="B35" s="129" t="s">
        <v>653</v>
      </c>
      <c r="C35" s="129" t="s">
        <v>654</v>
      </c>
      <c r="D35" s="388" t="s">
        <v>655</v>
      </c>
      <c r="E35" s="129" t="s">
        <v>886</v>
      </c>
      <c r="F35" s="140" t="s">
        <v>354</v>
      </c>
      <c r="G35" s="389">
        <f>62.5+62.5+62.5+130+62.5</f>
        <v>380</v>
      </c>
      <c r="H35" s="4"/>
      <c r="I35" s="4"/>
    </row>
    <row r="36" spans="1:9" ht="15" x14ac:dyDescent="0.2">
      <c r="A36" s="140">
        <v>28</v>
      </c>
      <c r="B36" s="129" t="s">
        <v>656</v>
      </c>
      <c r="C36" s="129" t="s">
        <v>657</v>
      </c>
      <c r="D36" s="388" t="s">
        <v>658</v>
      </c>
      <c r="E36" s="129" t="s">
        <v>886</v>
      </c>
      <c r="F36" s="140" t="s">
        <v>354</v>
      </c>
      <c r="G36" s="389">
        <f>62.5+62.5+62.5+62.5+187.5+1673.5+375+250</f>
        <v>2736</v>
      </c>
      <c r="H36" s="4"/>
      <c r="I36" s="4"/>
    </row>
    <row r="37" spans="1:9" ht="15" x14ac:dyDescent="0.2">
      <c r="A37" s="140">
        <v>29</v>
      </c>
      <c r="B37" s="129" t="s">
        <v>482</v>
      </c>
      <c r="C37" s="129" t="s">
        <v>659</v>
      </c>
      <c r="D37" s="129">
        <v>18001003346</v>
      </c>
      <c r="E37" s="129" t="s">
        <v>886</v>
      </c>
      <c r="F37" s="140" t="s">
        <v>354</v>
      </c>
      <c r="G37" s="389">
        <f>62.5+62.5+62.5+62.5</f>
        <v>250</v>
      </c>
      <c r="H37" s="4"/>
      <c r="I37" s="4"/>
    </row>
    <row r="38" spans="1:9" ht="15" x14ac:dyDescent="0.2">
      <c r="A38" s="140">
        <v>30</v>
      </c>
      <c r="B38" s="129" t="s">
        <v>660</v>
      </c>
      <c r="C38" s="129" t="s">
        <v>661</v>
      </c>
      <c r="D38" s="388" t="s">
        <v>662</v>
      </c>
      <c r="E38" s="129" t="s">
        <v>886</v>
      </c>
      <c r="F38" s="140" t="s">
        <v>354</v>
      </c>
      <c r="G38" s="4">
        <v>375</v>
      </c>
      <c r="H38" s="4"/>
      <c r="I38" s="4"/>
    </row>
    <row r="39" spans="1:9" ht="15" x14ac:dyDescent="0.2">
      <c r="A39" s="140">
        <v>31</v>
      </c>
      <c r="B39" s="129" t="s">
        <v>663</v>
      </c>
      <c r="C39" s="129" t="s">
        <v>664</v>
      </c>
      <c r="D39" s="388" t="s">
        <v>665</v>
      </c>
      <c r="E39" s="129" t="s">
        <v>886</v>
      </c>
      <c r="F39" s="140" t="s">
        <v>354</v>
      </c>
      <c r="G39" s="390">
        <f>62.5+62.5+62.5</f>
        <v>187.5</v>
      </c>
      <c r="H39" s="4"/>
      <c r="I39" s="4"/>
    </row>
    <row r="40" spans="1:9" ht="15" x14ac:dyDescent="0.2">
      <c r="A40" s="140">
        <v>32</v>
      </c>
      <c r="B40" s="129" t="s">
        <v>666</v>
      </c>
      <c r="C40" s="129" t="s">
        <v>667</v>
      </c>
      <c r="D40" s="388" t="s">
        <v>668</v>
      </c>
      <c r="E40" s="129" t="s">
        <v>886</v>
      </c>
      <c r="F40" s="140" t="s">
        <v>354</v>
      </c>
      <c r="G40" s="4">
        <f>375+250+375+375+250+375+625+625+625</f>
        <v>3875</v>
      </c>
      <c r="H40" s="4"/>
      <c r="I40" s="4"/>
    </row>
    <row r="41" spans="1:9" ht="15" x14ac:dyDescent="0.2">
      <c r="A41" s="140">
        <v>33</v>
      </c>
      <c r="B41" s="129" t="s">
        <v>669</v>
      </c>
      <c r="C41" s="129" t="s">
        <v>670</v>
      </c>
      <c r="D41" s="129">
        <v>1019015526</v>
      </c>
      <c r="E41" s="129" t="s">
        <v>886</v>
      </c>
      <c r="F41" s="140" t="s">
        <v>0</v>
      </c>
      <c r="G41" s="4">
        <f>125+250+375+280+625+250</f>
        <v>1905</v>
      </c>
      <c r="H41" s="4"/>
      <c r="I41" s="4"/>
    </row>
    <row r="42" spans="1:9" ht="15" x14ac:dyDescent="0.2">
      <c r="A42" s="140">
        <v>34</v>
      </c>
      <c r="B42" s="129" t="s">
        <v>619</v>
      </c>
      <c r="C42" s="129" t="s">
        <v>620</v>
      </c>
      <c r="D42" s="129"/>
      <c r="E42" s="129" t="s">
        <v>886</v>
      </c>
      <c r="F42" s="140" t="s">
        <v>354</v>
      </c>
      <c r="G42" s="4">
        <v>250</v>
      </c>
      <c r="H42" s="4"/>
      <c r="I42" s="4"/>
    </row>
    <row r="43" spans="1:9" ht="15" x14ac:dyDescent="0.2">
      <c r="A43" s="140">
        <v>35</v>
      </c>
      <c r="B43" s="129" t="s">
        <v>671</v>
      </c>
      <c r="C43" s="129" t="s">
        <v>672</v>
      </c>
      <c r="D43" s="129">
        <v>51001021222</v>
      </c>
      <c r="E43" s="129" t="s">
        <v>886</v>
      </c>
      <c r="F43" s="140" t="s">
        <v>354</v>
      </c>
      <c r="G43" s="4">
        <f>750+375+375</f>
        <v>1500</v>
      </c>
      <c r="H43" s="4"/>
      <c r="I43" s="4"/>
    </row>
    <row r="44" spans="1:9" ht="15" x14ac:dyDescent="0.2">
      <c r="A44" s="140">
        <v>36</v>
      </c>
      <c r="B44" s="129" t="s">
        <v>673</v>
      </c>
      <c r="C44" s="129" t="s">
        <v>674</v>
      </c>
      <c r="D44" s="129">
        <v>61002010011</v>
      </c>
      <c r="E44" s="129" t="s">
        <v>886</v>
      </c>
      <c r="F44" s="140" t="s">
        <v>354</v>
      </c>
      <c r="G44" s="4">
        <f>187.5+187.5+187.5+75+125+1713+1188</f>
        <v>3663.5</v>
      </c>
      <c r="H44" s="4"/>
      <c r="I44" s="4"/>
    </row>
    <row r="45" spans="1:9" ht="15" x14ac:dyDescent="0.2">
      <c r="A45" s="140">
        <v>37</v>
      </c>
      <c r="B45" s="129" t="s">
        <v>497</v>
      </c>
      <c r="C45" s="129" t="s">
        <v>675</v>
      </c>
      <c r="D45" s="129">
        <v>1001015548</v>
      </c>
      <c r="E45" s="129" t="s">
        <v>886</v>
      </c>
      <c r="F45" s="140" t="s">
        <v>0</v>
      </c>
      <c r="G45" s="4">
        <f>250+375+438</f>
        <v>1063</v>
      </c>
      <c r="H45" s="4"/>
      <c r="I45" s="4"/>
    </row>
    <row r="46" spans="1:9" ht="15" x14ac:dyDescent="0.2">
      <c r="A46" s="140">
        <v>38</v>
      </c>
      <c r="B46" s="129" t="s">
        <v>676</v>
      </c>
      <c r="C46" s="129" t="s">
        <v>677</v>
      </c>
      <c r="D46" s="129">
        <v>61001018866</v>
      </c>
      <c r="E46" s="129" t="s">
        <v>886</v>
      </c>
      <c r="F46" s="140" t="s">
        <v>354</v>
      </c>
      <c r="G46" s="4">
        <f>62.5+312.5+287+264+375+625</f>
        <v>1926</v>
      </c>
      <c r="H46" s="4"/>
      <c r="I46" s="4"/>
    </row>
    <row r="47" spans="1:9" ht="15" x14ac:dyDescent="0.2">
      <c r="A47" s="140">
        <v>39</v>
      </c>
      <c r="B47" s="129" t="s">
        <v>653</v>
      </c>
      <c r="C47" s="129" t="s">
        <v>678</v>
      </c>
      <c r="D47" s="129">
        <v>59001102230</v>
      </c>
      <c r="E47" s="129" t="s">
        <v>886</v>
      </c>
      <c r="F47" s="140" t="s">
        <v>354</v>
      </c>
      <c r="G47" s="4">
        <v>250</v>
      </c>
      <c r="H47" s="4"/>
      <c r="I47" s="4"/>
    </row>
    <row r="48" spans="1:9" ht="15" x14ac:dyDescent="0.2">
      <c r="A48" s="140">
        <v>40</v>
      </c>
      <c r="B48" s="129" t="s">
        <v>546</v>
      </c>
      <c r="C48" s="129" t="s">
        <v>545</v>
      </c>
      <c r="D48" s="129">
        <v>61001031262</v>
      </c>
      <c r="E48" s="129" t="s">
        <v>886</v>
      </c>
      <c r="F48" s="140" t="s">
        <v>354</v>
      </c>
      <c r="G48" s="4">
        <f>250+437.5</f>
        <v>687.5</v>
      </c>
      <c r="H48" s="4"/>
      <c r="I48" s="4"/>
    </row>
    <row r="49" spans="1:9" ht="15" x14ac:dyDescent="0.2">
      <c r="A49" s="140">
        <v>41</v>
      </c>
      <c r="B49" s="129" t="s">
        <v>679</v>
      </c>
      <c r="C49" s="129" t="s">
        <v>680</v>
      </c>
      <c r="D49" s="129">
        <v>1028006798</v>
      </c>
      <c r="E49" s="129" t="s">
        <v>886</v>
      </c>
      <c r="F49" s="140" t="s">
        <v>354</v>
      </c>
      <c r="G49" s="4">
        <v>875</v>
      </c>
      <c r="H49" s="4"/>
      <c r="I49" s="4"/>
    </row>
    <row r="50" spans="1:9" ht="15" x14ac:dyDescent="0.2">
      <c r="A50" s="140">
        <v>42</v>
      </c>
      <c r="B50" s="129" t="s">
        <v>681</v>
      </c>
      <c r="C50" s="129" t="s">
        <v>682</v>
      </c>
      <c r="D50" s="129">
        <v>26001002087</v>
      </c>
      <c r="E50" s="129" t="s">
        <v>886</v>
      </c>
      <c r="F50" s="140" t="s">
        <v>354</v>
      </c>
      <c r="G50" s="4">
        <v>125</v>
      </c>
      <c r="H50" s="4"/>
      <c r="I50" s="4"/>
    </row>
    <row r="51" spans="1:9" ht="15" x14ac:dyDescent="0.2">
      <c r="A51" s="140">
        <v>43</v>
      </c>
      <c r="B51" s="129" t="s">
        <v>517</v>
      </c>
      <c r="C51" s="129" t="s">
        <v>683</v>
      </c>
      <c r="D51" s="129">
        <v>45001008791</v>
      </c>
      <c r="E51" s="129" t="s">
        <v>886</v>
      </c>
      <c r="F51" s="140" t="s">
        <v>0</v>
      </c>
      <c r="G51" s="389">
        <f>2283.5+2062.25</f>
        <v>4345.75</v>
      </c>
      <c r="H51" s="4"/>
      <c r="I51" s="4"/>
    </row>
    <row r="52" spans="1:9" ht="15" x14ac:dyDescent="0.2">
      <c r="A52" s="140">
        <v>44</v>
      </c>
      <c r="B52" s="129" t="s">
        <v>684</v>
      </c>
      <c r="C52" s="129" t="s">
        <v>685</v>
      </c>
      <c r="D52" s="129">
        <v>60001121267</v>
      </c>
      <c r="E52" s="129" t="s">
        <v>886</v>
      </c>
      <c r="F52" s="140" t="s">
        <v>354</v>
      </c>
      <c r="G52" s="4">
        <f>187.5+375+250</f>
        <v>812.5</v>
      </c>
      <c r="H52" s="4"/>
      <c r="I52" s="4"/>
    </row>
    <row r="53" spans="1:9" ht="15" x14ac:dyDescent="0.2">
      <c r="A53" s="140">
        <v>45</v>
      </c>
      <c r="B53" s="129" t="s">
        <v>492</v>
      </c>
      <c r="C53" s="129" t="s">
        <v>491</v>
      </c>
      <c r="D53" s="129">
        <v>1008003871</v>
      </c>
      <c r="E53" s="129" t="s">
        <v>886</v>
      </c>
      <c r="F53" s="140" t="s">
        <v>354</v>
      </c>
      <c r="G53" s="4">
        <v>625</v>
      </c>
      <c r="H53" s="4"/>
      <c r="I53" s="4"/>
    </row>
    <row r="54" spans="1:9" ht="15" x14ac:dyDescent="0.2">
      <c r="A54" s="140">
        <v>46</v>
      </c>
      <c r="B54" s="129" t="s">
        <v>686</v>
      </c>
      <c r="C54" s="129" t="s">
        <v>687</v>
      </c>
      <c r="D54" s="129">
        <v>56001002350</v>
      </c>
      <c r="E54" s="129" t="s">
        <v>886</v>
      </c>
      <c r="F54" s="140" t="s">
        <v>0</v>
      </c>
      <c r="G54" s="4">
        <f>375+2028.75+1752.5+938+250</f>
        <v>5344.25</v>
      </c>
      <c r="H54" s="4"/>
      <c r="I54" s="4"/>
    </row>
    <row r="55" spans="1:9" ht="15" x14ac:dyDescent="0.2">
      <c r="A55" s="140">
        <v>47</v>
      </c>
      <c r="B55" s="129" t="s">
        <v>688</v>
      </c>
      <c r="C55" s="129" t="s">
        <v>689</v>
      </c>
      <c r="D55" s="129">
        <v>18001066022</v>
      </c>
      <c r="E55" s="129" t="s">
        <v>886</v>
      </c>
      <c r="F55" s="140" t="s">
        <v>354</v>
      </c>
      <c r="G55" s="4">
        <f>625+397.5+62.5</f>
        <v>1085</v>
      </c>
      <c r="H55" s="4"/>
      <c r="I55" s="4"/>
    </row>
    <row r="56" spans="1:9" ht="15" x14ac:dyDescent="0.2">
      <c r="A56" s="140">
        <v>48</v>
      </c>
      <c r="B56" s="129" t="s">
        <v>690</v>
      </c>
      <c r="C56" s="129" t="s">
        <v>691</v>
      </c>
      <c r="D56" s="129">
        <v>6200605767</v>
      </c>
      <c r="E56" s="129" t="s">
        <v>886</v>
      </c>
      <c r="F56" s="140" t="s">
        <v>354</v>
      </c>
      <c r="G56" s="4">
        <f>125+312.5</f>
        <v>437.5</v>
      </c>
      <c r="H56" s="4"/>
      <c r="I56" s="4"/>
    </row>
    <row r="57" spans="1:9" ht="15" x14ac:dyDescent="0.2">
      <c r="A57" s="140">
        <v>49</v>
      </c>
      <c r="B57" s="129" t="s">
        <v>487</v>
      </c>
      <c r="C57" s="129" t="s">
        <v>692</v>
      </c>
      <c r="D57" s="129">
        <v>33001020675</v>
      </c>
      <c r="E57" s="129" t="s">
        <v>886</v>
      </c>
      <c r="F57" s="140" t="s">
        <v>354</v>
      </c>
      <c r="G57" s="4">
        <f>315+187.5+657.5+750+688</f>
        <v>2598</v>
      </c>
      <c r="H57" s="4"/>
      <c r="I57" s="4"/>
    </row>
    <row r="58" spans="1:9" ht="15" x14ac:dyDescent="0.2">
      <c r="A58" s="140">
        <v>50</v>
      </c>
      <c r="B58" s="129" t="s">
        <v>487</v>
      </c>
      <c r="C58" s="129" t="s">
        <v>693</v>
      </c>
      <c r="D58" s="129"/>
      <c r="E58" s="129" t="s">
        <v>886</v>
      </c>
      <c r="F58" s="140" t="s">
        <v>354</v>
      </c>
      <c r="G58" s="4">
        <v>125</v>
      </c>
      <c r="H58" s="4"/>
      <c r="I58" s="4"/>
    </row>
    <row r="59" spans="1:9" ht="15" x14ac:dyDescent="0.2">
      <c r="A59" s="140">
        <v>51</v>
      </c>
      <c r="B59" s="129" t="s">
        <v>649</v>
      </c>
      <c r="C59" s="129" t="s">
        <v>694</v>
      </c>
      <c r="D59" s="129"/>
      <c r="E59" s="129" t="s">
        <v>886</v>
      </c>
      <c r="F59" s="140" t="s">
        <v>354</v>
      </c>
      <c r="G59" s="4">
        <f>375+375</f>
        <v>750</v>
      </c>
      <c r="H59" s="4"/>
      <c r="I59" s="4"/>
    </row>
    <row r="60" spans="1:9" ht="15" x14ac:dyDescent="0.2">
      <c r="A60" s="140">
        <v>52</v>
      </c>
      <c r="B60" s="129" t="s">
        <v>695</v>
      </c>
      <c r="C60" s="129" t="s">
        <v>696</v>
      </c>
      <c r="D60" s="129">
        <v>61001014138</v>
      </c>
      <c r="E60" s="129" t="s">
        <v>886</v>
      </c>
      <c r="F60" s="140" t="s">
        <v>0</v>
      </c>
      <c r="G60" s="4">
        <f>1875+1985+375+875+375</f>
        <v>5485</v>
      </c>
      <c r="H60" s="4"/>
      <c r="I60" s="4"/>
    </row>
    <row r="61" spans="1:9" ht="15" x14ac:dyDescent="0.2">
      <c r="A61" s="140">
        <v>53</v>
      </c>
      <c r="B61" s="129" t="s">
        <v>487</v>
      </c>
      <c r="C61" s="129" t="s">
        <v>535</v>
      </c>
      <c r="D61" s="129">
        <v>60003000785</v>
      </c>
      <c r="E61" s="129" t="s">
        <v>886</v>
      </c>
      <c r="F61" s="140" t="s">
        <v>0</v>
      </c>
      <c r="G61" s="4">
        <f>500+250+1188+375</f>
        <v>2313</v>
      </c>
      <c r="H61" s="4"/>
      <c r="I61" s="4"/>
    </row>
    <row r="62" spans="1:9" ht="15" x14ac:dyDescent="0.2">
      <c r="A62" s="140">
        <v>54</v>
      </c>
      <c r="B62" s="129" t="s">
        <v>487</v>
      </c>
      <c r="C62" s="129" t="s">
        <v>486</v>
      </c>
      <c r="D62" s="129">
        <v>20001023451</v>
      </c>
      <c r="E62" s="129" t="s">
        <v>886</v>
      </c>
      <c r="F62" s="140" t="s">
        <v>0</v>
      </c>
      <c r="G62" s="4">
        <f>250+125+500</f>
        <v>875</v>
      </c>
      <c r="H62" s="4"/>
      <c r="I62" s="4"/>
    </row>
    <row r="63" spans="1:9" ht="15" x14ac:dyDescent="0.2">
      <c r="A63" s="140">
        <v>55</v>
      </c>
      <c r="B63" s="129" t="s">
        <v>697</v>
      </c>
      <c r="C63" s="129" t="s">
        <v>698</v>
      </c>
      <c r="D63" s="129"/>
      <c r="E63" s="129" t="s">
        <v>886</v>
      </c>
      <c r="F63" s="140" t="s">
        <v>0</v>
      </c>
      <c r="G63" s="389">
        <v>312.5</v>
      </c>
      <c r="H63" s="4"/>
      <c r="I63" s="4"/>
    </row>
    <row r="64" spans="1:9" ht="15" x14ac:dyDescent="0.2">
      <c r="A64" s="140">
        <v>56</v>
      </c>
      <c r="B64" s="129" t="s">
        <v>575</v>
      </c>
      <c r="C64" s="129" t="s">
        <v>699</v>
      </c>
      <c r="D64" s="129"/>
      <c r="E64" s="129" t="s">
        <v>886</v>
      </c>
      <c r="F64" s="140" t="s">
        <v>0</v>
      </c>
      <c r="G64" s="389">
        <v>187.5</v>
      </c>
      <c r="H64" s="4"/>
      <c r="I64" s="4"/>
    </row>
    <row r="65" spans="1:9" ht="15" x14ac:dyDescent="0.2">
      <c r="A65" s="140">
        <v>57</v>
      </c>
      <c r="B65" s="129" t="s">
        <v>700</v>
      </c>
      <c r="C65" s="129" t="s">
        <v>701</v>
      </c>
      <c r="D65" s="129"/>
      <c r="E65" s="129" t="s">
        <v>886</v>
      </c>
      <c r="F65" s="140" t="s">
        <v>0</v>
      </c>
      <c r="G65" s="389">
        <v>187.5</v>
      </c>
      <c r="H65" s="4"/>
      <c r="I65" s="4"/>
    </row>
    <row r="66" spans="1:9" ht="15" x14ac:dyDescent="0.2">
      <c r="A66" s="140">
        <v>58</v>
      </c>
      <c r="B66" s="129" t="s">
        <v>615</v>
      </c>
      <c r="C66" s="129" t="s">
        <v>702</v>
      </c>
      <c r="D66" s="129"/>
      <c r="E66" s="129" t="s">
        <v>886</v>
      </c>
      <c r="F66" s="140" t="s">
        <v>0</v>
      </c>
      <c r="G66" s="389">
        <v>375</v>
      </c>
      <c r="H66" s="4"/>
      <c r="I66" s="4"/>
    </row>
    <row r="67" spans="1:9" ht="15" x14ac:dyDescent="0.2">
      <c r="A67" s="140">
        <v>59</v>
      </c>
      <c r="B67" s="129" t="s">
        <v>703</v>
      </c>
      <c r="C67" s="129" t="s">
        <v>704</v>
      </c>
      <c r="D67" s="129"/>
      <c r="E67" s="129" t="s">
        <v>886</v>
      </c>
      <c r="F67" s="140" t="s">
        <v>0</v>
      </c>
      <c r="G67" s="389">
        <v>187.5</v>
      </c>
      <c r="H67" s="4"/>
      <c r="I67" s="4"/>
    </row>
    <row r="68" spans="1:9" ht="15" x14ac:dyDescent="0.2">
      <c r="A68" s="140">
        <v>60</v>
      </c>
      <c r="B68" s="129" t="s">
        <v>517</v>
      </c>
      <c r="C68" s="129" t="s">
        <v>705</v>
      </c>
      <c r="D68" s="129"/>
      <c r="E68" s="129" t="s">
        <v>886</v>
      </c>
      <c r="F68" s="140" t="s">
        <v>0</v>
      </c>
      <c r="G68" s="389">
        <v>187.5</v>
      </c>
      <c r="H68" s="4"/>
      <c r="I68" s="4"/>
    </row>
    <row r="69" spans="1:9" ht="15" x14ac:dyDescent="0.2">
      <c r="A69" s="140">
        <v>61</v>
      </c>
      <c r="B69" s="129" t="s">
        <v>706</v>
      </c>
      <c r="C69" s="129" t="s">
        <v>627</v>
      </c>
      <c r="D69" s="129">
        <v>5001000306</v>
      </c>
      <c r="E69" s="129" t="s">
        <v>886</v>
      </c>
      <c r="F69" s="140" t="s">
        <v>0</v>
      </c>
      <c r="G69" s="389">
        <f>143.75+80+1100+563</f>
        <v>1886.75</v>
      </c>
      <c r="H69" s="4"/>
      <c r="I69" s="4"/>
    </row>
    <row r="70" spans="1:9" ht="15" x14ac:dyDescent="0.2">
      <c r="A70" s="140">
        <v>62</v>
      </c>
      <c r="B70" s="129" t="s">
        <v>487</v>
      </c>
      <c r="C70" s="129" t="s">
        <v>707</v>
      </c>
      <c r="D70" s="388" t="s">
        <v>708</v>
      </c>
      <c r="E70" s="129" t="s">
        <v>886</v>
      </c>
      <c r="F70" s="140" t="s">
        <v>0</v>
      </c>
      <c r="G70" s="389">
        <f>1546+387.5+1000+250</f>
        <v>3183.5</v>
      </c>
      <c r="H70" s="4"/>
      <c r="I70" s="4"/>
    </row>
    <row r="71" spans="1:9" ht="15" x14ac:dyDescent="0.2">
      <c r="A71" s="140">
        <v>63</v>
      </c>
      <c r="B71" s="129" t="s">
        <v>709</v>
      </c>
      <c r="C71" s="129" t="s">
        <v>710</v>
      </c>
      <c r="D71" s="129"/>
      <c r="E71" s="129" t="s">
        <v>886</v>
      </c>
      <c r="F71" s="140" t="s">
        <v>354</v>
      </c>
      <c r="G71" s="389">
        <v>250</v>
      </c>
      <c r="H71" s="4"/>
      <c r="I71" s="4"/>
    </row>
    <row r="72" spans="1:9" ht="15" x14ac:dyDescent="0.2">
      <c r="A72" s="140">
        <v>64</v>
      </c>
      <c r="B72" s="129" t="s">
        <v>690</v>
      </c>
      <c r="C72" s="129" t="s">
        <v>711</v>
      </c>
      <c r="D72" s="129"/>
      <c r="E72" s="129" t="s">
        <v>886</v>
      </c>
      <c r="F72" s="140" t="s">
        <v>0</v>
      </c>
      <c r="G72" s="389">
        <v>187.5</v>
      </c>
      <c r="H72" s="4"/>
      <c r="I72" s="4"/>
    </row>
    <row r="73" spans="1:9" ht="15" x14ac:dyDescent="0.2">
      <c r="A73" s="140">
        <v>65</v>
      </c>
      <c r="B73" s="129" t="s">
        <v>712</v>
      </c>
      <c r="C73" s="129" t="s">
        <v>713</v>
      </c>
      <c r="D73" s="129">
        <v>1019037743</v>
      </c>
      <c r="E73" s="129" t="s">
        <v>886</v>
      </c>
      <c r="F73" s="140" t="s">
        <v>0</v>
      </c>
      <c r="G73" s="389">
        <f>1020+1000+250</f>
        <v>2270</v>
      </c>
      <c r="H73" s="4"/>
      <c r="I73" s="4"/>
    </row>
    <row r="74" spans="1:9" ht="15" x14ac:dyDescent="0.2">
      <c r="A74" s="140">
        <v>66</v>
      </c>
      <c r="B74" s="129" t="s">
        <v>714</v>
      </c>
      <c r="C74" s="129" t="s">
        <v>715</v>
      </c>
      <c r="D74" s="129"/>
      <c r="E74" s="129" t="s">
        <v>886</v>
      </c>
      <c r="F74" s="140" t="s">
        <v>0</v>
      </c>
      <c r="G74" s="389">
        <f>494+306</f>
        <v>800</v>
      </c>
      <c r="H74" s="4"/>
      <c r="I74" s="4"/>
    </row>
    <row r="75" spans="1:9" ht="15" x14ac:dyDescent="0.2">
      <c r="A75" s="140">
        <v>67</v>
      </c>
      <c r="B75" s="129" t="s">
        <v>716</v>
      </c>
      <c r="C75" s="129" t="s">
        <v>717</v>
      </c>
      <c r="D75" s="129"/>
      <c r="E75" s="129" t="s">
        <v>886</v>
      </c>
      <c r="F75" s="140" t="s">
        <v>0</v>
      </c>
      <c r="G75" s="389">
        <v>1919.25</v>
      </c>
      <c r="H75" s="4"/>
      <c r="I75" s="4"/>
    </row>
    <row r="76" spans="1:9" ht="15" x14ac:dyDescent="0.2">
      <c r="A76" s="140">
        <v>68</v>
      </c>
      <c r="B76" s="129" t="s">
        <v>718</v>
      </c>
      <c r="C76" s="129" t="s">
        <v>719</v>
      </c>
      <c r="D76" s="129"/>
      <c r="E76" s="129" t="s">
        <v>886</v>
      </c>
      <c r="F76" s="140" t="s">
        <v>0</v>
      </c>
      <c r="G76" s="389">
        <v>1919.3</v>
      </c>
      <c r="H76" s="4"/>
      <c r="I76" s="4"/>
    </row>
    <row r="77" spans="1:9" ht="15" x14ac:dyDescent="0.2">
      <c r="A77" s="140">
        <v>69</v>
      </c>
      <c r="B77" s="129" t="s">
        <v>517</v>
      </c>
      <c r="C77" s="129" t="s">
        <v>720</v>
      </c>
      <c r="D77" s="129"/>
      <c r="E77" s="129" t="s">
        <v>886</v>
      </c>
      <c r="F77" s="140" t="s">
        <v>0</v>
      </c>
      <c r="G77" s="389">
        <v>187.5</v>
      </c>
      <c r="H77" s="4"/>
      <c r="I77" s="4"/>
    </row>
    <row r="78" spans="1:9" ht="15" x14ac:dyDescent="0.2">
      <c r="A78" s="140">
        <v>70</v>
      </c>
      <c r="B78" s="129" t="s">
        <v>526</v>
      </c>
      <c r="C78" s="129" t="s">
        <v>721</v>
      </c>
      <c r="D78" s="388" t="s">
        <v>722</v>
      </c>
      <c r="E78" s="129" t="s">
        <v>886</v>
      </c>
      <c r="F78" s="140" t="s">
        <v>0</v>
      </c>
      <c r="G78" s="389">
        <f>187.5+330.5+500+250</f>
        <v>1268</v>
      </c>
      <c r="H78" s="4"/>
      <c r="I78" s="4"/>
    </row>
    <row r="79" spans="1:9" ht="15" x14ac:dyDescent="0.2">
      <c r="A79" s="140">
        <v>71</v>
      </c>
      <c r="B79" s="129" t="s">
        <v>723</v>
      </c>
      <c r="C79" s="129" t="s">
        <v>724</v>
      </c>
      <c r="D79" s="129">
        <v>3001003781</v>
      </c>
      <c r="E79" s="129" t="s">
        <v>886</v>
      </c>
      <c r="F79" s="140" t="s">
        <v>0</v>
      </c>
      <c r="G79" s="389">
        <f>625+262.5+131.25+625+875</f>
        <v>2518.75</v>
      </c>
      <c r="H79" s="4"/>
      <c r="I79" s="4"/>
    </row>
    <row r="80" spans="1:9" ht="15" x14ac:dyDescent="0.2">
      <c r="A80" s="140">
        <v>72</v>
      </c>
      <c r="B80" s="129" t="s">
        <v>725</v>
      </c>
      <c r="C80" s="129" t="s">
        <v>726</v>
      </c>
      <c r="D80" s="129">
        <v>1025002157</v>
      </c>
      <c r="E80" s="129" t="s">
        <v>886</v>
      </c>
      <c r="F80" s="140" t="s">
        <v>0</v>
      </c>
      <c r="G80" s="389">
        <f>633+1125</f>
        <v>1758</v>
      </c>
      <c r="H80" s="4"/>
      <c r="I80" s="4"/>
    </row>
    <row r="81" spans="1:9" ht="15" x14ac:dyDescent="0.2">
      <c r="A81" s="140">
        <v>73</v>
      </c>
      <c r="B81" s="129" t="s">
        <v>727</v>
      </c>
      <c r="C81" s="129" t="s">
        <v>713</v>
      </c>
      <c r="D81" s="388" t="s">
        <v>728</v>
      </c>
      <c r="E81" s="129" t="s">
        <v>886</v>
      </c>
      <c r="F81" s="140" t="s">
        <v>0</v>
      </c>
      <c r="G81" s="389">
        <v>610.5</v>
      </c>
      <c r="H81" s="4"/>
      <c r="I81" s="4"/>
    </row>
    <row r="82" spans="1:9" ht="15" x14ac:dyDescent="0.2">
      <c r="A82" s="140">
        <v>74</v>
      </c>
      <c r="B82" s="129" t="s">
        <v>615</v>
      </c>
      <c r="C82" s="129" t="s">
        <v>729</v>
      </c>
      <c r="D82" s="388" t="s">
        <v>730</v>
      </c>
      <c r="E82" s="129" t="s">
        <v>886</v>
      </c>
      <c r="F82" s="140" t="s">
        <v>0</v>
      </c>
      <c r="G82" s="389">
        <v>232.5</v>
      </c>
      <c r="H82" s="4"/>
      <c r="I82" s="4"/>
    </row>
    <row r="83" spans="1:9" ht="15" x14ac:dyDescent="0.2">
      <c r="A83" s="140">
        <v>75</v>
      </c>
      <c r="B83" s="129" t="s">
        <v>585</v>
      </c>
      <c r="C83" s="129" t="s">
        <v>731</v>
      </c>
      <c r="D83" s="388" t="s">
        <v>732</v>
      </c>
      <c r="E83" s="129" t="s">
        <v>886</v>
      </c>
      <c r="F83" s="140" t="s">
        <v>0</v>
      </c>
      <c r="G83" s="389">
        <f>76.9+44</f>
        <v>120.9</v>
      </c>
      <c r="H83" s="4"/>
      <c r="I83" s="4"/>
    </row>
    <row r="84" spans="1:9" ht="15" x14ac:dyDescent="0.2">
      <c r="A84" s="140">
        <v>76</v>
      </c>
      <c r="B84" s="129" t="s">
        <v>612</v>
      </c>
      <c r="C84" s="129" t="s">
        <v>733</v>
      </c>
      <c r="D84" s="129">
        <v>61001069556</v>
      </c>
      <c r="E84" s="129" t="s">
        <v>886</v>
      </c>
      <c r="F84" s="140" t="s">
        <v>354</v>
      </c>
      <c r="G84" s="389">
        <f>50+100+50</f>
        <v>200</v>
      </c>
      <c r="H84" s="4"/>
      <c r="I84" s="4"/>
    </row>
    <row r="85" spans="1:9" ht="15" x14ac:dyDescent="0.2">
      <c r="A85" s="140">
        <v>77</v>
      </c>
      <c r="B85" s="129" t="s">
        <v>734</v>
      </c>
      <c r="C85" s="129" t="s">
        <v>735</v>
      </c>
      <c r="D85" s="129">
        <v>56001021524</v>
      </c>
      <c r="E85" s="129" t="s">
        <v>886</v>
      </c>
      <c r="F85" s="140" t="s">
        <v>354</v>
      </c>
      <c r="G85" s="389">
        <f>187.5+187.5+187.5</f>
        <v>562.5</v>
      </c>
      <c r="H85" s="4"/>
      <c r="I85" s="4"/>
    </row>
    <row r="86" spans="1:9" ht="15" x14ac:dyDescent="0.2">
      <c r="A86" s="140">
        <v>78</v>
      </c>
      <c r="B86" s="129" t="s">
        <v>714</v>
      </c>
      <c r="C86" s="129" t="s">
        <v>736</v>
      </c>
      <c r="D86" s="129">
        <v>54001047739</v>
      </c>
      <c r="E86" s="129" t="s">
        <v>886</v>
      </c>
      <c r="F86" s="140" t="s">
        <v>354</v>
      </c>
      <c r="G86" s="389">
        <f>187.5+1818.75+375</f>
        <v>2381.25</v>
      </c>
      <c r="H86" s="4"/>
      <c r="I86" s="4"/>
    </row>
    <row r="87" spans="1:9" ht="15" x14ac:dyDescent="0.2">
      <c r="A87" s="140">
        <v>79</v>
      </c>
      <c r="B87" s="129" t="s">
        <v>737</v>
      </c>
      <c r="C87" s="129" t="s">
        <v>694</v>
      </c>
      <c r="D87" s="129">
        <v>20001006063</v>
      </c>
      <c r="E87" s="129" t="s">
        <v>886</v>
      </c>
      <c r="F87" s="140" t="s">
        <v>0</v>
      </c>
      <c r="G87" s="389">
        <f>187.5+375+942.5</f>
        <v>1505</v>
      </c>
      <c r="H87" s="4"/>
      <c r="I87" s="4"/>
    </row>
    <row r="88" spans="1:9" ht="15" x14ac:dyDescent="0.2">
      <c r="A88" s="140">
        <v>80</v>
      </c>
      <c r="B88" s="129" t="s">
        <v>714</v>
      </c>
      <c r="C88" s="129" t="s">
        <v>634</v>
      </c>
      <c r="D88" s="129">
        <v>18001019326</v>
      </c>
      <c r="E88" s="129" t="s">
        <v>886</v>
      </c>
      <c r="F88" s="140" t="s">
        <v>354</v>
      </c>
      <c r="G88" s="389">
        <f>187.5+375</f>
        <v>562.5</v>
      </c>
      <c r="H88" s="4"/>
      <c r="I88" s="4"/>
    </row>
    <row r="89" spans="1:9" ht="15" x14ac:dyDescent="0.2">
      <c r="A89" s="140">
        <v>81</v>
      </c>
      <c r="B89" s="129" t="s">
        <v>575</v>
      </c>
      <c r="C89" s="129" t="s">
        <v>738</v>
      </c>
      <c r="D89" s="388">
        <v>1004010935</v>
      </c>
      <c r="E89" s="129" t="s">
        <v>886</v>
      </c>
      <c r="F89" s="140" t="s">
        <v>354</v>
      </c>
      <c r="G89" s="389">
        <f>187.5+358.75</f>
        <v>546.25</v>
      </c>
      <c r="H89" s="4"/>
      <c r="I89" s="4"/>
    </row>
    <row r="90" spans="1:9" ht="15" x14ac:dyDescent="0.2">
      <c r="A90" s="140">
        <v>82</v>
      </c>
      <c r="B90" s="129" t="s">
        <v>517</v>
      </c>
      <c r="C90" s="129" t="s">
        <v>739</v>
      </c>
      <c r="D90" s="129">
        <v>36001030836</v>
      </c>
      <c r="E90" s="129" t="s">
        <v>886</v>
      </c>
      <c r="F90" s="140" t="s">
        <v>0</v>
      </c>
      <c r="G90" s="389">
        <v>2062.25</v>
      </c>
      <c r="H90" s="4"/>
      <c r="I90" s="4"/>
    </row>
    <row r="91" spans="1:9" ht="15" x14ac:dyDescent="0.2">
      <c r="A91" s="140">
        <v>83</v>
      </c>
      <c r="B91" s="129" t="s">
        <v>740</v>
      </c>
      <c r="C91" s="129" t="s">
        <v>741</v>
      </c>
      <c r="D91" s="129">
        <v>21001004621</v>
      </c>
      <c r="E91" s="129" t="s">
        <v>886</v>
      </c>
      <c r="F91" s="140" t="s">
        <v>0</v>
      </c>
      <c r="G91" s="389">
        <f>386.28+625+250</f>
        <v>1261.28</v>
      </c>
      <c r="H91" s="4"/>
      <c r="I91" s="4"/>
    </row>
    <row r="92" spans="1:9" ht="15" x14ac:dyDescent="0.2">
      <c r="A92" s="140">
        <v>84</v>
      </c>
      <c r="B92" s="129" t="s">
        <v>742</v>
      </c>
      <c r="C92" s="129" t="s">
        <v>743</v>
      </c>
      <c r="D92" s="129">
        <v>26001000540</v>
      </c>
      <c r="E92" s="129" t="s">
        <v>886</v>
      </c>
      <c r="F92" s="140" t="s">
        <v>0</v>
      </c>
      <c r="G92" s="389">
        <f>462.5+300+125+250</f>
        <v>1137.5</v>
      </c>
      <c r="H92" s="4"/>
      <c r="I92" s="4"/>
    </row>
    <row r="93" spans="1:9" ht="15" x14ac:dyDescent="0.2">
      <c r="A93" s="140">
        <v>85</v>
      </c>
      <c r="B93" s="129" t="s">
        <v>744</v>
      </c>
      <c r="C93" s="129" t="s">
        <v>745</v>
      </c>
      <c r="D93" s="129"/>
      <c r="E93" s="129" t="s">
        <v>886</v>
      </c>
      <c r="F93" s="140" t="s">
        <v>0</v>
      </c>
      <c r="G93" s="389">
        <v>187.5</v>
      </c>
      <c r="H93" s="4"/>
      <c r="I93" s="4"/>
    </row>
    <row r="94" spans="1:9" ht="15" x14ac:dyDescent="0.2">
      <c r="A94" s="140">
        <v>86</v>
      </c>
      <c r="B94" s="129" t="s">
        <v>507</v>
      </c>
      <c r="C94" s="129" t="s">
        <v>746</v>
      </c>
      <c r="D94" s="129">
        <v>2001017152</v>
      </c>
      <c r="E94" s="129" t="s">
        <v>886</v>
      </c>
      <c r="F94" s="140" t="s">
        <v>0</v>
      </c>
      <c r="G94" s="389">
        <f>261.25+625+625</f>
        <v>1511.25</v>
      </c>
      <c r="H94" s="4"/>
      <c r="I94" s="4"/>
    </row>
    <row r="95" spans="1:9" ht="15" x14ac:dyDescent="0.2">
      <c r="A95" s="140">
        <v>87</v>
      </c>
      <c r="B95" s="129" t="s">
        <v>737</v>
      </c>
      <c r="C95" s="129" t="s">
        <v>747</v>
      </c>
      <c r="D95" s="129">
        <v>14001015752</v>
      </c>
      <c r="E95" s="129" t="s">
        <v>886</v>
      </c>
      <c r="F95" s="140" t="s">
        <v>0</v>
      </c>
      <c r="G95" s="389">
        <f>286.25+125+438+563</f>
        <v>1412.25</v>
      </c>
      <c r="H95" s="4"/>
      <c r="I95" s="4"/>
    </row>
    <row r="96" spans="1:9" ht="15" x14ac:dyDescent="0.2">
      <c r="A96" s="140">
        <v>88</v>
      </c>
      <c r="B96" s="129" t="s">
        <v>748</v>
      </c>
      <c r="C96" s="129" t="s">
        <v>749</v>
      </c>
      <c r="D96" s="129">
        <v>36001006291</v>
      </c>
      <c r="E96" s="129" t="s">
        <v>886</v>
      </c>
      <c r="F96" s="140" t="s">
        <v>0</v>
      </c>
      <c r="G96" s="389">
        <f>58+438+250</f>
        <v>746</v>
      </c>
      <c r="H96" s="4"/>
      <c r="I96" s="4"/>
    </row>
    <row r="97" spans="1:9" ht="15" x14ac:dyDescent="0.2">
      <c r="A97" s="140">
        <v>89</v>
      </c>
      <c r="B97" s="129" t="s">
        <v>750</v>
      </c>
      <c r="C97" s="129" t="s">
        <v>751</v>
      </c>
      <c r="D97" s="129">
        <v>41001005906</v>
      </c>
      <c r="E97" s="129" t="s">
        <v>886</v>
      </c>
      <c r="F97" s="140" t="s">
        <v>0</v>
      </c>
      <c r="G97" s="389">
        <f>136.25+375+563</f>
        <v>1074.25</v>
      </c>
      <c r="H97" s="4"/>
      <c r="I97" s="4"/>
    </row>
    <row r="98" spans="1:9" ht="15" x14ac:dyDescent="0.2">
      <c r="A98" s="140">
        <v>90</v>
      </c>
      <c r="B98" s="129" t="s">
        <v>752</v>
      </c>
      <c r="C98" s="129" t="s">
        <v>753</v>
      </c>
      <c r="D98" s="129">
        <v>61009004461</v>
      </c>
      <c r="E98" s="129" t="s">
        <v>886</v>
      </c>
      <c r="F98" s="140" t="s">
        <v>0</v>
      </c>
      <c r="G98" s="389">
        <f>156.25+1313+563</f>
        <v>2032.25</v>
      </c>
      <c r="H98" s="4"/>
      <c r="I98" s="4"/>
    </row>
    <row r="99" spans="1:9" ht="15" x14ac:dyDescent="0.2">
      <c r="A99" s="140">
        <v>91</v>
      </c>
      <c r="B99" s="129" t="s">
        <v>754</v>
      </c>
      <c r="C99" s="129" t="s">
        <v>755</v>
      </c>
      <c r="D99" s="129"/>
      <c r="E99" s="129" t="s">
        <v>886</v>
      </c>
      <c r="F99" s="140" t="s">
        <v>0</v>
      </c>
      <c r="G99" s="389">
        <v>255</v>
      </c>
      <c r="H99" s="4"/>
      <c r="I99" s="4"/>
    </row>
    <row r="100" spans="1:9" ht="15" x14ac:dyDescent="0.2">
      <c r="A100" s="140">
        <v>92</v>
      </c>
      <c r="B100" s="129" t="s">
        <v>756</v>
      </c>
      <c r="C100" s="129" t="s">
        <v>757</v>
      </c>
      <c r="D100" s="129">
        <v>45001004737</v>
      </c>
      <c r="E100" s="129" t="s">
        <v>886</v>
      </c>
      <c r="F100" s="140" t="s">
        <v>0</v>
      </c>
      <c r="G100" s="389">
        <f>167.5+138</f>
        <v>305.5</v>
      </c>
      <c r="H100" s="4"/>
      <c r="I100" s="4"/>
    </row>
    <row r="101" spans="1:9" ht="15" x14ac:dyDescent="0.2">
      <c r="A101" s="140">
        <v>93</v>
      </c>
      <c r="B101" s="129" t="s">
        <v>758</v>
      </c>
      <c r="C101" s="129" t="s">
        <v>759</v>
      </c>
      <c r="D101" s="129"/>
      <c r="E101" s="129" t="s">
        <v>886</v>
      </c>
      <c r="F101" s="140" t="s">
        <v>0</v>
      </c>
      <c r="G101" s="389">
        <f>280+500</f>
        <v>780</v>
      </c>
      <c r="H101" s="4"/>
      <c r="I101" s="4"/>
    </row>
    <row r="102" spans="1:9" ht="15" x14ac:dyDescent="0.2">
      <c r="A102" s="140">
        <v>94</v>
      </c>
      <c r="B102" s="129" t="s">
        <v>760</v>
      </c>
      <c r="C102" s="129" t="s">
        <v>761</v>
      </c>
      <c r="D102" s="129"/>
      <c r="E102" s="129" t="s">
        <v>886</v>
      </c>
      <c r="F102" s="140" t="s">
        <v>0</v>
      </c>
      <c r="G102" s="389">
        <v>233.75</v>
      </c>
      <c r="H102" s="4"/>
      <c r="I102" s="4"/>
    </row>
    <row r="103" spans="1:9" ht="15" x14ac:dyDescent="0.2">
      <c r="A103" s="140">
        <v>95</v>
      </c>
      <c r="B103" s="129" t="s">
        <v>517</v>
      </c>
      <c r="C103" s="129" t="s">
        <v>762</v>
      </c>
      <c r="D103" s="129">
        <v>59001084491</v>
      </c>
      <c r="E103" s="129" t="s">
        <v>886</v>
      </c>
      <c r="F103" s="140" t="s">
        <v>0</v>
      </c>
      <c r="G103" s="389">
        <f>222.5+187.5+187.5</f>
        <v>597.5</v>
      </c>
      <c r="H103" s="4"/>
      <c r="I103" s="4"/>
    </row>
    <row r="104" spans="1:9" ht="15" x14ac:dyDescent="0.2">
      <c r="A104" s="140">
        <v>96</v>
      </c>
      <c r="B104" s="129" t="s">
        <v>763</v>
      </c>
      <c r="C104" s="129" t="s">
        <v>764</v>
      </c>
      <c r="D104" s="129">
        <v>60001154479</v>
      </c>
      <c r="E104" s="129" t="s">
        <v>886</v>
      </c>
      <c r="F104" s="140" t="s">
        <v>354</v>
      </c>
      <c r="G104" s="389">
        <f>187.5+187.5+375</f>
        <v>750</v>
      </c>
      <c r="H104" s="4"/>
      <c r="I104" s="4"/>
    </row>
    <row r="105" spans="1:9" ht="15" x14ac:dyDescent="0.2">
      <c r="A105" s="140">
        <v>97</v>
      </c>
      <c r="B105" s="129" t="s">
        <v>765</v>
      </c>
      <c r="C105" s="129" t="s">
        <v>766</v>
      </c>
      <c r="D105" s="129">
        <v>19001015749</v>
      </c>
      <c r="E105" s="129" t="s">
        <v>886</v>
      </c>
      <c r="F105" s="140" t="s">
        <v>0</v>
      </c>
      <c r="G105" s="389">
        <f>510+500</f>
        <v>1010</v>
      </c>
      <c r="H105" s="4"/>
      <c r="I105" s="4"/>
    </row>
    <row r="106" spans="1:9" ht="15" x14ac:dyDescent="0.2">
      <c r="A106" s="140">
        <v>98</v>
      </c>
      <c r="B106" s="129" t="s">
        <v>767</v>
      </c>
      <c r="C106" s="129" t="s">
        <v>768</v>
      </c>
      <c r="D106" s="129">
        <v>15001011421</v>
      </c>
      <c r="E106" s="129" t="s">
        <v>886</v>
      </c>
      <c r="F106" s="140" t="s">
        <v>0</v>
      </c>
      <c r="G106" s="389">
        <f>372.5+1129+563</f>
        <v>2064.5</v>
      </c>
      <c r="H106" s="4"/>
      <c r="I106" s="4"/>
    </row>
    <row r="107" spans="1:9" ht="15" x14ac:dyDescent="0.2">
      <c r="A107" s="140">
        <v>99</v>
      </c>
      <c r="B107" s="129" t="s">
        <v>769</v>
      </c>
      <c r="C107" s="129" t="s">
        <v>770</v>
      </c>
      <c r="D107" s="129">
        <v>57001005651</v>
      </c>
      <c r="E107" s="129" t="s">
        <v>886</v>
      </c>
      <c r="F107" s="140" t="s">
        <v>0</v>
      </c>
      <c r="G107" s="389">
        <v>250</v>
      </c>
      <c r="H107" s="4"/>
      <c r="I107" s="4"/>
    </row>
    <row r="108" spans="1:9" ht="15" x14ac:dyDescent="0.2">
      <c r="A108" s="140">
        <v>100</v>
      </c>
      <c r="B108" s="129" t="s">
        <v>771</v>
      </c>
      <c r="C108" s="129" t="s">
        <v>772</v>
      </c>
      <c r="D108" s="129">
        <v>59001078795</v>
      </c>
      <c r="E108" s="129" t="s">
        <v>886</v>
      </c>
      <c r="F108" s="140" t="s">
        <v>0</v>
      </c>
      <c r="G108" s="389">
        <f>410+1000+250</f>
        <v>1660</v>
      </c>
      <c r="H108" s="4"/>
      <c r="I108" s="4"/>
    </row>
    <row r="109" spans="1:9" ht="15" x14ac:dyDescent="0.2">
      <c r="A109" s="140">
        <v>101</v>
      </c>
      <c r="B109" s="129" t="s">
        <v>497</v>
      </c>
      <c r="C109" s="129" t="s">
        <v>773</v>
      </c>
      <c r="D109" s="129">
        <v>37001008690</v>
      </c>
      <c r="E109" s="129" t="s">
        <v>886</v>
      </c>
      <c r="F109" s="140" t="s">
        <v>0</v>
      </c>
      <c r="G109" s="389">
        <f>250+270+1325</f>
        <v>1845</v>
      </c>
      <c r="H109" s="4"/>
      <c r="I109" s="4"/>
    </row>
    <row r="110" spans="1:9" ht="15" x14ac:dyDescent="0.2">
      <c r="A110" s="140">
        <v>102</v>
      </c>
      <c r="B110" s="129" t="s">
        <v>790</v>
      </c>
      <c r="C110" s="129" t="s">
        <v>791</v>
      </c>
      <c r="D110" s="129">
        <v>19001010684</v>
      </c>
      <c r="E110" s="129" t="s">
        <v>886</v>
      </c>
      <c r="F110" s="140" t="s">
        <v>0</v>
      </c>
      <c r="G110" s="389">
        <f>3750+1875</f>
        <v>5625</v>
      </c>
      <c r="H110" s="4"/>
      <c r="I110" s="4"/>
    </row>
    <row r="111" spans="1:9" ht="15" x14ac:dyDescent="0.2">
      <c r="A111" s="140">
        <v>103</v>
      </c>
      <c r="B111" s="129" t="s">
        <v>792</v>
      </c>
      <c r="C111" s="129" t="s">
        <v>793</v>
      </c>
      <c r="D111" s="129">
        <v>1011001192</v>
      </c>
      <c r="E111" s="129" t="s">
        <v>886</v>
      </c>
      <c r="F111" s="140" t="s">
        <v>0</v>
      </c>
      <c r="G111" s="389">
        <f>250+250</f>
        <v>500</v>
      </c>
      <c r="H111" s="4"/>
      <c r="I111" s="4"/>
    </row>
    <row r="112" spans="1:9" ht="15" x14ac:dyDescent="0.2">
      <c r="A112" s="140">
        <v>104</v>
      </c>
      <c r="B112" s="129" t="s">
        <v>794</v>
      </c>
      <c r="C112" s="129" t="s">
        <v>795</v>
      </c>
      <c r="D112" s="129">
        <v>54001012449</v>
      </c>
      <c r="E112" s="129" t="s">
        <v>886</v>
      </c>
      <c r="F112" s="140" t="s">
        <v>0</v>
      </c>
      <c r="G112" s="389">
        <f>3500+250</f>
        <v>3750</v>
      </c>
      <c r="H112" s="4"/>
      <c r="I112" s="4"/>
    </row>
    <row r="113" spans="1:9" ht="15" x14ac:dyDescent="0.2">
      <c r="A113" s="140">
        <v>105</v>
      </c>
      <c r="B113" s="129" t="s">
        <v>796</v>
      </c>
      <c r="C113" s="129" t="s">
        <v>797</v>
      </c>
      <c r="D113" s="129">
        <v>1008000640</v>
      </c>
      <c r="E113" s="129" t="s">
        <v>886</v>
      </c>
      <c r="F113" s="140" t="s">
        <v>354</v>
      </c>
      <c r="G113" s="4">
        <f>750+250</f>
        <v>1000</v>
      </c>
      <c r="H113" s="4"/>
      <c r="I113" s="4"/>
    </row>
    <row r="114" spans="1:9" ht="15" x14ac:dyDescent="0.2">
      <c r="A114" s="140">
        <v>106</v>
      </c>
      <c r="B114" s="129" t="s">
        <v>798</v>
      </c>
      <c r="C114" s="129" t="s">
        <v>799</v>
      </c>
      <c r="D114" s="129">
        <v>1024026769</v>
      </c>
      <c r="E114" s="129" t="s">
        <v>886</v>
      </c>
      <c r="F114" s="140" t="s">
        <v>354</v>
      </c>
      <c r="G114" s="4">
        <f>1388+625</f>
        <v>2013</v>
      </c>
      <c r="H114" s="4"/>
      <c r="I114" s="4"/>
    </row>
    <row r="115" spans="1:9" ht="15" x14ac:dyDescent="0.2">
      <c r="A115" s="140">
        <v>107</v>
      </c>
      <c r="B115" s="129" t="s">
        <v>676</v>
      </c>
      <c r="C115" s="129" t="s">
        <v>800</v>
      </c>
      <c r="D115" s="129">
        <v>57001017741</v>
      </c>
      <c r="E115" s="129" t="s">
        <v>886</v>
      </c>
      <c r="F115" s="140" t="s">
        <v>354</v>
      </c>
      <c r="G115" s="4">
        <f>1000+500</f>
        <v>1500</v>
      </c>
      <c r="H115" s="4"/>
      <c r="I115" s="4"/>
    </row>
    <row r="116" spans="1:9" ht="15" x14ac:dyDescent="0.2">
      <c r="A116" s="140">
        <v>108</v>
      </c>
      <c r="B116" s="129" t="s">
        <v>517</v>
      </c>
      <c r="C116" s="129" t="s">
        <v>801</v>
      </c>
      <c r="D116" s="129">
        <v>59001028627</v>
      </c>
      <c r="E116" s="129" t="s">
        <v>886</v>
      </c>
      <c r="F116" s="140" t="s">
        <v>354</v>
      </c>
      <c r="G116" s="4">
        <f>187.5+62.5</f>
        <v>250</v>
      </c>
      <c r="H116" s="4"/>
      <c r="I116" s="4"/>
    </row>
    <row r="117" spans="1:9" ht="15" x14ac:dyDescent="0.2">
      <c r="A117" s="140">
        <v>109</v>
      </c>
      <c r="B117" s="129" t="s">
        <v>802</v>
      </c>
      <c r="C117" s="129" t="s">
        <v>743</v>
      </c>
      <c r="D117" s="129">
        <v>1020014737</v>
      </c>
      <c r="E117" s="129" t="s">
        <v>886</v>
      </c>
      <c r="F117" s="140" t="s">
        <v>0</v>
      </c>
      <c r="G117" s="4">
        <f>350</f>
        <v>350</v>
      </c>
      <c r="H117" s="4"/>
      <c r="I117" s="4"/>
    </row>
    <row r="118" spans="1:9" ht="15" x14ac:dyDescent="0.2">
      <c r="A118" s="140">
        <v>110</v>
      </c>
      <c r="B118" s="129" t="s">
        <v>803</v>
      </c>
      <c r="C118" s="129" t="s">
        <v>804</v>
      </c>
      <c r="D118" s="129">
        <v>20001003107</v>
      </c>
      <c r="E118" s="129" t="s">
        <v>886</v>
      </c>
      <c r="F118" s="140" t="s">
        <v>0</v>
      </c>
      <c r="G118" s="4">
        <v>411</v>
      </c>
      <c r="H118" s="4"/>
      <c r="I118" s="4"/>
    </row>
    <row r="119" spans="1:9" ht="15" x14ac:dyDescent="0.2">
      <c r="A119" s="140">
        <v>111</v>
      </c>
      <c r="B119" s="129" t="s">
        <v>497</v>
      </c>
      <c r="C119" s="129" t="s">
        <v>805</v>
      </c>
      <c r="D119" s="129">
        <v>11001001967</v>
      </c>
      <c r="E119" s="129" t="s">
        <v>886</v>
      </c>
      <c r="F119" s="140" t="s">
        <v>0</v>
      </c>
      <c r="G119" s="4">
        <f>1125+1063</f>
        <v>2188</v>
      </c>
      <c r="H119" s="4"/>
      <c r="I119" s="4"/>
    </row>
    <row r="120" spans="1:9" ht="15" x14ac:dyDescent="0.2">
      <c r="A120" s="140">
        <v>112</v>
      </c>
      <c r="B120" s="129" t="s">
        <v>806</v>
      </c>
      <c r="C120" s="129" t="s">
        <v>807</v>
      </c>
      <c r="D120" s="129">
        <v>1005026391</v>
      </c>
      <c r="E120" s="129" t="s">
        <v>886</v>
      </c>
      <c r="F120" s="140" t="s">
        <v>0</v>
      </c>
      <c r="G120" s="4">
        <v>375</v>
      </c>
      <c r="H120" s="4"/>
      <c r="I120" s="4"/>
    </row>
    <row r="121" spans="1:9" ht="15" x14ac:dyDescent="0.2">
      <c r="A121" s="140">
        <v>113</v>
      </c>
      <c r="B121" s="129" t="s">
        <v>615</v>
      </c>
      <c r="C121" s="129" t="s">
        <v>808</v>
      </c>
      <c r="D121" s="129">
        <v>1030011056</v>
      </c>
      <c r="E121" s="129" t="s">
        <v>886</v>
      </c>
      <c r="F121" s="140" t="s">
        <v>354</v>
      </c>
      <c r="G121" s="4">
        <v>625</v>
      </c>
      <c r="H121" s="4"/>
      <c r="I121" s="4"/>
    </row>
    <row r="122" spans="1:9" ht="15" x14ac:dyDescent="0.2">
      <c r="A122" s="140">
        <v>114</v>
      </c>
      <c r="B122" s="129" t="s">
        <v>809</v>
      </c>
      <c r="C122" s="129" t="s">
        <v>810</v>
      </c>
      <c r="D122" s="129">
        <v>1017025134</v>
      </c>
      <c r="E122" s="129" t="s">
        <v>886</v>
      </c>
      <c r="F122" s="140" t="s">
        <v>354</v>
      </c>
      <c r="G122" s="4">
        <f>1250+1250</f>
        <v>2500</v>
      </c>
      <c r="H122" s="4"/>
      <c r="I122" s="4"/>
    </row>
    <row r="123" spans="1:9" ht="15" x14ac:dyDescent="0.2">
      <c r="A123" s="140">
        <v>115</v>
      </c>
      <c r="B123" s="129" t="s">
        <v>796</v>
      </c>
      <c r="C123" s="129" t="s">
        <v>811</v>
      </c>
      <c r="D123" s="129">
        <v>1027036261</v>
      </c>
      <c r="E123" s="129" t="s">
        <v>886</v>
      </c>
      <c r="F123" s="140" t="s">
        <v>354</v>
      </c>
      <c r="G123" s="4">
        <f>750+1250</f>
        <v>2000</v>
      </c>
      <c r="H123" s="4"/>
      <c r="I123" s="4"/>
    </row>
    <row r="124" spans="1:9" ht="15" x14ac:dyDescent="0.2">
      <c r="A124" s="140">
        <v>116</v>
      </c>
      <c r="B124" s="129" t="s">
        <v>812</v>
      </c>
      <c r="C124" s="129" t="s">
        <v>813</v>
      </c>
      <c r="D124" s="129">
        <v>1016009790</v>
      </c>
      <c r="E124" s="129" t="s">
        <v>886</v>
      </c>
      <c r="F124" s="140" t="s">
        <v>354</v>
      </c>
      <c r="G124" s="4">
        <f>1875+500</f>
        <v>2375</v>
      </c>
      <c r="H124" s="4"/>
      <c r="I124" s="4"/>
    </row>
    <row r="125" spans="1:9" ht="15" x14ac:dyDescent="0.2">
      <c r="A125" s="140">
        <v>117</v>
      </c>
      <c r="B125" s="129" t="s">
        <v>814</v>
      </c>
      <c r="C125" s="129" t="s">
        <v>815</v>
      </c>
      <c r="D125" s="129">
        <v>10120003943</v>
      </c>
      <c r="E125" s="129" t="s">
        <v>886</v>
      </c>
      <c r="F125" s="140" t="s">
        <v>354</v>
      </c>
      <c r="G125" s="4">
        <f>1250+1875</f>
        <v>3125</v>
      </c>
      <c r="H125" s="4"/>
      <c r="I125" s="4"/>
    </row>
    <row r="126" spans="1:9" ht="15" x14ac:dyDescent="0.2">
      <c r="A126" s="140">
        <v>118</v>
      </c>
      <c r="B126" s="129" t="s">
        <v>816</v>
      </c>
      <c r="C126" s="129" t="s">
        <v>817</v>
      </c>
      <c r="D126" s="129">
        <v>55001002465</v>
      </c>
      <c r="E126" s="129" t="s">
        <v>886</v>
      </c>
      <c r="F126" s="140" t="s">
        <v>354</v>
      </c>
      <c r="G126" s="4">
        <f>1000+1875</f>
        <v>2875</v>
      </c>
      <c r="H126" s="4"/>
      <c r="I126" s="4"/>
    </row>
    <row r="127" spans="1:9" ht="15" x14ac:dyDescent="0.2">
      <c r="A127" s="140">
        <v>119</v>
      </c>
      <c r="B127" s="129" t="s">
        <v>482</v>
      </c>
      <c r="C127" s="129" t="s">
        <v>818</v>
      </c>
      <c r="D127" s="129">
        <v>12001015679</v>
      </c>
      <c r="E127" s="129" t="s">
        <v>886</v>
      </c>
      <c r="F127" s="140" t="s">
        <v>354</v>
      </c>
      <c r="G127" s="4">
        <v>375</v>
      </c>
      <c r="H127" s="4"/>
      <c r="I127" s="4"/>
    </row>
    <row r="128" spans="1:9" ht="15" x14ac:dyDescent="0.2">
      <c r="A128" s="140">
        <v>120</v>
      </c>
      <c r="B128" s="129" t="s">
        <v>819</v>
      </c>
      <c r="C128" s="129" t="s">
        <v>820</v>
      </c>
      <c r="D128" s="129">
        <v>18001002460</v>
      </c>
      <c r="E128" s="129" t="s">
        <v>886</v>
      </c>
      <c r="F128" s="140" t="s">
        <v>354</v>
      </c>
      <c r="G128" s="4">
        <f>625+250</f>
        <v>875</v>
      </c>
      <c r="H128" s="4"/>
      <c r="I128" s="4"/>
    </row>
    <row r="129" spans="1:9" ht="15" x14ac:dyDescent="0.2">
      <c r="A129" s="140">
        <v>121</v>
      </c>
      <c r="B129" s="129" t="s">
        <v>821</v>
      </c>
      <c r="C129" s="129" t="s">
        <v>822</v>
      </c>
      <c r="D129" s="129">
        <v>43001012085</v>
      </c>
      <c r="E129" s="129" t="s">
        <v>886</v>
      </c>
      <c r="F129" s="140" t="s">
        <v>0</v>
      </c>
      <c r="G129" s="4">
        <f>2500+1750</f>
        <v>4250</v>
      </c>
      <c r="H129" s="4"/>
      <c r="I129" s="4"/>
    </row>
    <row r="130" spans="1:9" ht="15" x14ac:dyDescent="0.2">
      <c r="A130" s="140">
        <v>122</v>
      </c>
      <c r="B130" s="129" t="s">
        <v>522</v>
      </c>
      <c r="C130" s="129" t="s">
        <v>823</v>
      </c>
      <c r="D130" s="129">
        <v>1003012635</v>
      </c>
      <c r="E130" s="129" t="s">
        <v>886</v>
      </c>
      <c r="F130" s="140" t="s">
        <v>0</v>
      </c>
      <c r="G130" s="4">
        <f>563+250</f>
        <v>813</v>
      </c>
      <c r="H130" s="4"/>
      <c r="I130" s="4"/>
    </row>
    <row r="131" spans="1:9" ht="15" x14ac:dyDescent="0.2">
      <c r="A131" s="140">
        <v>123</v>
      </c>
      <c r="B131" s="129" t="s">
        <v>819</v>
      </c>
      <c r="C131" s="129" t="s">
        <v>824</v>
      </c>
      <c r="D131" s="129">
        <v>40001009212</v>
      </c>
      <c r="E131" s="129" t="s">
        <v>886</v>
      </c>
      <c r="F131" s="140" t="s">
        <v>0</v>
      </c>
      <c r="G131" s="4">
        <f>312.5+813</f>
        <v>1125.5</v>
      </c>
      <c r="H131" s="4"/>
      <c r="I131" s="4"/>
    </row>
    <row r="132" spans="1:9" ht="15" x14ac:dyDescent="0.2">
      <c r="A132" s="140">
        <v>124</v>
      </c>
      <c r="B132" s="129" t="s">
        <v>487</v>
      </c>
      <c r="C132" s="129" t="s">
        <v>825</v>
      </c>
      <c r="D132" s="129">
        <v>1006009436</v>
      </c>
      <c r="E132" s="129" t="s">
        <v>886</v>
      </c>
      <c r="F132" s="140" t="s">
        <v>0</v>
      </c>
      <c r="G132" s="4">
        <f>938+250</f>
        <v>1188</v>
      </c>
      <c r="H132" s="4"/>
      <c r="I132" s="4"/>
    </row>
    <row r="133" spans="1:9" ht="15" x14ac:dyDescent="0.2">
      <c r="A133" s="140">
        <v>125</v>
      </c>
      <c r="B133" s="129" t="s">
        <v>826</v>
      </c>
      <c r="C133" s="129" t="s">
        <v>770</v>
      </c>
      <c r="D133" s="129">
        <v>43001012085</v>
      </c>
      <c r="E133" s="129" t="s">
        <v>886</v>
      </c>
      <c r="F133" s="140" t="s">
        <v>0</v>
      </c>
      <c r="G133" s="4">
        <v>625</v>
      </c>
      <c r="H133" s="4"/>
      <c r="I133" s="4"/>
    </row>
    <row r="134" spans="1:9" ht="15" x14ac:dyDescent="0.2">
      <c r="A134" s="140">
        <v>126</v>
      </c>
      <c r="B134" s="129" t="s">
        <v>827</v>
      </c>
      <c r="C134" s="129" t="s">
        <v>828</v>
      </c>
      <c r="D134" s="129">
        <v>20001036133</v>
      </c>
      <c r="E134" s="129" t="s">
        <v>886</v>
      </c>
      <c r="F134" s="140" t="s">
        <v>0</v>
      </c>
      <c r="G134" s="4">
        <f>187.5+938</f>
        <v>1125.5</v>
      </c>
      <c r="H134" s="4"/>
      <c r="I134" s="4"/>
    </row>
    <row r="135" spans="1:9" ht="15" x14ac:dyDescent="0.2">
      <c r="A135" s="140">
        <v>127</v>
      </c>
      <c r="B135" s="129" t="s">
        <v>829</v>
      </c>
      <c r="C135" s="129" t="s">
        <v>830</v>
      </c>
      <c r="D135" s="129">
        <v>1022007881</v>
      </c>
      <c r="E135" s="129" t="s">
        <v>886</v>
      </c>
      <c r="F135" s="140" t="s">
        <v>0</v>
      </c>
      <c r="G135" s="4">
        <f>375+1000</f>
        <v>1375</v>
      </c>
      <c r="H135" s="4"/>
      <c r="I135" s="4"/>
    </row>
    <row r="136" spans="1:9" ht="15" x14ac:dyDescent="0.2">
      <c r="A136" s="140">
        <v>128</v>
      </c>
      <c r="B136" s="129" t="s">
        <v>831</v>
      </c>
      <c r="C136" s="129" t="s">
        <v>832</v>
      </c>
      <c r="D136" s="129">
        <v>1017024942</v>
      </c>
      <c r="E136" s="129" t="s">
        <v>886</v>
      </c>
      <c r="F136" s="140" t="s">
        <v>354</v>
      </c>
      <c r="G136" s="4">
        <f>250</f>
        <v>250</v>
      </c>
      <c r="H136" s="4"/>
      <c r="I136" s="4"/>
    </row>
    <row r="137" spans="1:9" ht="15" x14ac:dyDescent="0.2">
      <c r="A137" s="140">
        <v>129</v>
      </c>
      <c r="B137" s="129" t="s">
        <v>833</v>
      </c>
      <c r="C137" s="129" t="s">
        <v>834</v>
      </c>
      <c r="D137" s="129">
        <v>1013021320</v>
      </c>
      <c r="E137" s="129" t="s">
        <v>886</v>
      </c>
      <c r="F137" s="140" t="s">
        <v>354</v>
      </c>
      <c r="G137" s="4">
        <f>250</f>
        <v>250</v>
      </c>
      <c r="H137" s="4"/>
      <c r="I137" s="4"/>
    </row>
    <row r="138" spans="1:9" ht="15" x14ac:dyDescent="0.2">
      <c r="A138" s="140">
        <v>130</v>
      </c>
      <c r="B138" s="129" t="s">
        <v>536</v>
      </c>
      <c r="C138" s="129" t="s">
        <v>835</v>
      </c>
      <c r="D138" s="129">
        <v>62001019368</v>
      </c>
      <c r="E138" s="129" t="s">
        <v>886</v>
      </c>
      <c r="F138" s="140" t="s">
        <v>0</v>
      </c>
      <c r="G138" s="4">
        <v>250</v>
      </c>
      <c r="H138" s="4"/>
      <c r="I138" s="4"/>
    </row>
    <row r="139" spans="1:9" ht="15" x14ac:dyDescent="0.2">
      <c r="A139" s="140">
        <v>131</v>
      </c>
      <c r="B139" s="129" t="s">
        <v>502</v>
      </c>
      <c r="C139" s="129" t="s">
        <v>836</v>
      </c>
      <c r="D139" s="129">
        <v>29001006528</v>
      </c>
      <c r="E139" s="129" t="s">
        <v>886</v>
      </c>
      <c r="F139" s="140" t="s">
        <v>354</v>
      </c>
      <c r="G139" s="4">
        <f>250</f>
        <v>250</v>
      </c>
      <c r="H139" s="4"/>
      <c r="I139" s="4"/>
    </row>
    <row r="140" spans="1:9" ht="15" x14ac:dyDescent="0.2">
      <c r="A140" s="140">
        <v>132</v>
      </c>
      <c r="B140" s="129" t="s">
        <v>819</v>
      </c>
      <c r="C140" s="129" t="s">
        <v>837</v>
      </c>
      <c r="D140" s="129">
        <v>1017002893</v>
      </c>
      <c r="E140" s="129" t="s">
        <v>886</v>
      </c>
      <c r="F140" s="140" t="s">
        <v>354</v>
      </c>
      <c r="G140" s="4">
        <f>563</f>
        <v>563</v>
      </c>
      <c r="H140" s="4"/>
      <c r="I140" s="4"/>
    </row>
    <row r="141" spans="1:9" ht="15" x14ac:dyDescent="0.2">
      <c r="A141" s="140">
        <v>133</v>
      </c>
      <c r="B141" s="129" t="s">
        <v>803</v>
      </c>
      <c r="C141" s="129" t="s">
        <v>838</v>
      </c>
      <c r="D141" s="129">
        <v>58001005116</v>
      </c>
      <c r="E141" s="129" t="s">
        <v>886</v>
      </c>
      <c r="F141" s="140" t="s">
        <v>354</v>
      </c>
      <c r="G141" s="4">
        <v>625</v>
      </c>
      <c r="H141" s="4"/>
      <c r="I141" s="4"/>
    </row>
    <row r="142" spans="1:9" ht="15" x14ac:dyDescent="0.2">
      <c r="A142" s="140">
        <v>134</v>
      </c>
      <c r="B142" s="129" t="s">
        <v>750</v>
      </c>
      <c r="C142" s="129" t="s">
        <v>613</v>
      </c>
      <c r="D142" s="129"/>
      <c r="E142" s="129" t="s">
        <v>886</v>
      </c>
      <c r="F142" s="140" t="s">
        <v>354</v>
      </c>
      <c r="G142" s="4">
        <f>625</f>
        <v>625</v>
      </c>
      <c r="H142" s="4"/>
      <c r="I142" s="4"/>
    </row>
    <row r="143" spans="1:9" ht="15" x14ac:dyDescent="0.2">
      <c r="A143" s="140">
        <v>135</v>
      </c>
      <c r="B143" s="129" t="s">
        <v>630</v>
      </c>
      <c r="C143" s="129" t="s">
        <v>839</v>
      </c>
      <c r="D143" s="129">
        <v>51001019810</v>
      </c>
      <c r="E143" s="129" t="s">
        <v>886</v>
      </c>
      <c r="F143" s="140" t="s">
        <v>0</v>
      </c>
      <c r="G143" s="4">
        <v>312.5</v>
      </c>
      <c r="H143" s="4"/>
      <c r="I143" s="4"/>
    </row>
    <row r="144" spans="1:9" ht="15" x14ac:dyDescent="0.2">
      <c r="A144" s="140">
        <v>136</v>
      </c>
      <c r="B144" s="129" t="s">
        <v>487</v>
      </c>
      <c r="C144" s="129" t="s">
        <v>840</v>
      </c>
      <c r="D144" s="129">
        <v>1019005671</v>
      </c>
      <c r="E144" s="129" t="s">
        <v>886</v>
      </c>
      <c r="F144" s="140" t="s">
        <v>0</v>
      </c>
      <c r="G144" s="4">
        <f>187.5</f>
        <v>187.5</v>
      </c>
      <c r="H144" s="4"/>
      <c r="I144" s="4"/>
    </row>
    <row r="145" spans="1:9" ht="15" x14ac:dyDescent="0.2">
      <c r="A145" s="140">
        <v>137</v>
      </c>
      <c r="B145" s="129" t="s">
        <v>841</v>
      </c>
      <c r="C145" s="129" t="s">
        <v>842</v>
      </c>
      <c r="D145" s="129">
        <v>42001009935</v>
      </c>
      <c r="E145" s="129" t="s">
        <v>886</v>
      </c>
      <c r="F145" s="140" t="s">
        <v>354</v>
      </c>
      <c r="G145" s="4">
        <v>625</v>
      </c>
      <c r="H145" s="4"/>
      <c r="I145" s="4"/>
    </row>
    <row r="146" spans="1:9" ht="15" x14ac:dyDescent="0.2">
      <c r="A146" s="140">
        <v>138</v>
      </c>
      <c r="B146" s="129" t="s">
        <v>615</v>
      </c>
      <c r="C146" s="129" t="s">
        <v>843</v>
      </c>
      <c r="D146" s="129">
        <v>1008055737</v>
      </c>
      <c r="E146" s="129" t="s">
        <v>886</v>
      </c>
      <c r="F146" s="140" t="s">
        <v>354</v>
      </c>
      <c r="G146" s="4">
        <f>250+625</f>
        <v>875</v>
      </c>
      <c r="H146" s="4"/>
      <c r="I146" s="4"/>
    </row>
    <row r="147" spans="1:9" ht="15" x14ac:dyDescent="0.2">
      <c r="A147" s="140">
        <v>139</v>
      </c>
      <c r="B147" s="129" t="s">
        <v>844</v>
      </c>
      <c r="C147" s="129" t="s">
        <v>845</v>
      </c>
      <c r="D147" s="129">
        <v>59001084491</v>
      </c>
      <c r="E147" s="129" t="s">
        <v>886</v>
      </c>
      <c r="F147" s="140" t="s">
        <v>0</v>
      </c>
      <c r="G147" s="4">
        <f>900</f>
        <v>900</v>
      </c>
      <c r="H147" s="4"/>
      <c r="I147" s="4"/>
    </row>
    <row r="148" spans="1:9" ht="15" x14ac:dyDescent="0.2">
      <c r="A148" s="140">
        <v>140</v>
      </c>
      <c r="B148" s="129" t="s">
        <v>846</v>
      </c>
      <c r="C148" s="129" t="s">
        <v>847</v>
      </c>
      <c r="D148" s="129">
        <v>44001000147</v>
      </c>
      <c r="E148" s="129" t="s">
        <v>886</v>
      </c>
      <c r="F148" s="140" t="s">
        <v>354</v>
      </c>
      <c r="G148" s="4">
        <v>100</v>
      </c>
      <c r="H148" s="4"/>
      <c r="I148" s="4"/>
    </row>
    <row r="149" spans="1:9" ht="15" x14ac:dyDescent="0.2">
      <c r="A149" s="140">
        <v>141</v>
      </c>
      <c r="B149" s="129" t="s">
        <v>848</v>
      </c>
      <c r="C149" s="129" t="s">
        <v>849</v>
      </c>
      <c r="D149" s="129">
        <v>1023000460</v>
      </c>
      <c r="E149" s="129" t="s">
        <v>886</v>
      </c>
      <c r="F149" s="140" t="s">
        <v>0</v>
      </c>
      <c r="G149" s="4">
        <v>875</v>
      </c>
      <c r="H149" s="4"/>
      <c r="I149" s="4"/>
    </row>
    <row r="150" spans="1:9" ht="15" x14ac:dyDescent="0.2">
      <c r="A150" s="140">
        <v>142</v>
      </c>
      <c r="B150" s="129" t="s">
        <v>850</v>
      </c>
      <c r="C150" s="129" t="s">
        <v>851</v>
      </c>
      <c r="D150" s="129">
        <v>15001012244</v>
      </c>
      <c r="E150" s="129" t="s">
        <v>886</v>
      </c>
      <c r="F150" s="140" t="s">
        <v>354</v>
      </c>
      <c r="G150" s="4">
        <v>500</v>
      </c>
      <c r="H150" s="4"/>
      <c r="I150" s="4"/>
    </row>
    <row r="151" spans="1:9" ht="15" x14ac:dyDescent="0.2">
      <c r="A151" s="140">
        <v>143</v>
      </c>
      <c r="B151" s="129" t="s">
        <v>716</v>
      </c>
      <c r="C151" s="129" t="s">
        <v>852</v>
      </c>
      <c r="D151" s="129">
        <v>1011097573</v>
      </c>
      <c r="E151" s="129" t="s">
        <v>886</v>
      </c>
      <c r="F151" s="140" t="s">
        <v>354</v>
      </c>
      <c r="G151" s="4">
        <f>250</f>
        <v>250</v>
      </c>
      <c r="H151" s="4"/>
      <c r="I151" s="4"/>
    </row>
    <row r="152" spans="1:9" ht="15" x14ac:dyDescent="0.2">
      <c r="A152" s="140">
        <v>144</v>
      </c>
      <c r="B152" s="129" t="s">
        <v>853</v>
      </c>
      <c r="C152" s="129" t="s">
        <v>854</v>
      </c>
      <c r="D152" s="129">
        <v>1019064945</v>
      </c>
      <c r="E152" s="129" t="s">
        <v>886</v>
      </c>
      <c r="F152" s="140" t="s">
        <v>354</v>
      </c>
      <c r="G152" s="4">
        <f>375</f>
        <v>375</v>
      </c>
      <c r="H152" s="4"/>
      <c r="I152" s="4"/>
    </row>
    <row r="153" spans="1:9" ht="15" x14ac:dyDescent="0.2">
      <c r="A153" s="140">
        <v>145</v>
      </c>
      <c r="B153" s="129" t="s">
        <v>855</v>
      </c>
      <c r="C153" s="129" t="s">
        <v>856</v>
      </c>
      <c r="D153" s="129">
        <v>22001009227</v>
      </c>
      <c r="E153" s="129" t="s">
        <v>886</v>
      </c>
      <c r="F153" s="140" t="s">
        <v>354</v>
      </c>
      <c r="G153" s="4">
        <f>250</f>
        <v>250</v>
      </c>
      <c r="H153" s="4"/>
      <c r="I153" s="4"/>
    </row>
    <row r="154" spans="1:9" ht="15" x14ac:dyDescent="0.2">
      <c r="A154" s="140">
        <v>146</v>
      </c>
      <c r="B154" s="129" t="s">
        <v>700</v>
      </c>
      <c r="C154" s="129" t="s">
        <v>857</v>
      </c>
      <c r="D154" s="129">
        <v>38001016077</v>
      </c>
      <c r="E154" s="129" t="s">
        <v>886</v>
      </c>
      <c r="F154" s="140" t="s">
        <v>354</v>
      </c>
      <c r="G154" s="4">
        <f>625</f>
        <v>625</v>
      </c>
      <c r="H154" s="4"/>
      <c r="I154" s="4"/>
    </row>
    <row r="155" spans="1:9" ht="15" x14ac:dyDescent="0.2">
      <c r="A155" s="140">
        <v>147</v>
      </c>
      <c r="B155" s="129" t="s">
        <v>858</v>
      </c>
      <c r="C155" s="129" t="s">
        <v>859</v>
      </c>
      <c r="D155" s="129">
        <v>44001000560</v>
      </c>
      <c r="E155" s="129" t="s">
        <v>886</v>
      </c>
      <c r="F155" s="140" t="s">
        <v>354</v>
      </c>
      <c r="G155" s="4">
        <f>100</f>
        <v>100</v>
      </c>
      <c r="H155" s="4"/>
      <c r="I155" s="4"/>
    </row>
    <row r="156" spans="1:9" ht="15" x14ac:dyDescent="0.2">
      <c r="A156" s="140">
        <v>148</v>
      </c>
      <c r="B156" s="129" t="s">
        <v>860</v>
      </c>
      <c r="C156" s="129" t="s">
        <v>770</v>
      </c>
      <c r="D156" s="129">
        <v>44001005025</v>
      </c>
      <c r="E156" s="129" t="s">
        <v>886</v>
      </c>
      <c r="F156" s="140" t="s">
        <v>354</v>
      </c>
      <c r="G156" s="4">
        <v>100</v>
      </c>
      <c r="H156" s="4"/>
      <c r="I156" s="4"/>
    </row>
    <row r="157" spans="1:9" ht="15" x14ac:dyDescent="0.2">
      <c r="A157" s="140">
        <v>149</v>
      </c>
      <c r="B157" s="129" t="s">
        <v>861</v>
      </c>
      <c r="C157" s="129" t="s">
        <v>862</v>
      </c>
      <c r="D157" s="129">
        <v>1005002142</v>
      </c>
      <c r="E157" s="129" t="s">
        <v>886</v>
      </c>
      <c r="F157" s="140" t="s">
        <v>354</v>
      </c>
      <c r="G157" s="4">
        <v>625</v>
      </c>
      <c r="H157" s="4"/>
      <c r="I157" s="4"/>
    </row>
    <row r="158" spans="1:9" ht="15" x14ac:dyDescent="0.2">
      <c r="A158" s="140">
        <v>150</v>
      </c>
      <c r="B158" s="129" t="s">
        <v>863</v>
      </c>
      <c r="C158" s="129" t="s">
        <v>864</v>
      </c>
      <c r="D158" s="129">
        <v>61010017100</v>
      </c>
      <c r="E158" s="129" t="s">
        <v>886</v>
      </c>
      <c r="F158" s="140" t="s">
        <v>354</v>
      </c>
      <c r="G158" s="4">
        <f>500</f>
        <v>500</v>
      </c>
      <c r="H158" s="4"/>
      <c r="I158" s="4"/>
    </row>
    <row r="159" spans="1:9" ht="15" x14ac:dyDescent="0.2">
      <c r="A159" s="140">
        <v>151</v>
      </c>
      <c r="B159" s="129" t="s">
        <v>865</v>
      </c>
      <c r="C159" s="129" t="s">
        <v>866</v>
      </c>
      <c r="D159" s="129">
        <v>1019013920</v>
      </c>
      <c r="E159" s="129" t="s">
        <v>886</v>
      </c>
      <c r="F159" s="140" t="s">
        <v>0</v>
      </c>
      <c r="G159" s="4">
        <f>500</f>
        <v>500</v>
      </c>
      <c r="H159" s="4"/>
      <c r="I159" s="4"/>
    </row>
    <row r="160" spans="1:9" ht="15" x14ac:dyDescent="0.2">
      <c r="A160" s="140">
        <v>152</v>
      </c>
      <c r="B160" s="129" t="s">
        <v>671</v>
      </c>
      <c r="C160" s="129" t="s">
        <v>867</v>
      </c>
      <c r="D160" s="129">
        <v>19001107895</v>
      </c>
      <c r="E160" s="129" t="s">
        <v>886</v>
      </c>
      <c r="F160" s="140" t="s">
        <v>0</v>
      </c>
      <c r="G160" s="4">
        <f>875</f>
        <v>875</v>
      </c>
      <c r="H160" s="4"/>
      <c r="I160" s="4"/>
    </row>
    <row r="161" spans="1:9" ht="15" x14ac:dyDescent="0.2">
      <c r="A161" s="140">
        <v>153</v>
      </c>
      <c r="B161" s="129" t="s">
        <v>861</v>
      </c>
      <c r="C161" s="129" t="s">
        <v>868</v>
      </c>
      <c r="D161" s="129">
        <v>35001029654</v>
      </c>
      <c r="E161" s="129" t="s">
        <v>886</v>
      </c>
      <c r="F161" s="140" t="s">
        <v>354</v>
      </c>
      <c r="G161" s="4">
        <f>187.5</f>
        <v>187.5</v>
      </c>
      <c r="H161" s="4"/>
      <c r="I161" s="4"/>
    </row>
    <row r="162" spans="1:9" ht="15" x14ac:dyDescent="0.2">
      <c r="A162" s="140">
        <v>154</v>
      </c>
      <c r="B162" s="129" t="s">
        <v>869</v>
      </c>
      <c r="C162" s="129" t="s">
        <v>870</v>
      </c>
      <c r="D162" s="129">
        <v>35001023295</v>
      </c>
      <c r="E162" s="129" t="s">
        <v>886</v>
      </c>
      <c r="F162" s="140" t="s">
        <v>0</v>
      </c>
      <c r="G162" s="4">
        <f>250</f>
        <v>250</v>
      </c>
      <c r="H162" s="4"/>
      <c r="I162" s="4"/>
    </row>
    <row r="163" spans="1:9" ht="15" x14ac:dyDescent="0.2">
      <c r="A163" s="140">
        <v>155</v>
      </c>
      <c r="B163" s="129" t="s">
        <v>714</v>
      </c>
      <c r="C163" s="129" t="s">
        <v>871</v>
      </c>
      <c r="D163" s="129">
        <v>35001034056</v>
      </c>
      <c r="E163" s="129" t="s">
        <v>886</v>
      </c>
      <c r="F163" s="140" t="s">
        <v>0</v>
      </c>
      <c r="G163" s="4">
        <v>813</v>
      </c>
      <c r="H163" s="4"/>
      <c r="I163" s="4"/>
    </row>
    <row r="164" spans="1:9" ht="15" x14ac:dyDescent="0.2">
      <c r="A164" s="140">
        <v>156</v>
      </c>
      <c r="B164" s="129" t="s">
        <v>872</v>
      </c>
      <c r="C164" s="129" t="s">
        <v>847</v>
      </c>
      <c r="D164" s="129">
        <v>44001001910</v>
      </c>
      <c r="E164" s="129" t="s">
        <v>886</v>
      </c>
      <c r="F164" s="140" t="s">
        <v>354</v>
      </c>
      <c r="G164" s="4">
        <v>100</v>
      </c>
      <c r="H164" s="4"/>
      <c r="I164" s="4"/>
    </row>
    <row r="165" spans="1:9" ht="15" x14ac:dyDescent="0.2">
      <c r="A165" s="140">
        <v>157</v>
      </c>
      <c r="B165" s="129" t="s">
        <v>809</v>
      </c>
      <c r="C165" s="129" t="s">
        <v>847</v>
      </c>
      <c r="D165" s="129">
        <v>44001003916</v>
      </c>
      <c r="E165" s="129" t="s">
        <v>886</v>
      </c>
      <c r="F165" s="140" t="s">
        <v>354</v>
      </c>
      <c r="G165" s="4">
        <v>100</v>
      </c>
      <c r="H165" s="4"/>
      <c r="I165" s="4"/>
    </row>
    <row r="166" spans="1:9" ht="15" x14ac:dyDescent="0.2">
      <c r="A166" s="140">
        <v>158</v>
      </c>
      <c r="B166" s="129" t="s">
        <v>517</v>
      </c>
      <c r="C166" s="129" t="s">
        <v>873</v>
      </c>
      <c r="D166" s="129">
        <v>44001001508</v>
      </c>
      <c r="E166" s="129" t="s">
        <v>886</v>
      </c>
      <c r="F166" s="140" t="s">
        <v>354</v>
      </c>
      <c r="G166" s="4">
        <v>100</v>
      </c>
      <c r="H166" s="4"/>
      <c r="I166" s="4"/>
    </row>
    <row r="167" spans="1:9" ht="15" x14ac:dyDescent="0.2">
      <c r="A167" s="140">
        <v>159</v>
      </c>
      <c r="B167" s="129" t="s">
        <v>874</v>
      </c>
      <c r="C167" s="129" t="s">
        <v>875</v>
      </c>
      <c r="D167" s="129">
        <v>44001001613</v>
      </c>
      <c r="E167" s="129" t="s">
        <v>886</v>
      </c>
      <c r="F167" s="140" t="s">
        <v>354</v>
      </c>
      <c r="G167" s="4">
        <v>100</v>
      </c>
      <c r="H167" s="4"/>
      <c r="I167" s="4"/>
    </row>
    <row r="168" spans="1:9" ht="15" x14ac:dyDescent="0.2">
      <c r="A168" s="140">
        <v>160</v>
      </c>
      <c r="B168" s="129" t="s">
        <v>526</v>
      </c>
      <c r="C168" s="129" t="s">
        <v>770</v>
      </c>
      <c r="D168" s="129">
        <v>44001002790</v>
      </c>
      <c r="E168" s="129" t="s">
        <v>886</v>
      </c>
      <c r="F168" s="140" t="s">
        <v>354</v>
      </c>
      <c r="G168" s="4">
        <v>100</v>
      </c>
      <c r="H168" s="4"/>
      <c r="I168" s="4"/>
    </row>
    <row r="169" spans="1:9" ht="15" x14ac:dyDescent="0.2">
      <c r="A169" s="140">
        <v>161</v>
      </c>
      <c r="B169" s="129" t="s">
        <v>876</v>
      </c>
      <c r="C169" s="129" t="s">
        <v>877</v>
      </c>
      <c r="D169" s="129">
        <v>44001001897</v>
      </c>
      <c r="E169" s="129" t="s">
        <v>886</v>
      </c>
      <c r="F169" s="140" t="s">
        <v>354</v>
      </c>
      <c r="G169" s="4">
        <v>100</v>
      </c>
      <c r="H169" s="4"/>
      <c r="I169" s="4"/>
    </row>
    <row r="170" spans="1:9" ht="15" x14ac:dyDescent="0.2">
      <c r="A170" s="140">
        <v>162</v>
      </c>
      <c r="B170" s="129" t="s">
        <v>632</v>
      </c>
      <c r="C170" s="129" t="s">
        <v>873</v>
      </c>
      <c r="D170" s="129">
        <v>44001000069</v>
      </c>
      <c r="E170" s="129" t="s">
        <v>886</v>
      </c>
      <c r="F170" s="140" t="s">
        <v>354</v>
      </c>
      <c r="G170" s="4">
        <v>100</v>
      </c>
      <c r="H170" s="4"/>
      <c r="I170" s="4"/>
    </row>
    <row r="171" spans="1:9" ht="15" x14ac:dyDescent="0.2">
      <c r="A171" s="140">
        <v>163</v>
      </c>
      <c r="B171" s="129" t="s">
        <v>865</v>
      </c>
      <c r="C171" s="129" t="s">
        <v>770</v>
      </c>
      <c r="D171" s="129">
        <v>44001001456</v>
      </c>
      <c r="E171" s="129" t="s">
        <v>886</v>
      </c>
      <c r="F171" s="140" t="s">
        <v>354</v>
      </c>
      <c r="G171" s="4">
        <v>100</v>
      </c>
      <c r="H171" s="4"/>
      <c r="I171" s="4"/>
    </row>
    <row r="172" spans="1:9" ht="15" x14ac:dyDescent="0.2">
      <c r="A172" s="140">
        <v>164</v>
      </c>
      <c r="B172" s="129" t="s">
        <v>878</v>
      </c>
      <c r="C172" s="129" t="s">
        <v>879</v>
      </c>
      <c r="D172" s="129">
        <v>31001010746</v>
      </c>
      <c r="E172" s="129" t="s">
        <v>886</v>
      </c>
      <c r="F172" s="140" t="s">
        <v>354</v>
      </c>
      <c r="G172" s="4">
        <v>100</v>
      </c>
      <c r="H172" s="4"/>
      <c r="I172" s="4"/>
    </row>
    <row r="173" spans="1:9" ht="15" x14ac:dyDescent="0.2">
      <c r="A173" s="140">
        <v>165</v>
      </c>
      <c r="B173" s="129" t="s">
        <v>686</v>
      </c>
      <c r="C173" s="129" t="s">
        <v>880</v>
      </c>
      <c r="D173" s="129">
        <v>1023003299</v>
      </c>
      <c r="E173" s="129" t="s">
        <v>886</v>
      </c>
      <c r="F173" s="140" t="s">
        <v>354</v>
      </c>
      <c r="G173" s="4">
        <v>100</v>
      </c>
      <c r="H173" s="4"/>
      <c r="I173" s="4"/>
    </row>
    <row r="174" spans="1:9" ht="15" x14ac:dyDescent="0.2">
      <c r="A174" s="140">
        <v>166</v>
      </c>
      <c r="B174" s="129" t="s">
        <v>881</v>
      </c>
      <c r="C174" s="129" t="s">
        <v>882</v>
      </c>
      <c r="D174" s="129">
        <v>44701005650</v>
      </c>
      <c r="E174" s="129" t="s">
        <v>886</v>
      </c>
      <c r="F174" s="140" t="s">
        <v>354</v>
      </c>
      <c r="G174" s="4">
        <v>100</v>
      </c>
      <c r="H174" s="4"/>
      <c r="I174" s="4"/>
    </row>
    <row r="175" spans="1:9" ht="15" x14ac:dyDescent="0.2">
      <c r="A175" s="140">
        <v>167</v>
      </c>
      <c r="B175" s="129" t="s">
        <v>883</v>
      </c>
      <c r="C175" s="129" t="s">
        <v>884</v>
      </c>
      <c r="D175" s="129">
        <v>59001101979</v>
      </c>
      <c r="E175" s="129" t="s">
        <v>886</v>
      </c>
      <c r="F175" s="140" t="s">
        <v>354</v>
      </c>
      <c r="G175" s="4">
        <v>625</v>
      </c>
      <c r="H175" s="4"/>
      <c r="I175" s="4"/>
    </row>
    <row r="176" spans="1:9" ht="15" x14ac:dyDescent="0.2">
      <c r="A176" s="140">
        <v>168</v>
      </c>
      <c r="B176" s="129" t="s">
        <v>673</v>
      </c>
      <c r="C176" s="129" t="s">
        <v>885</v>
      </c>
      <c r="D176" s="129">
        <v>1026004789</v>
      </c>
      <c r="E176" s="129" t="s">
        <v>886</v>
      </c>
      <c r="F176" s="140" t="s">
        <v>354</v>
      </c>
      <c r="G176" s="4">
        <v>438</v>
      </c>
      <c r="H176" s="4"/>
      <c r="I176" s="4"/>
    </row>
    <row r="177" spans="1:9" ht="15" x14ac:dyDescent="0.2">
      <c r="A177" s="140"/>
      <c r="B177" s="129"/>
      <c r="C177" s="129"/>
      <c r="D177" s="129"/>
      <c r="E177" s="129"/>
      <c r="F177" s="140"/>
      <c r="G177" s="4"/>
      <c r="H177" s="4"/>
      <c r="I177" s="4"/>
    </row>
    <row r="178" spans="1:9" ht="15" x14ac:dyDescent="0.2">
      <c r="A178" s="129" t="s">
        <v>281</v>
      </c>
      <c r="B178" s="129"/>
      <c r="C178" s="129"/>
      <c r="D178" s="129"/>
      <c r="E178" s="129"/>
      <c r="F178" s="140"/>
      <c r="G178" s="4"/>
      <c r="H178" s="4"/>
      <c r="I178" s="4"/>
    </row>
    <row r="179" spans="1:9" ht="15" x14ac:dyDescent="0.3">
      <c r="A179" s="129"/>
      <c r="B179" s="141"/>
      <c r="C179" s="141"/>
      <c r="D179" s="141"/>
      <c r="E179" s="141"/>
      <c r="F179" s="129" t="s">
        <v>466</v>
      </c>
      <c r="G179" s="128">
        <f>SUM(G9:G177)</f>
        <v>229699.62999999998</v>
      </c>
      <c r="H179" s="128">
        <f>SUM(H9:H178)</f>
        <v>0</v>
      </c>
      <c r="I179" s="128">
        <f>SUM(I9:I178)</f>
        <v>0</v>
      </c>
    </row>
    <row r="180" spans="1:9" ht="15" x14ac:dyDescent="0.3">
      <c r="A180" s="303"/>
      <c r="B180" s="303"/>
      <c r="C180" s="303"/>
      <c r="D180" s="303"/>
      <c r="E180" s="303"/>
      <c r="F180" s="303"/>
      <c r="G180" s="303"/>
      <c r="H180" s="259"/>
      <c r="I180" s="259"/>
    </row>
    <row r="181" spans="1:9" ht="15" x14ac:dyDescent="0.3">
      <c r="A181" s="304" t="s">
        <v>454</v>
      </c>
      <c r="B181" s="304"/>
      <c r="C181" s="303"/>
      <c r="D181" s="303"/>
      <c r="E181" s="303"/>
      <c r="F181" s="303"/>
      <c r="G181" s="303"/>
      <c r="H181" s="259"/>
      <c r="I181" s="259"/>
    </row>
    <row r="182" spans="1:9" ht="15" x14ac:dyDescent="0.3">
      <c r="A182" s="304"/>
      <c r="B182" s="304"/>
      <c r="C182" s="303"/>
      <c r="D182" s="303"/>
      <c r="E182" s="303"/>
      <c r="F182" s="303"/>
      <c r="G182" s="303"/>
      <c r="H182" s="259"/>
      <c r="I182" s="259"/>
    </row>
    <row r="183" spans="1:9" ht="15" x14ac:dyDescent="0.3">
      <c r="A183" s="304"/>
      <c r="B183" s="304"/>
      <c r="C183" s="259"/>
      <c r="D183" s="259"/>
      <c r="E183" s="259"/>
      <c r="F183" s="259"/>
      <c r="G183" s="391">
        <f>G9+G10+G11+G12+G14+G13+G15+G16+G17+G18+G19+G20+G21+G22+G23+G24+G25+G26+G27+G32+G33+G34+G35+G36+G37+G38+G39+G40+G42+G43+G44+G46+G47+G48+G49+G50+G52+G53+G55+G56+G57+G58+G59+G71+G84+G85+G86+G88+G89+G104+G113+G114+G115+G116+G121+G122+G123+G124+G125+G126+G127+G128+G136+G137+G139+G140+G141+G142+G145+G146+G148+G150+G155+G156+G157+G158+G159+G161+G164+G165+G166+G167+G168+G169+G170+G171+G172+G173+G174+G175+G176</f>
        <v>132179.15</v>
      </c>
      <c r="H183" s="259"/>
      <c r="I183" s="259"/>
    </row>
    <row r="184" spans="1:9" ht="15" x14ac:dyDescent="0.3">
      <c r="A184" s="304"/>
      <c r="B184" s="304"/>
      <c r="C184" s="259"/>
      <c r="D184" s="259"/>
      <c r="E184" s="259"/>
      <c r="F184" s="259"/>
      <c r="G184" s="392">
        <f>G28+G29+G30+G31+G41+G45+G51+G54+G60+G61+G62+G63+G64+G65+G66+G68+G67+G69+G70+G72+G73+G74+G75+G76+G77+G78+G79+G80+G81+G82+G83+G87+G90+G91+G92+G93+G94+G95+G96+G97+G98+G99+G100+G101+G102+G103+G105+G106+G107+G108+G109+G110+G111+G112+G117+G118+G119+G120+G129+G130+G132+G131+G133+G134+G135+G138+G143+G144+G147+G149+G159+G160+G162+G163</f>
        <v>96520.48000000001</v>
      </c>
      <c r="H184" s="259"/>
      <c r="I184" s="259"/>
    </row>
    <row r="185" spans="1:9" x14ac:dyDescent="0.2">
      <c r="A185" s="300"/>
      <c r="B185" s="300"/>
      <c r="C185" s="300"/>
      <c r="D185" s="300"/>
      <c r="E185" s="300"/>
      <c r="F185" s="300"/>
      <c r="G185" s="300"/>
      <c r="H185" s="300"/>
      <c r="I185" s="300"/>
    </row>
    <row r="186" spans="1:9" ht="15" x14ac:dyDescent="0.3">
      <c r="A186" s="265" t="s">
        <v>107</v>
      </c>
      <c r="B186" s="265"/>
      <c r="C186" s="259"/>
      <c r="D186" s="259"/>
      <c r="E186" s="259"/>
      <c r="F186" s="259"/>
      <c r="G186" s="259"/>
      <c r="H186" s="259"/>
      <c r="I186" s="259"/>
    </row>
    <row r="187" spans="1:9" ht="15" x14ac:dyDescent="0.3">
      <c r="A187" s="259"/>
      <c r="B187" s="259"/>
      <c r="C187" s="259"/>
      <c r="D187" s="259"/>
      <c r="E187" s="259"/>
      <c r="F187" s="259"/>
      <c r="G187" s="259"/>
      <c r="H187" s="259"/>
      <c r="I187" s="259"/>
    </row>
    <row r="188" spans="1:9" ht="15" x14ac:dyDescent="0.3">
      <c r="A188" s="259"/>
      <c r="B188" s="259"/>
      <c r="C188" s="259"/>
      <c r="D188" s="259"/>
      <c r="E188" s="263"/>
      <c r="F188" s="263"/>
      <c r="G188" s="263"/>
      <c r="H188" s="259"/>
      <c r="I188" s="259"/>
    </row>
    <row r="189" spans="1:9" ht="15" x14ac:dyDescent="0.3">
      <c r="A189" s="265"/>
      <c r="B189" s="265"/>
      <c r="C189" s="265" t="s">
        <v>401</v>
      </c>
      <c r="D189" s="265"/>
      <c r="E189" s="265"/>
      <c r="F189" s="265"/>
      <c r="G189" s="265"/>
      <c r="H189" s="259"/>
      <c r="I189" s="259"/>
    </row>
    <row r="190" spans="1:9" ht="15" x14ac:dyDescent="0.3">
      <c r="A190" s="259"/>
      <c r="B190" s="259"/>
      <c r="C190" s="259" t="s">
        <v>400</v>
      </c>
      <c r="D190" s="259"/>
      <c r="E190" s="259"/>
      <c r="F190" s="259"/>
      <c r="G190" s="259"/>
      <c r="H190" s="259"/>
      <c r="I190" s="259"/>
    </row>
    <row r="191" spans="1:9" x14ac:dyDescent="0.2">
      <c r="A191" s="267"/>
      <c r="B191" s="267"/>
      <c r="C191" s="267" t="s">
        <v>140</v>
      </c>
      <c r="D191" s="267"/>
      <c r="E191" s="267"/>
      <c r="F191" s="267"/>
      <c r="G191" s="267"/>
    </row>
  </sheetData>
  <mergeCells count="2">
    <mergeCell ref="I1:J1"/>
    <mergeCell ref="I2:J2"/>
  </mergeCells>
  <printOptions gridLines="1"/>
  <pageMargins left="0.25" right="0.25" top="0.75" bottom="0.75" header="0.3" footer="0.3"/>
  <pageSetup scale="1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Normal="100" zoomScaleSheetLayoutView="70" workbookViewId="0">
      <selection activeCell="F17" sqref="F17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6" t="s">
        <v>372</v>
      </c>
      <c r="B1" s="119"/>
      <c r="C1" s="119"/>
      <c r="D1" s="119"/>
      <c r="E1" s="119"/>
      <c r="F1" s="119"/>
      <c r="G1" s="412" t="s">
        <v>110</v>
      </c>
      <c r="H1" s="412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410" t="s">
        <v>609</v>
      </c>
      <c r="H2" s="411"/>
    </row>
    <row r="3" spans="1:8" ht="15" x14ac:dyDescent="0.3">
      <c r="A3" s="118"/>
      <c r="B3" s="118"/>
      <c r="C3" s="118"/>
      <c r="D3" s="118"/>
      <c r="E3" s="118"/>
      <c r="F3" s="118"/>
      <c r="G3" s="238"/>
      <c r="H3" s="238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274" t="s">
        <v>610</v>
      </c>
      <c r="B5" s="122"/>
      <c r="C5" s="122"/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37"/>
      <c r="B7" s="237"/>
      <c r="C7" s="352"/>
      <c r="D7" s="237"/>
      <c r="E7" s="237"/>
      <c r="F7" s="237"/>
      <c r="G7" s="120"/>
      <c r="H7" s="120"/>
    </row>
    <row r="8" spans="1:8" ht="45" x14ac:dyDescent="0.2">
      <c r="A8" s="132" t="s">
        <v>346</v>
      </c>
      <c r="B8" s="132" t="s">
        <v>347</v>
      </c>
      <c r="C8" s="132" t="s">
        <v>230</v>
      </c>
      <c r="D8" s="132" t="s">
        <v>350</v>
      </c>
      <c r="E8" s="132" t="s">
        <v>349</v>
      </c>
      <c r="F8" s="132" t="s">
        <v>396</v>
      </c>
      <c r="G8" s="121" t="s">
        <v>10</v>
      </c>
      <c r="H8" s="121" t="s">
        <v>9</v>
      </c>
    </row>
    <row r="9" spans="1:8" ht="15" x14ac:dyDescent="0.2">
      <c r="A9" s="140"/>
      <c r="B9" s="140"/>
      <c r="C9" s="140"/>
      <c r="D9" s="140"/>
      <c r="E9" s="140"/>
      <c r="F9" s="140"/>
      <c r="G9" s="4">
        <v>85</v>
      </c>
      <c r="H9" s="4">
        <v>85</v>
      </c>
    </row>
    <row r="10" spans="1:8" ht="15" x14ac:dyDescent="0.2">
      <c r="A10" s="140"/>
      <c r="B10" s="140"/>
      <c r="C10" s="140"/>
      <c r="D10" s="140"/>
      <c r="E10" s="140"/>
      <c r="F10" s="140"/>
      <c r="G10" s="4">
        <v>360</v>
      </c>
      <c r="H10" s="4">
        <v>360</v>
      </c>
    </row>
    <row r="11" spans="1:8" ht="15" x14ac:dyDescent="0.2">
      <c r="A11" s="129"/>
      <c r="B11" s="129"/>
      <c r="C11" s="129"/>
      <c r="D11" s="129"/>
      <c r="E11" s="129"/>
      <c r="F11" s="393">
        <v>41005</v>
      </c>
      <c r="G11" s="4">
        <v>1470</v>
      </c>
      <c r="H11" s="4">
        <v>1470</v>
      </c>
    </row>
    <row r="12" spans="1:8" ht="15" x14ac:dyDescent="0.2">
      <c r="A12" s="129"/>
      <c r="B12" s="129"/>
      <c r="C12" s="129"/>
      <c r="D12" s="129"/>
      <c r="E12" s="129"/>
      <c r="F12" s="129" t="s">
        <v>887</v>
      </c>
      <c r="G12" s="4">
        <v>1080</v>
      </c>
      <c r="H12" s="4">
        <v>1080</v>
      </c>
    </row>
    <row r="13" spans="1:8" ht="15" x14ac:dyDescent="0.2">
      <c r="A13" s="129"/>
      <c r="B13" s="129"/>
      <c r="C13" s="129"/>
      <c r="D13" s="129"/>
      <c r="E13" s="129"/>
      <c r="F13" s="394"/>
      <c r="G13" s="4">
        <v>1120</v>
      </c>
      <c r="H13" s="4"/>
    </row>
    <row r="14" spans="1:8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8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8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8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8" ht="15" x14ac:dyDescent="0.3">
      <c r="A34" s="141"/>
      <c r="B34" s="141"/>
      <c r="C34" s="141"/>
      <c r="D34" s="141"/>
      <c r="E34" s="141"/>
      <c r="F34" s="141" t="s">
        <v>345</v>
      </c>
      <c r="G34" s="128">
        <f>SUM(G9:G33)</f>
        <v>4115</v>
      </c>
      <c r="H34" s="128">
        <f>G34</f>
        <v>4115</v>
      </c>
    </row>
    <row r="35" spans="1:8" ht="15" x14ac:dyDescent="0.3">
      <c r="A35" s="303"/>
      <c r="B35" s="303"/>
      <c r="C35" s="303"/>
      <c r="D35" s="303"/>
      <c r="E35" s="303"/>
      <c r="F35" s="303"/>
      <c r="G35" s="259"/>
      <c r="H35" s="259"/>
    </row>
    <row r="36" spans="1:8" ht="15" x14ac:dyDescent="0.3">
      <c r="A36" s="304" t="s">
        <v>356</v>
      </c>
      <c r="B36" s="303"/>
      <c r="C36" s="303"/>
      <c r="D36" s="303"/>
      <c r="E36" s="303"/>
      <c r="F36" s="303"/>
      <c r="G36" s="259">
        <v>4115</v>
      </c>
      <c r="H36" s="259"/>
    </row>
    <row r="37" spans="1:8" ht="15" x14ac:dyDescent="0.3">
      <c r="A37" s="304" t="s">
        <v>359</v>
      </c>
      <c r="B37" s="303"/>
      <c r="C37" s="303"/>
      <c r="D37" s="303"/>
      <c r="E37" s="303"/>
      <c r="F37" s="303"/>
      <c r="G37" s="259"/>
      <c r="H37" s="259"/>
    </row>
    <row r="38" spans="1:8" ht="15" x14ac:dyDescent="0.3">
      <c r="A38" s="304"/>
      <c r="B38" s="259"/>
      <c r="C38" s="259"/>
      <c r="D38" s="259"/>
      <c r="E38" s="259"/>
      <c r="F38" s="259"/>
      <c r="G38" s="259"/>
      <c r="H38" s="259"/>
    </row>
    <row r="39" spans="1:8" ht="15" x14ac:dyDescent="0.3">
      <c r="A39" s="304"/>
      <c r="B39" s="259"/>
      <c r="C39" s="259"/>
      <c r="D39" s="259"/>
      <c r="E39" s="259"/>
      <c r="F39" s="259"/>
      <c r="G39" s="259"/>
      <c r="H39" s="259"/>
    </row>
    <row r="40" spans="1:8" x14ac:dyDescent="0.2">
      <c r="A40" s="300"/>
      <c r="B40" s="300"/>
      <c r="C40" s="300"/>
      <c r="D40" s="300"/>
      <c r="E40" s="300"/>
      <c r="F40" s="300"/>
      <c r="G40" s="300"/>
      <c r="H40" s="300"/>
    </row>
    <row r="41" spans="1:8" ht="15" x14ac:dyDescent="0.3">
      <c r="A41" s="265" t="s">
        <v>107</v>
      </c>
      <c r="B41" s="259"/>
      <c r="C41" s="259"/>
      <c r="D41" s="259"/>
      <c r="E41" s="259"/>
      <c r="F41" s="259"/>
      <c r="G41" s="259"/>
      <c r="H41" s="259"/>
    </row>
    <row r="42" spans="1:8" ht="15" x14ac:dyDescent="0.3">
      <c r="A42" s="259"/>
      <c r="B42" s="259"/>
      <c r="C42" s="259"/>
      <c r="D42" s="259"/>
      <c r="E42" s="259"/>
      <c r="F42" s="259"/>
      <c r="G42" s="259"/>
      <c r="H42" s="259"/>
    </row>
    <row r="43" spans="1:8" ht="15" x14ac:dyDescent="0.3">
      <c r="A43" s="259"/>
      <c r="B43" s="259"/>
      <c r="C43" s="259"/>
      <c r="D43" s="259"/>
      <c r="E43" s="259"/>
      <c r="F43" s="259"/>
      <c r="G43" s="259"/>
      <c r="H43" s="266"/>
    </row>
    <row r="44" spans="1:8" ht="15" x14ac:dyDescent="0.3">
      <c r="A44" s="265"/>
      <c r="B44" s="265" t="s">
        <v>274</v>
      </c>
      <c r="C44" s="265"/>
      <c r="D44" s="265"/>
      <c r="E44" s="265"/>
      <c r="F44" s="265"/>
      <c r="G44" s="259"/>
      <c r="H44" s="266"/>
    </row>
    <row r="45" spans="1:8" ht="15" x14ac:dyDescent="0.3">
      <c r="A45" s="259"/>
      <c r="B45" s="259" t="s">
        <v>273</v>
      </c>
      <c r="C45" s="259"/>
      <c r="D45" s="259"/>
      <c r="E45" s="259"/>
      <c r="F45" s="259"/>
      <c r="G45" s="259"/>
      <c r="H45" s="266"/>
    </row>
    <row r="46" spans="1:8" x14ac:dyDescent="0.2">
      <c r="A46" s="267"/>
      <c r="B46" s="267" t="s">
        <v>140</v>
      </c>
      <c r="C46" s="267"/>
      <c r="D46" s="267"/>
      <c r="E46" s="267"/>
      <c r="F46" s="267"/>
      <c r="G46" s="260"/>
      <c r="H46" s="260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A5" sqref="A5"/>
    </sheetView>
  </sheetViews>
  <sheetFormatPr defaultRowHeight="12.75" x14ac:dyDescent="0.2"/>
  <cols>
    <col min="1" max="1" width="5.42578125" style="260" customWidth="1"/>
    <col min="2" max="2" width="13.140625" style="260" customWidth="1"/>
    <col min="3" max="3" width="15.140625" style="260" customWidth="1"/>
    <col min="4" max="4" width="18" style="260" customWidth="1"/>
    <col min="5" max="5" width="20.5703125" style="260" customWidth="1"/>
    <col min="6" max="6" width="21.28515625" style="260" customWidth="1"/>
    <col min="7" max="7" width="15.140625" style="260" customWidth="1"/>
    <col min="8" max="8" width="15.5703125" style="260" customWidth="1"/>
    <col min="9" max="9" width="13.42578125" style="260" customWidth="1"/>
    <col min="10" max="10" width="0" style="260" hidden="1" customWidth="1"/>
    <col min="11" max="16384" width="9.140625" style="260"/>
  </cols>
  <sheetData>
    <row r="1" spans="1:10" ht="15" x14ac:dyDescent="0.3">
      <c r="A1" s="116" t="s">
        <v>478</v>
      </c>
      <c r="B1" s="116"/>
      <c r="C1" s="119"/>
      <c r="D1" s="119"/>
      <c r="E1" s="119"/>
      <c r="F1" s="119"/>
      <c r="G1" s="412" t="s">
        <v>110</v>
      </c>
      <c r="H1" s="412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410" t="s">
        <v>609</v>
      </c>
      <c r="H2" s="411"/>
    </row>
    <row r="3" spans="1:10" ht="15" x14ac:dyDescent="0.3">
      <c r="A3" s="118"/>
      <c r="B3" s="118"/>
      <c r="C3" s="118"/>
      <c r="D3" s="118"/>
      <c r="E3" s="118"/>
      <c r="F3" s="118"/>
      <c r="G3" s="294"/>
      <c r="H3" s="294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274" t="s">
        <v>610</v>
      </c>
      <c r="B5" s="122"/>
      <c r="C5" s="122"/>
      <c r="D5" s="122"/>
      <c r="E5" s="122"/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3"/>
      <c r="B7" s="293"/>
      <c r="C7" s="293"/>
      <c r="D7" s="296"/>
      <c r="E7" s="293"/>
      <c r="F7" s="293"/>
      <c r="G7" s="120"/>
      <c r="H7" s="120"/>
    </row>
    <row r="8" spans="1:10" ht="30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355</v>
      </c>
      <c r="F8" s="132" t="s">
        <v>348</v>
      </c>
      <c r="G8" s="121" t="s">
        <v>10</v>
      </c>
      <c r="H8" s="121" t="s">
        <v>9</v>
      </c>
      <c r="J8" s="305" t="s">
        <v>354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05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353</v>
      </c>
      <c r="G34" s="128">
        <f>SUM(G9:G33)</f>
        <v>0</v>
      </c>
      <c r="H34" s="128">
        <f>SUM(H9:H33)</f>
        <v>0</v>
      </c>
    </row>
    <row r="35" spans="1:9" ht="15" x14ac:dyDescent="0.3">
      <c r="A35" s="303"/>
      <c r="B35" s="303"/>
      <c r="C35" s="303"/>
      <c r="D35" s="303"/>
      <c r="E35" s="303"/>
      <c r="F35" s="303"/>
      <c r="G35" s="303"/>
      <c r="H35" s="259"/>
      <c r="I35" s="259"/>
    </row>
    <row r="36" spans="1:9" ht="15" x14ac:dyDescent="0.3">
      <c r="A36" s="304" t="s">
        <v>407</v>
      </c>
      <c r="B36" s="304"/>
      <c r="C36" s="303"/>
      <c r="D36" s="303"/>
      <c r="E36" s="303"/>
      <c r="F36" s="303"/>
      <c r="G36" s="303"/>
      <c r="H36" s="259"/>
      <c r="I36" s="259"/>
    </row>
    <row r="37" spans="1:9" ht="15" x14ac:dyDescent="0.3">
      <c r="A37" s="304" t="s">
        <v>352</v>
      </c>
      <c r="B37" s="304"/>
      <c r="C37" s="303"/>
      <c r="D37" s="303"/>
      <c r="E37" s="303"/>
      <c r="F37" s="303"/>
      <c r="G37" s="303"/>
      <c r="H37" s="259"/>
      <c r="I37" s="259"/>
    </row>
    <row r="38" spans="1:9" ht="15" x14ac:dyDescent="0.3">
      <c r="A38" s="304"/>
      <c r="B38" s="304"/>
      <c r="C38" s="259"/>
      <c r="D38" s="259"/>
      <c r="E38" s="259"/>
      <c r="F38" s="259"/>
      <c r="G38" s="259"/>
      <c r="H38" s="259"/>
      <c r="I38" s="259"/>
    </row>
    <row r="39" spans="1:9" ht="15" x14ac:dyDescent="0.3">
      <c r="A39" s="304"/>
      <c r="B39" s="304"/>
      <c r="C39" s="259"/>
      <c r="D39" s="259"/>
      <c r="E39" s="259"/>
      <c r="F39" s="259"/>
      <c r="G39" s="259"/>
      <c r="H39" s="259"/>
      <c r="I39" s="259"/>
    </row>
    <row r="40" spans="1:9" x14ac:dyDescent="0.2">
      <c r="A40" s="300"/>
      <c r="B40" s="300"/>
      <c r="C40" s="300"/>
      <c r="D40" s="300"/>
      <c r="E40" s="300"/>
      <c r="F40" s="300"/>
      <c r="G40" s="300"/>
      <c r="H40" s="300"/>
      <c r="I40" s="300"/>
    </row>
    <row r="41" spans="1:9" ht="15" x14ac:dyDescent="0.3">
      <c r="A41" s="265" t="s">
        <v>107</v>
      </c>
      <c r="B41" s="265"/>
      <c r="C41" s="259"/>
      <c r="D41" s="259"/>
      <c r="E41" s="259"/>
      <c r="F41" s="259"/>
      <c r="G41" s="259"/>
      <c r="H41" s="259"/>
      <c r="I41" s="259"/>
    </row>
    <row r="42" spans="1:9" ht="15" x14ac:dyDescent="0.3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9" ht="15" x14ac:dyDescent="0.3">
      <c r="A43" s="259"/>
      <c r="B43" s="259"/>
      <c r="C43" s="259"/>
      <c r="D43" s="259"/>
      <c r="E43" s="259"/>
      <c r="F43" s="259"/>
      <c r="G43" s="259"/>
      <c r="H43" s="259"/>
      <c r="I43" s="266"/>
    </row>
    <row r="44" spans="1:9" ht="15" x14ac:dyDescent="0.3">
      <c r="A44" s="265"/>
      <c r="B44" s="265"/>
      <c r="C44" s="265" t="s">
        <v>440</v>
      </c>
      <c r="D44" s="265"/>
      <c r="E44" s="303"/>
      <c r="F44" s="265"/>
      <c r="G44" s="265"/>
      <c r="H44" s="259"/>
      <c r="I44" s="266"/>
    </row>
    <row r="45" spans="1:9" ht="15" x14ac:dyDescent="0.3">
      <c r="A45" s="259"/>
      <c r="B45" s="259"/>
      <c r="C45" s="259" t="s">
        <v>273</v>
      </c>
      <c r="D45" s="259"/>
      <c r="E45" s="259"/>
      <c r="F45" s="259"/>
      <c r="G45" s="259"/>
      <c r="H45" s="259"/>
      <c r="I45" s="266"/>
    </row>
    <row r="46" spans="1:9" x14ac:dyDescent="0.2">
      <c r="A46" s="267"/>
      <c r="B46" s="267"/>
      <c r="C46" s="267" t="s">
        <v>140</v>
      </c>
      <c r="D46" s="267"/>
      <c r="E46" s="267"/>
      <c r="F46" s="267"/>
      <c r="G46" s="26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Normal="100" zoomScaleSheetLayoutView="70" workbookViewId="0">
      <selection activeCell="A5" sqref="A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308</v>
      </c>
      <c r="B1" s="173"/>
      <c r="C1" s="412" t="s">
        <v>110</v>
      </c>
      <c r="D1" s="412"/>
      <c r="E1" s="211"/>
    </row>
    <row r="2" spans="1:12" x14ac:dyDescent="0.3">
      <c r="A2" s="118" t="s">
        <v>141</v>
      </c>
      <c r="B2" s="173"/>
      <c r="C2" s="410" t="s">
        <v>609</v>
      </c>
      <c r="D2" s="411"/>
      <c r="E2" s="211"/>
    </row>
    <row r="3" spans="1:12" x14ac:dyDescent="0.3">
      <c r="A3" s="118"/>
      <c r="B3" s="173"/>
      <c r="C3" s="117"/>
      <c r="D3" s="117"/>
      <c r="E3" s="211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274" t="s">
        <v>610</v>
      </c>
      <c r="B5" s="170"/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2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2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3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3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3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1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1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1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1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1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1"/>
    </row>
    <row r="18" spans="1:5" ht="30" x14ac:dyDescent="0.3">
      <c r="A18" s="17" t="s">
        <v>12</v>
      </c>
      <c r="B18" s="17" t="s">
        <v>253</v>
      </c>
      <c r="C18" s="38"/>
      <c r="D18" s="39"/>
      <c r="E18" s="211"/>
    </row>
    <row r="19" spans="1:5" x14ac:dyDescent="0.3">
      <c r="A19" s="17" t="s">
        <v>13</v>
      </c>
      <c r="B19" s="17" t="s">
        <v>14</v>
      </c>
      <c r="C19" s="38"/>
      <c r="D19" s="40"/>
      <c r="E19" s="211"/>
    </row>
    <row r="20" spans="1:5" ht="30" x14ac:dyDescent="0.3">
      <c r="A20" s="17" t="s">
        <v>287</v>
      </c>
      <c r="B20" s="17" t="s">
        <v>22</v>
      </c>
      <c r="C20" s="38"/>
      <c r="D20" s="41"/>
      <c r="E20" s="211"/>
    </row>
    <row r="21" spans="1:5" x14ac:dyDescent="0.3">
      <c r="A21" s="17" t="s">
        <v>288</v>
      </c>
      <c r="B21" s="17" t="s">
        <v>15</v>
      </c>
      <c r="C21" s="38"/>
      <c r="D21" s="41"/>
      <c r="E21" s="211"/>
    </row>
    <row r="22" spans="1:5" x14ac:dyDescent="0.3">
      <c r="A22" s="17" t="s">
        <v>289</v>
      </c>
      <c r="B22" s="17" t="s">
        <v>16</v>
      </c>
      <c r="C22" s="38"/>
      <c r="D22" s="41"/>
      <c r="E22" s="211"/>
    </row>
    <row r="23" spans="1:5" x14ac:dyDescent="0.3">
      <c r="A23" s="17" t="s">
        <v>290</v>
      </c>
      <c r="B23" s="17" t="s">
        <v>17</v>
      </c>
      <c r="C23" s="176">
        <f>SUM(C24:C27)</f>
        <v>0</v>
      </c>
      <c r="D23" s="176">
        <f>SUM(D24:D27)</f>
        <v>0</v>
      </c>
      <c r="E23" s="211"/>
    </row>
    <row r="24" spans="1:5" ht="16.5" customHeight="1" x14ac:dyDescent="0.3">
      <c r="A24" s="18" t="s">
        <v>291</v>
      </c>
      <c r="B24" s="18" t="s">
        <v>18</v>
      </c>
      <c r="C24" s="38"/>
      <c r="D24" s="41"/>
      <c r="E24" s="211"/>
    </row>
    <row r="25" spans="1:5" ht="16.5" customHeight="1" x14ac:dyDescent="0.3">
      <c r="A25" s="18" t="s">
        <v>292</v>
      </c>
      <c r="B25" s="18" t="s">
        <v>19</v>
      </c>
      <c r="C25" s="38"/>
      <c r="D25" s="41"/>
      <c r="E25" s="211"/>
    </row>
    <row r="26" spans="1:5" ht="16.5" customHeight="1" x14ac:dyDescent="0.3">
      <c r="A26" s="18" t="s">
        <v>293</v>
      </c>
      <c r="B26" s="18" t="s">
        <v>20</v>
      </c>
      <c r="C26" s="38"/>
      <c r="D26" s="41"/>
      <c r="E26" s="211"/>
    </row>
    <row r="27" spans="1:5" ht="16.5" customHeight="1" x14ac:dyDescent="0.3">
      <c r="A27" s="18" t="s">
        <v>294</v>
      </c>
      <c r="B27" s="18" t="s">
        <v>23</v>
      </c>
      <c r="C27" s="38"/>
      <c r="D27" s="42"/>
      <c r="E27" s="211"/>
    </row>
    <row r="28" spans="1:5" x14ac:dyDescent="0.3">
      <c r="A28" s="17" t="s">
        <v>295</v>
      </c>
      <c r="B28" s="17" t="s">
        <v>21</v>
      </c>
      <c r="C28" s="38"/>
      <c r="D28" s="42"/>
      <c r="E28" s="211"/>
    </row>
    <row r="29" spans="1:5" x14ac:dyDescent="0.3">
      <c r="A29" s="16" t="s">
        <v>34</v>
      </c>
      <c r="B29" s="16" t="s">
        <v>3</v>
      </c>
      <c r="C29" s="34"/>
      <c r="D29" s="35"/>
      <c r="E29" s="211"/>
    </row>
    <row r="30" spans="1:5" x14ac:dyDescent="0.3">
      <c r="A30" s="16" t="s">
        <v>35</v>
      </c>
      <c r="B30" s="16" t="s">
        <v>4</v>
      </c>
      <c r="C30" s="34"/>
      <c r="D30" s="35"/>
      <c r="E30" s="211"/>
    </row>
    <row r="31" spans="1:5" x14ac:dyDescent="0.3">
      <c r="A31" s="16" t="s">
        <v>36</v>
      </c>
      <c r="B31" s="16" t="s">
        <v>5</v>
      </c>
      <c r="C31" s="34"/>
      <c r="D31" s="35"/>
      <c r="E31" s="211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1"/>
    </row>
    <row r="33" spans="1:5" x14ac:dyDescent="0.3">
      <c r="A33" s="17" t="s">
        <v>296</v>
      </c>
      <c r="B33" s="17" t="s">
        <v>56</v>
      </c>
      <c r="C33" s="34"/>
      <c r="D33" s="35"/>
      <c r="E33" s="211"/>
    </row>
    <row r="34" spans="1:5" x14ac:dyDescent="0.3">
      <c r="A34" s="17" t="s">
        <v>297</v>
      </c>
      <c r="B34" s="17" t="s">
        <v>55</v>
      </c>
      <c r="C34" s="34"/>
      <c r="D34" s="35"/>
      <c r="E34" s="211"/>
    </row>
    <row r="35" spans="1:5" x14ac:dyDescent="0.3">
      <c r="A35" s="16" t="s">
        <v>38</v>
      </c>
      <c r="B35" s="16" t="s">
        <v>49</v>
      </c>
      <c r="C35" s="34"/>
      <c r="D35" s="35"/>
      <c r="E35" s="211"/>
    </row>
    <row r="36" spans="1:5" x14ac:dyDescent="0.3">
      <c r="A36" s="16" t="s">
        <v>39</v>
      </c>
      <c r="B36" s="16" t="s">
        <v>364</v>
      </c>
      <c r="C36" s="125">
        <f>SUM(C37:C41)</f>
        <v>0</v>
      </c>
      <c r="D36" s="125">
        <f>SUM(D37:D41)</f>
        <v>0</v>
      </c>
      <c r="E36" s="211"/>
    </row>
    <row r="37" spans="1:5" x14ac:dyDescent="0.3">
      <c r="A37" s="17" t="s">
        <v>361</v>
      </c>
      <c r="B37" s="17" t="s">
        <v>365</v>
      </c>
      <c r="C37" s="34"/>
      <c r="D37" s="34"/>
      <c r="E37" s="211"/>
    </row>
    <row r="38" spans="1:5" x14ac:dyDescent="0.3">
      <c r="A38" s="17" t="s">
        <v>362</v>
      </c>
      <c r="B38" s="17" t="s">
        <v>366</v>
      </c>
      <c r="C38" s="34"/>
      <c r="D38" s="34"/>
      <c r="E38" s="211"/>
    </row>
    <row r="39" spans="1:5" x14ac:dyDescent="0.3">
      <c r="A39" s="17" t="s">
        <v>363</v>
      </c>
      <c r="B39" s="17" t="s">
        <v>369</v>
      </c>
      <c r="C39" s="34"/>
      <c r="D39" s="35"/>
      <c r="E39" s="211"/>
    </row>
    <row r="40" spans="1:5" x14ac:dyDescent="0.3">
      <c r="A40" s="17" t="s">
        <v>368</v>
      </c>
      <c r="B40" s="17" t="s">
        <v>370</v>
      </c>
      <c r="C40" s="34"/>
      <c r="D40" s="35"/>
      <c r="E40" s="211"/>
    </row>
    <row r="41" spans="1:5" x14ac:dyDescent="0.3">
      <c r="A41" s="17" t="s">
        <v>371</v>
      </c>
      <c r="B41" s="17" t="s">
        <v>367</v>
      </c>
      <c r="C41" s="34"/>
      <c r="D41" s="35"/>
      <c r="E41" s="211"/>
    </row>
    <row r="42" spans="1:5" ht="30" x14ac:dyDescent="0.3">
      <c r="A42" s="16" t="s">
        <v>40</v>
      </c>
      <c r="B42" s="16" t="s">
        <v>28</v>
      </c>
      <c r="C42" s="34"/>
      <c r="D42" s="35"/>
      <c r="E42" s="211"/>
    </row>
    <row r="43" spans="1:5" x14ac:dyDescent="0.3">
      <c r="A43" s="16" t="s">
        <v>41</v>
      </c>
      <c r="B43" s="16" t="s">
        <v>24</v>
      </c>
      <c r="C43" s="34"/>
      <c r="D43" s="35"/>
      <c r="E43" s="211"/>
    </row>
    <row r="44" spans="1:5" x14ac:dyDescent="0.3">
      <c r="A44" s="16" t="s">
        <v>42</v>
      </c>
      <c r="B44" s="16" t="s">
        <v>25</v>
      </c>
      <c r="C44" s="34"/>
      <c r="D44" s="35"/>
      <c r="E44" s="211"/>
    </row>
    <row r="45" spans="1:5" x14ac:dyDescent="0.3">
      <c r="A45" s="16" t="s">
        <v>43</v>
      </c>
      <c r="B45" s="16" t="s">
        <v>26</v>
      </c>
      <c r="C45" s="34"/>
      <c r="D45" s="35"/>
      <c r="E45" s="211"/>
    </row>
    <row r="46" spans="1:5" x14ac:dyDescent="0.3">
      <c r="A46" s="16" t="s">
        <v>44</v>
      </c>
      <c r="B46" s="16" t="s">
        <v>302</v>
      </c>
      <c r="C46" s="125">
        <f>SUM(C47:C49)</f>
        <v>0</v>
      </c>
      <c r="D46" s="125">
        <f>SUM(D47:D49)</f>
        <v>0</v>
      </c>
      <c r="E46" s="211"/>
    </row>
    <row r="47" spans="1:5" x14ac:dyDescent="0.3">
      <c r="A47" s="139" t="s">
        <v>377</v>
      </c>
      <c r="B47" s="139" t="s">
        <v>380</v>
      </c>
      <c r="C47" s="34"/>
      <c r="D47" s="35"/>
      <c r="E47" s="211"/>
    </row>
    <row r="48" spans="1:5" x14ac:dyDescent="0.3">
      <c r="A48" s="139" t="s">
        <v>378</v>
      </c>
      <c r="B48" s="139" t="s">
        <v>379</v>
      </c>
      <c r="C48" s="34"/>
      <c r="D48" s="35"/>
      <c r="E48" s="211"/>
    </row>
    <row r="49" spans="1:5" x14ac:dyDescent="0.3">
      <c r="A49" s="139" t="s">
        <v>381</v>
      </c>
      <c r="B49" s="139" t="s">
        <v>382</v>
      </c>
      <c r="C49" s="34"/>
      <c r="D49" s="35"/>
      <c r="E49" s="211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1"/>
    </row>
    <row r="51" spans="1:5" x14ac:dyDescent="0.3">
      <c r="A51" s="16" t="s">
        <v>46</v>
      </c>
      <c r="B51" s="16" t="s">
        <v>6</v>
      </c>
      <c r="C51" s="34"/>
      <c r="D51" s="35"/>
      <c r="E51" s="211"/>
    </row>
    <row r="52" spans="1:5" ht="30" x14ac:dyDescent="0.3">
      <c r="A52" s="14">
        <v>1.3</v>
      </c>
      <c r="B52" s="129" t="s">
        <v>421</v>
      </c>
      <c r="C52" s="126">
        <f>SUM(C53:C54)</f>
        <v>0</v>
      </c>
      <c r="D52" s="126">
        <f>SUM(D53:D54)</f>
        <v>0</v>
      </c>
      <c r="E52" s="211"/>
    </row>
    <row r="53" spans="1:5" ht="30" x14ac:dyDescent="0.3">
      <c r="A53" s="16" t="s">
        <v>50</v>
      </c>
      <c r="B53" s="16" t="s">
        <v>48</v>
      </c>
      <c r="C53" s="34"/>
      <c r="D53" s="35"/>
      <c r="E53" s="211"/>
    </row>
    <row r="54" spans="1:5" x14ac:dyDescent="0.3">
      <c r="A54" s="16" t="s">
        <v>51</v>
      </c>
      <c r="B54" s="16" t="s">
        <v>47</v>
      </c>
      <c r="C54" s="34"/>
      <c r="D54" s="35"/>
      <c r="E54" s="211"/>
    </row>
    <row r="55" spans="1:5" x14ac:dyDescent="0.3">
      <c r="A55" s="14">
        <v>1.4</v>
      </c>
      <c r="B55" s="14" t="s">
        <v>423</v>
      </c>
      <c r="C55" s="34"/>
      <c r="D55" s="35"/>
      <c r="E55" s="211"/>
    </row>
    <row r="56" spans="1:5" x14ac:dyDescent="0.3">
      <c r="A56" s="14">
        <v>1.5</v>
      </c>
      <c r="B56" s="14" t="s">
        <v>7</v>
      </c>
      <c r="C56" s="38"/>
      <c r="D56" s="41"/>
      <c r="E56" s="211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1"/>
    </row>
    <row r="58" spans="1:5" x14ac:dyDescent="0.3">
      <c r="A58" s="16" t="s">
        <v>303</v>
      </c>
      <c r="B58" s="47" t="s">
        <v>52</v>
      </c>
      <c r="C58" s="38"/>
      <c r="D58" s="41"/>
      <c r="E58" s="211"/>
    </row>
    <row r="59" spans="1:5" ht="30" x14ac:dyDescent="0.3">
      <c r="A59" s="16" t="s">
        <v>304</v>
      </c>
      <c r="B59" s="47" t="s">
        <v>54</v>
      </c>
      <c r="C59" s="38"/>
      <c r="D59" s="41"/>
      <c r="E59" s="211"/>
    </row>
    <row r="60" spans="1:5" x14ac:dyDescent="0.3">
      <c r="A60" s="16" t="s">
        <v>305</v>
      </c>
      <c r="B60" s="47" t="s">
        <v>53</v>
      </c>
      <c r="C60" s="41"/>
      <c r="D60" s="41"/>
      <c r="E60" s="211"/>
    </row>
    <row r="61" spans="1:5" x14ac:dyDescent="0.3">
      <c r="A61" s="16" t="s">
        <v>306</v>
      </c>
      <c r="B61" s="47" t="s">
        <v>27</v>
      </c>
      <c r="C61" s="38"/>
      <c r="D61" s="41"/>
      <c r="E61" s="211"/>
    </row>
    <row r="62" spans="1:5" x14ac:dyDescent="0.3">
      <c r="A62" s="16" t="s">
        <v>343</v>
      </c>
      <c r="B62" s="291" t="s">
        <v>344</v>
      </c>
      <c r="C62" s="38"/>
      <c r="D62" s="292"/>
      <c r="E62" s="211"/>
    </row>
    <row r="63" spans="1:5" x14ac:dyDescent="0.3">
      <c r="A63" s="13">
        <v>2</v>
      </c>
      <c r="B63" s="48" t="s">
        <v>106</v>
      </c>
      <c r="C63" s="362"/>
      <c r="D63" s="177">
        <f>SUM(D64:D69)</f>
        <v>0</v>
      </c>
      <c r="E63" s="211"/>
    </row>
    <row r="64" spans="1:5" x14ac:dyDescent="0.3">
      <c r="A64" s="15">
        <v>2.1</v>
      </c>
      <c r="B64" s="49" t="s">
        <v>100</v>
      </c>
      <c r="C64" s="362"/>
      <c r="D64" s="43"/>
      <c r="E64" s="211"/>
    </row>
    <row r="65" spans="1:5" x14ac:dyDescent="0.3">
      <c r="A65" s="15">
        <v>2.2000000000000002</v>
      </c>
      <c r="B65" s="49" t="s">
        <v>104</v>
      </c>
      <c r="C65" s="364"/>
      <c r="D65" s="44"/>
      <c r="E65" s="211"/>
    </row>
    <row r="66" spans="1:5" x14ac:dyDescent="0.3">
      <c r="A66" s="15">
        <v>2.2999999999999998</v>
      </c>
      <c r="B66" s="49" t="s">
        <v>103</v>
      </c>
      <c r="C66" s="364"/>
      <c r="D66" s="44"/>
      <c r="E66" s="211"/>
    </row>
    <row r="67" spans="1:5" x14ac:dyDescent="0.3">
      <c r="A67" s="15">
        <v>2.4</v>
      </c>
      <c r="B67" s="49" t="s">
        <v>105</v>
      </c>
      <c r="C67" s="364"/>
      <c r="D67" s="44"/>
      <c r="E67" s="211"/>
    </row>
    <row r="68" spans="1:5" x14ac:dyDescent="0.3">
      <c r="A68" s="15">
        <v>2.5</v>
      </c>
      <c r="B68" s="49" t="s">
        <v>101</v>
      </c>
      <c r="C68" s="364"/>
      <c r="D68" s="44"/>
      <c r="E68" s="211"/>
    </row>
    <row r="69" spans="1:5" x14ac:dyDescent="0.3">
      <c r="A69" s="15">
        <v>2.6</v>
      </c>
      <c r="B69" s="49" t="s">
        <v>102</v>
      </c>
      <c r="C69" s="364"/>
      <c r="D69" s="44"/>
      <c r="E69" s="211"/>
    </row>
    <row r="70" spans="1:5" s="2" customFormat="1" x14ac:dyDescent="0.3">
      <c r="A70" s="13">
        <v>3</v>
      </c>
      <c r="B70" s="360" t="s">
        <v>460</v>
      </c>
      <c r="C70" s="363"/>
      <c r="D70" s="361"/>
      <c r="E70" s="162"/>
    </row>
    <row r="71" spans="1:5" s="2" customFormat="1" x14ac:dyDescent="0.3">
      <c r="A71" s="13">
        <v>4</v>
      </c>
      <c r="B71" s="13" t="s">
        <v>255</v>
      </c>
      <c r="C71" s="363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58" t="s">
        <v>285</v>
      </c>
      <c r="C74" s="8"/>
      <c r="D74" s="127"/>
      <c r="E74" s="162"/>
    </row>
    <row r="75" spans="1:5" s="2" customFormat="1" ht="30" x14ac:dyDescent="0.3">
      <c r="A75" s="13">
        <v>6</v>
      </c>
      <c r="B75" s="358" t="s">
        <v>471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472</v>
      </c>
      <c r="C79" s="8"/>
      <c r="D79" s="8"/>
      <c r="E79" s="162"/>
    </row>
    <row r="80" spans="1:5" s="2" customFormat="1" x14ac:dyDescent="0.3">
      <c r="A80" s="15">
        <v>6.5</v>
      </c>
      <c r="B80" s="15" t="s">
        <v>473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2016-04-04T12:52:52Z</dcterms:modified>
</cp:coreProperties>
</file>