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 " sheetId="56" r:id="rId11"/>
    <sheet name="ფორმა 5.2 " sheetId="57" r:id="rId12"/>
    <sheet name="ფორმა N5.3" sheetId="44" r:id="rId13"/>
    <sheet name="ფორმა 5.4" sheetId="45" r:id="rId14"/>
    <sheet name="ფორმა 5.5 " sheetId="58" r:id="rId15"/>
    <sheet name="ფორმა N6" sheetId="5" r:id="rId16"/>
    <sheet name="ფორმა N6.1" sheetId="28" r:id="rId17"/>
    <sheet name="ფორმა N7" sheetId="12" r:id="rId18"/>
    <sheet name="ფორმა N8" sheetId="5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 " sheetId="60" r:id="rId26"/>
    <sheet name="ფორმა 9.6 " sheetId="61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14" hidden="1">'ფორმა 5.5 '!$9:$920</definedName>
    <definedName name="_xlnm._FilterDatabase" localSheetId="0" hidden="1">'ფორმა N1'!$A$9:$L$1055</definedName>
    <definedName name="_xlnm._FilterDatabase" localSheetId="1" hidden="1">'ფორმა N2'!$A$8:$J$8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N4.1'!$B$9:$D$27</definedName>
    <definedName name="_xlnm._FilterDatabase" localSheetId="9" hidden="1">'ფორმა N5'!$A$8:$D$11</definedName>
    <definedName name="_xlnm._FilterDatabase" localSheetId="10" hidden="1">'ფორმა N5.1 '!$B$9:$D$23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1">#REF!</definedName>
    <definedName name="Date" localSheetId="13">#REF!</definedName>
    <definedName name="Date" localSheetId="14">#REF!</definedName>
    <definedName name="Date" localSheetId="23">#REF!</definedName>
    <definedName name="Date" localSheetId="25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18">#REF!</definedName>
    <definedName name="Date" localSheetId="28">#REF!</definedName>
    <definedName name="Date">#REF!</definedName>
    <definedName name="_xlnm.Print_Area" localSheetId="5">'ფორმა 4.2'!$A$1:$I$34</definedName>
    <definedName name="_xlnm.Print_Area" localSheetId="7">'ფორმა 4.4'!$A$1:$H$46</definedName>
    <definedName name="_xlnm.Print_Area" localSheetId="8">'ფორმა 4.5'!$A$1:$L$33</definedName>
    <definedName name="_xlnm.Print_Area" localSheetId="11">'ფორმა 5.2 '!$A$1:$I$43</definedName>
    <definedName name="_xlnm.Print_Area" localSheetId="13">'ფორმა 5.4'!$A$1:$H$41</definedName>
    <definedName name="_xlnm.Print_Area" localSheetId="14">'ფორმა 5.5 '!$A$1:$L$1080</definedName>
    <definedName name="_xlnm.Print_Area" localSheetId="23">'ფორმა 9.3'!$A$1:$G$28</definedName>
    <definedName name="_xlnm.Print_Area" localSheetId="24">'ფორმა 9.4'!$A$1:$K$666</definedName>
    <definedName name="_xlnm.Print_Area" localSheetId="25">'ფორმა 9.5 '!$A$1:$L$1278</definedName>
    <definedName name="_xlnm.Print_Area" localSheetId="26">'ფორმა 9.6 '!$A$1:$I$49</definedName>
    <definedName name="_xlnm.Print_Area" localSheetId="19">'ფორმა N 8.1'!$A$1:$H$47</definedName>
    <definedName name="_xlnm.Print_Area" localSheetId="27">'ფორმა N 9.7'!$A$1:$I$137</definedName>
    <definedName name="_xlnm.Print_Area" localSheetId="0">'ფორმა N1'!$A$1:$L$1078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N4.1'!$A$1:$D$43</definedName>
    <definedName name="_xlnm.Print_Area" localSheetId="9">'ფორმა N5'!$A$1:$D$86</definedName>
    <definedName name="_xlnm.Print_Area" localSheetId="10">'ფორმა N5.1 '!$A$1:$D$51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N8'!$A$1:$J$26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N9.2'!$A$1:$I$29</definedName>
    <definedName name="_xlnm.Print_Area" localSheetId="28">'ფორმა N9.7.1'!$A$1:$N$42</definedName>
  </definedNames>
  <calcPr calcId="145621"/>
</workbook>
</file>

<file path=xl/calcChain.xml><?xml version="1.0" encoding="utf-8"?>
<calcChain xmlns="http://schemas.openxmlformats.org/spreadsheetml/2006/main">
  <c r="S50" i="40" l="1"/>
  <c r="D18" i="40" l="1"/>
  <c r="C18" i="40"/>
  <c r="D13" i="26" l="1"/>
  <c r="C33" i="7"/>
  <c r="C34" i="7"/>
  <c r="H40" i="3" l="1"/>
  <c r="C35" i="47"/>
  <c r="C34" i="47"/>
  <c r="I127" i="35" l="1"/>
  <c r="M9" i="41" l="1"/>
  <c r="A5" i="61"/>
  <c r="A4" i="61"/>
  <c r="G153" i="60"/>
  <c r="A5" i="60"/>
  <c r="A4" i="60"/>
  <c r="J21" i="10"/>
  <c r="I21" i="10"/>
  <c r="G31" i="10"/>
  <c r="F31" i="10"/>
  <c r="E31" i="10"/>
  <c r="J31" i="10" s="1"/>
  <c r="D31" i="10"/>
  <c r="I31" i="10" s="1"/>
  <c r="E16" i="10"/>
  <c r="J16" i="10" s="1"/>
  <c r="D16" i="10"/>
  <c r="I16" i="10" s="1"/>
  <c r="E15" i="10"/>
  <c r="J15" i="10" s="1"/>
  <c r="D15" i="10"/>
  <c r="I15" i="10" s="1"/>
  <c r="D20" i="18"/>
  <c r="G12" i="59"/>
  <c r="H14" i="59"/>
  <c r="G14" i="59"/>
  <c r="H11" i="59"/>
  <c r="G11" i="59"/>
  <c r="H10" i="59"/>
  <c r="G10" i="59"/>
  <c r="BI15" i="59"/>
  <c r="BI14" i="59"/>
  <c r="BI11" i="59"/>
  <c r="BI10" i="59"/>
  <c r="H12" i="59"/>
  <c r="I12" i="59" s="1"/>
  <c r="BA12" i="59"/>
  <c r="AZ12" i="59"/>
  <c r="BB11" i="59"/>
  <c r="BB10" i="59"/>
  <c r="AW12" i="59"/>
  <c r="AW10" i="59"/>
  <c r="I15" i="59"/>
  <c r="AS14" i="59"/>
  <c r="AO14" i="59"/>
  <c r="AJ14" i="59"/>
  <c r="AE14" i="59"/>
  <c r="P12" i="59"/>
  <c r="AS11" i="59"/>
  <c r="AO11" i="59"/>
  <c r="AJ11" i="59"/>
  <c r="AE11" i="59"/>
  <c r="AS10" i="59"/>
  <c r="AO10" i="59"/>
  <c r="AJ10" i="59"/>
  <c r="AE10" i="59"/>
  <c r="Z10" i="59"/>
  <c r="U10" i="59"/>
  <c r="P10" i="59"/>
  <c r="A5" i="59"/>
  <c r="A4" i="59"/>
  <c r="I14" i="59" l="1"/>
  <c r="BB12" i="59"/>
  <c r="I11" i="59"/>
  <c r="I10" i="59"/>
  <c r="G47" i="12" l="1"/>
  <c r="C11" i="12"/>
  <c r="J1066" i="58"/>
  <c r="G1065" i="58"/>
  <c r="J1065" i="58" s="1"/>
  <c r="J1064" i="58"/>
  <c r="J1063" i="58"/>
  <c r="J1062" i="58"/>
  <c r="J1061" i="58"/>
  <c r="J1060" i="58"/>
  <c r="J1059" i="58"/>
  <c r="J1057" i="58"/>
  <c r="J1056" i="58"/>
  <c r="J1055" i="58"/>
  <c r="J1054" i="58"/>
  <c r="J1053" i="58"/>
  <c r="J1052" i="58"/>
  <c r="J1051" i="58"/>
  <c r="J1050" i="58"/>
  <c r="J1049" i="58"/>
  <c r="J1048" i="58"/>
  <c r="J1047" i="58"/>
  <c r="J1046" i="58"/>
  <c r="J1045" i="58"/>
  <c r="J1044" i="58"/>
  <c r="J1043" i="58"/>
  <c r="J1041" i="58"/>
  <c r="J1040" i="58"/>
  <c r="J1039" i="58"/>
  <c r="J1038" i="58"/>
  <c r="J1037" i="58"/>
  <c r="J1036" i="58"/>
  <c r="J1035" i="58"/>
  <c r="J1034" i="58"/>
  <c r="J1033" i="58"/>
  <c r="J1032" i="58"/>
  <c r="J1031" i="58"/>
  <c r="J1030" i="58"/>
  <c r="J1029" i="58"/>
  <c r="J1028" i="58"/>
  <c r="J1027" i="58"/>
  <c r="J1026" i="58"/>
  <c r="J1025" i="58"/>
  <c r="J1024" i="58"/>
  <c r="J1023" i="58"/>
  <c r="J1022" i="58"/>
  <c r="J1021" i="58"/>
  <c r="J1020" i="58"/>
  <c r="J1019" i="58"/>
  <c r="J1018" i="58"/>
  <c r="J1017" i="58"/>
  <c r="J1016" i="58"/>
  <c r="J1015" i="58"/>
  <c r="J1014" i="58"/>
  <c r="J1013" i="58"/>
  <c r="J1012" i="58"/>
  <c r="J1011" i="58"/>
  <c r="J1010" i="58"/>
  <c r="J1009" i="58"/>
  <c r="J1008" i="58"/>
  <c r="J1007" i="58"/>
  <c r="J1006" i="58"/>
  <c r="J1005" i="58"/>
  <c r="J1004" i="58"/>
  <c r="J1003" i="58"/>
  <c r="J1002" i="58"/>
  <c r="J1001" i="58"/>
  <c r="J1000" i="58"/>
  <c r="J999" i="58"/>
  <c r="J998" i="58"/>
  <c r="J997" i="58"/>
  <c r="J996" i="58"/>
  <c r="J994" i="58"/>
  <c r="J993" i="58"/>
  <c r="J992" i="58"/>
  <c r="J990" i="58"/>
  <c r="J989" i="58"/>
  <c r="J988" i="58"/>
  <c r="J986" i="58"/>
  <c r="J974" i="58"/>
  <c r="J973" i="58"/>
  <c r="J971" i="58"/>
  <c r="J970" i="58"/>
  <c r="J969" i="58"/>
  <c r="J958" i="58"/>
  <c r="J957" i="58"/>
  <c r="J953" i="58"/>
  <c r="J952" i="58"/>
  <c r="J950" i="58"/>
  <c r="J948" i="58"/>
  <c r="J946" i="58"/>
  <c r="J941" i="58"/>
  <c r="J940" i="58"/>
  <c r="J938" i="58"/>
  <c r="J937" i="58"/>
  <c r="J934" i="58"/>
  <c r="J933" i="58"/>
  <c r="J930" i="58"/>
  <c r="J923" i="58"/>
  <c r="J922" i="58"/>
  <c r="J920" i="58"/>
  <c r="G919" i="58"/>
  <c r="J919" i="58" s="1"/>
  <c r="J918" i="58"/>
  <c r="J917" i="58"/>
  <c r="J916" i="58"/>
  <c r="J915" i="58"/>
  <c r="J914" i="58"/>
  <c r="J913" i="58"/>
  <c r="J912" i="58"/>
  <c r="J911" i="58"/>
  <c r="J910" i="58"/>
  <c r="J909" i="58"/>
  <c r="J908" i="58"/>
  <c r="J907" i="58"/>
  <c r="J906" i="58"/>
  <c r="J905" i="58"/>
  <c r="J904" i="58"/>
  <c r="J903" i="58"/>
  <c r="J902" i="58"/>
  <c r="J901" i="58"/>
  <c r="J900" i="58"/>
  <c r="J899" i="58"/>
  <c r="J898" i="58"/>
  <c r="J897" i="58"/>
  <c r="J896" i="58"/>
  <c r="J895" i="58"/>
  <c r="J894" i="58"/>
  <c r="J893" i="58"/>
  <c r="J892" i="58"/>
  <c r="J891" i="58"/>
  <c r="J890" i="58"/>
  <c r="J889" i="58"/>
  <c r="J888" i="58"/>
  <c r="J887" i="58"/>
  <c r="J886" i="58"/>
  <c r="J885" i="58"/>
  <c r="J884" i="58"/>
  <c r="J883" i="58"/>
  <c r="J882" i="58"/>
  <c r="J881" i="58"/>
  <c r="J880" i="58"/>
  <c r="J879" i="58"/>
  <c r="J878" i="58"/>
  <c r="J877" i="58"/>
  <c r="J876" i="58"/>
  <c r="J875" i="58"/>
  <c r="J874" i="58"/>
  <c r="J873" i="58"/>
  <c r="J872" i="58"/>
  <c r="J871" i="58"/>
  <c r="J870" i="58"/>
  <c r="J869" i="58"/>
  <c r="J868" i="58"/>
  <c r="J867" i="58"/>
  <c r="J866" i="58"/>
  <c r="J865" i="58"/>
  <c r="J864" i="58"/>
  <c r="J863" i="58"/>
  <c r="J862" i="58"/>
  <c r="J861" i="58"/>
  <c r="J860" i="58"/>
  <c r="J859" i="58"/>
  <c r="J858" i="58"/>
  <c r="J857" i="58"/>
  <c r="J856" i="58"/>
  <c r="J855" i="58"/>
  <c r="J854" i="58"/>
  <c r="J853" i="58"/>
  <c r="J852" i="58"/>
  <c r="J851" i="58"/>
  <c r="J850" i="58"/>
  <c r="J849" i="58"/>
  <c r="J848" i="58"/>
  <c r="J847" i="58"/>
  <c r="J846" i="58"/>
  <c r="J845" i="58"/>
  <c r="J844" i="58"/>
  <c r="J843" i="58"/>
  <c r="J842" i="58"/>
  <c r="J841" i="58"/>
  <c r="J840" i="58"/>
  <c r="J839" i="58"/>
  <c r="J838" i="58"/>
  <c r="J837" i="58"/>
  <c r="J836" i="58"/>
  <c r="J835" i="58"/>
  <c r="J834" i="58"/>
  <c r="J833" i="58"/>
  <c r="J832" i="58"/>
  <c r="J831" i="58"/>
  <c r="J830" i="58"/>
  <c r="J829" i="58"/>
  <c r="J828" i="58"/>
  <c r="J827" i="58"/>
  <c r="J826" i="58"/>
  <c r="J825" i="58"/>
  <c r="J824" i="58"/>
  <c r="J823" i="58"/>
  <c r="J822" i="58"/>
  <c r="J821" i="58"/>
  <c r="J820" i="58"/>
  <c r="J819" i="58"/>
  <c r="J818" i="58"/>
  <c r="J817" i="58"/>
  <c r="J816" i="58"/>
  <c r="J815" i="58"/>
  <c r="J814" i="58"/>
  <c r="J813" i="58"/>
  <c r="J812" i="58"/>
  <c r="J811" i="58"/>
  <c r="J810" i="58"/>
  <c r="J809" i="58"/>
  <c r="J808" i="58"/>
  <c r="J807" i="58"/>
  <c r="J806" i="58"/>
  <c r="J805" i="58"/>
  <c r="J804" i="58"/>
  <c r="J803" i="58"/>
  <c r="J802" i="58"/>
  <c r="J801" i="58"/>
  <c r="J800" i="58"/>
  <c r="J799" i="58"/>
  <c r="J798" i="58"/>
  <c r="J797" i="58"/>
  <c r="J796" i="58"/>
  <c r="J795" i="58"/>
  <c r="J794" i="58"/>
  <c r="J793" i="58"/>
  <c r="J792" i="58"/>
  <c r="J791" i="58"/>
  <c r="J790" i="58"/>
  <c r="J789" i="58"/>
  <c r="J788" i="58"/>
  <c r="J787" i="58"/>
  <c r="J786" i="58"/>
  <c r="J785" i="58"/>
  <c r="J784" i="58"/>
  <c r="J783" i="58"/>
  <c r="J782" i="58"/>
  <c r="J781" i="58"/>
  <c r="J780" i="58"/>
  <c r="J779" i="58"/>
  <c r="J778" i="58"/>
  <c r="J777" i="58"/>
  <c r="J776" i="58"/>
  <c r="J775" i="58"/>
  <c r="J774" i="58"/>
  <c r="J773" i="58"/>
  <c r="J772" i="58"/>
  <c r="J771" i="58"/>
  <c r="J770" i="58"/>
  <c r="J769" i="58"/>
  <c r="J768" i="58"/>
  <c r="J767" i="58"/>
  <c r="J766" i="58"/>
  <c r="J765" i="58"/>
  <c r="J764" i="58"/>
  <c r="J763" i="58"/>
  <c r="J762" i="58"/>
  <c r="J761" i="58"/>
  <c r="J760" i="58"/>
  <c r="J759" i="58"/>
  <c r="J758" i="58"/>
  <c r="J757" i="58"/>
  <c r="J756" i="58"/>
  <c r="J755" i="58"/>
  <c r="J754" i="58"/>
  <c r="J753" i="58"/>
  <c r="J752" i="58"/>
  <c r="J751" i="58"/>
  <c r="J750" i="58"/>
  <c r="J749" i="58"/>
  <c r="J748" i="58"/>
  <c r="J747" i="58"/>
  <c r="J746" i="58"/>
  <c r="J745" i="58"/>
  <c r="J744" i="58"/>
  <c r="J743" i="58"/>
  <c r="J742" i="58"/>
  <c r="J741" i="58"/>
  <c r="J740" i="58"/>
  <c r="J739" i="58"/>
  <c r="J738" i="58"/>
  <c r="J737" i="58"/>
  <c r="J736" i="58"/>
  <c r="J735" i="58"/>
  <c r="J734" i="58"/>
  <c r="J733" i="58"/>
  <c r="J732" i="58"/>
  <c r="J731" i="58"/>
  <c r="J730" i="58"/>
  <c r="J729" i="58"/>
  <c r="J728" i="58"/>
  <c r="J727" i="58"/>
  <c r="J726" i="58"/>
  <c r="J725" i="58"/>
  <c r="J724" i="58"/>
  <c r="J723" i="58"/>
  <c r="J722" i="58"/>
  <c r="J721" i="58"/>
  <c r="J720" i="58"/>
  <c r="J719" i="58"/>
  <c r="J718" i="58"/>
  <c r="J717" i="58"/>
  <c r="J716" i="58"/>
  <c r="J715" i="58"/>
  <c r="J714" i="58"/>
  <c r="J713" i="58"/>
  <c r="J712" i="58"/>
  <c r="J711" i="58"/>
  <c r="J710" i="58"/>
  <c r="J709" i="58"/>
  <c r="J708" i="58"/>
  <c r="J707" i="58"/>
  <c r="J706" i="58"/>
  <c r="J705" i="58"/>
  <c r="J704" i="58"/>
  <c r="J703" i="58"/>
  <c r="J702" i="58"/>
  <c r="J701" i="58"/>
  <c r="J700" i="58"/>
  <c r="J699" i="58"/>
  <c r="J698" i="58"/>
  <c r="J697" i="58"/>
  <c r="J696" i="58"/>
  <c r="J695" i="58"/>
  <c r="J694" i="58"/>
  <c r="J693" i="58"/>
  <c r="J692" i="58"/>
  <c r="J691" i="58"/>
  <c r="J690" i="58"/>
  <c r="J689" i="58"/>
  <c r="J688" i="58"/>
  <c r="J687" i="58"/>
  <c r="J686" i="58"/>
  <c r="J685" i="58"/>
  <c r="J684" i="58"/>
  <c r="J683" i="58"/>
  <c r="J682" i="58"/>
  <c r="J681" i="58"/>
  <c r="J680" i="58"/>
  <c r="J679" i="58"/>
  <c r="J678" i="58"/>
  <c r="J677" i="58"/>
  <c r="J676" i="58"/>
  <c r="J675" i="58"/>
  <c r="J674" i="58"/>
  <c r="J673" i="58"/>
  <c r="J672" i="58"/>
  <c r="J671" i="58"/>
  <c r="J670" i="58"/>
  <c r="J669" i="58"/>
  <c r="J668" i="58"/>
  <c r="J667" i="58"/>
  <c r="J666" i="58"/>
  <c r="J665" i="58"/>
  <c r="J664" i="58"/>
  <c r="J663" i="58"/>
  <c r="J662" i="58"/>
  <c r="J661" i="58"/>
  <c r="J660" i="58"/>
  <c r="J659" i="58"/>
  <c r="J658" i="58"/>
  <c r="J657" i="58"/>
  <c r="J656" i="58"/>
  <c r="J655" i="58"/>
  <c r="J654" i="58"/>
  <c r="J653" i="58"/>
  <c r="J652" i="58"/>
  <c r="J651" i="58"/>
  <c r="J650" i="58"/>
  <c r="J649" i="58"/>
  <c r="J648" i="58"/>
  <c r="J647" i="58"/>
  <c r="J646" i="58"/>
  <c r="J645" i="58"/>
  <c r="J644" i="58"/>
  <c r="J643" i="58"/>
  <c r="J642" i="58"/>
  <c r="J641" i="58"/>
  <c r="J640" i="58"/>
  <c r="J639" i="58"/>
  <c r="J638" i="58"/>
  <c r="J637" i="58"/>
  <c r="J636" i="58"/>
  <c r="J635" i="58"/>
  <c r="J634" i="58"/>
  <c r="J633" i="58"/>
  <c r="J632" i="58"/>
  <c r="J631" i="58"/>
  <c r="J630" i="58"/>
  <c r="J629" i="58"/>
  <c r="J628" i="58"/>
  <c r="J627" i="58"/>
  <c r="J626" i="58"/>
  <c r="J625" i="58"/>
  <c r="J624" i="58"/>
  <c r="J623" i="58"/>
  <c r="J622" i="58"/>
  <c r="J621" i="58"/>
  <c r="J620" i="58"/>
  <c r="J619" i="58"/>
  <c r="J618" i="58"/>
  <c r="J617" i="58"/>
  <c r="J616" i="58"/>
  <c r="J615" i="58"/>
  <c r="J614" i="58"/>
  <c r="J613" i="58"/>
  <c r="J612" i="58"/>
  <c r="J611" i="58"/>
  <c r="J610" i="58"/>
  <c r="J609" i="58"/>
  <c r="J608" i="58"/>
  <c r="J607" i="58"/>
  <c r="J606" i="58"/>
  <c r="J605" i="58"/>
  <c r="J604" i="58"/>
  <c r="J603" i="58"/>
  <c r="J602" i="58"/>
  <c r="J601" i="58"/>
  <c r="J600" i="58"/>
  <c r="J599" i="58"/>
  <c r="J598" i="58"/>
  <c r="J597" i="58"/>
  <c r="J596" i="58"/>
  <c r="J595" i="58"/>
  <c r="J594" i="58"/>
  <c r="J593" i="58"/>
  <c r="J592" i="58"/>
  <c r="J591" i="58"/>
  <c r="J590" i="58"/>
  <c r="J589" i="58"/>
  <c r="J588" i="58"/>
  <c r="J587" i="58"/>
  <c r="J586" i="58"/>
  <c r="J585" i="58"/>
  <c r="J584" i="58"/>
  <c r="J583" i="58"/>
  <c r="J582" i="58"/>
  <c r="J581" i="58"/>
  <c r="J580" i="58"/>
  <c r="J579" i="58"/>
  <c r="J578" i="58"/>
  <c r="J577" i="58"/>
  <c r="J576" i="58"/>
  <c r="J575" i="58"/>
  <c r="J574" i="58"/>
  <c r="J573" i="58"/>
  <c r="J572" i="58"/>
  <c r="J571" i="58"/>
  <c r="J570" i="58"/>
  <c r="J569" i="58"/>
  <c r="J568" i="58"/>
  <c r="J567" i="58"/>
  <c r="J566" i="58"/>
  <c r="J565" i="58"/>
  <c r="J564" i="58"/>
  <c r="J563" i="58"/>
  <c r="J562" i="58"/>
  <c r="J561" i="58"/>
  <c r="J560" i="58"/>
  <c r="J559" i="58"/>
  <c r="J558" i="58"/>
  <c r="J557" i="58"/>
  <c r="J556" i="58"/>
  <c r="J555" i="58"/>
  <c r="J554" i="58"/>
  <c r="J553" i="58"/>
  <c r="J552" i="58"/>
  <c r="J551" i="58"/>
  <c r="J550" i="58"/>
  <c r="J548" i="58"/>
  <c r="J547" i="58"/>
  <c r="J544" i="58"/>
  <c r="J535" i="58"/>
  <c r="J522" i="58"/>
  <c r="J520" i="58"/>
  <c r="J519" i="58"/>
  <c r="J518" i="58"/>
  <c r="J516" i="58"/>
  <c r="J514" i="58"/>
  <c r="J513" i="58"/>
  <c r="J512" i="58"/>
  <c r="J511" i="58"/>
  <c r="J510" i="58"/>
  <c r="J508" i="58"/>
  <c r="J507" i="58"/>
  <c r="J506" i="58"/>
  <c r="J505" i="58"/>
  <c r="J504" i="58"/>
  <c r="J503" i="58"/>
  <c r="J502" i="58"/>
  <c r="J501" i="58"/>
  <c r="G500" i="58"/>
  <c r="J500" i="58" s="1"/>
  <c r="G499" i="58"/>
  <c r="J499" i="58" s="1"/>
  <c r="G498" i="58"/>
  <c r="J498" i="58" s="1"/>
  <c r="G497" i="58"/>
  <c r="J497" i="58" s="1"/>
  <c r="G496" i="58"/>
  <c r="J496" i="58" s="1"/>
  <c r="G495" i="58"/>
  <c r="J495" i="58" s="1"/>
  <c r="G494" i="58"/>
  <c r="J494" i="58" s="1"/>
  <c r="G493" i="58"/>
  <c r="J493" i="58" s="1"/>
  <c r="G492" i="58"/>
  <c r="J492" i="58" s="1"/>
  <c r="G491" i="58"/>
  <c r="J491" i="58" s="1"/>
  <c r="G490" i="58"/>
  <c r="J490" i="58" s="1"/>
  <c r="G489" i="58"/>
  <c r="J489" i="58" s="1"/>
  <c r="G488" i="58"/>
  <c r="J488" i="58" s="1"/>
  <c r="G487" i="58"/>
  <c r="J487" i="58" s="1"/>
  <c r="G486" i="58"/>
  <c r="J486" i="58" s="1"/>
  <c r="G485" i="58"/>
  <c r="J485" i="58" s="1"/>
  <c r="J484" i="58"/>
  <c r="J483" i="58"/>
  <c r="J482" i="58"/>
  <c r="J481" i="58"/>
  <c r="J480" i="58"/>
  <c r="J479" i="58"/>
  <c r="J478" i="58"/>
  <c r="J477" i="58"/>
  <c r="J476" i="58"/>
  <c r="J475" i="58"/>
  <c r="J474" i="58"/>
  <c r="J473" i="58"/>
  <c r="J472" i="58"/>
  <c r="J471" i="58"/>
  <c r="J470" i="58"/>
  <c r="J469" i="58"/>
  <c r="J468" i="58"/>
  <c r="J467" i="58"/>
  <c r="J466" i="58"/>
  <c r="J465" i="58"/>
  <c r="J464" i="58"/>
  <c r="J463" i="58"/>
  <c r="J462" i="58"/>
  <c r="J461" i="58"/>
  <c r="J460" i="58"/>
  <c r="J459" i="58"/>
  <c r="J458" i="58"/>
  <c r="J457" i="58"/>
  <c r="J456" i="58"/>
  <c r="J455" i="58"/>
  <c r="J454" i="58"/>
  <c r="J453" i="58"/>
  <c r="K452" i="58"/>
  <c r="J451" i="58"/>
  <c r="J450" i="58"/>
  <c r="J449" i="58"/>
  <c r="J448" i="58"/>
  <c r="J447" i="58"/>
  <c r="J446" i="58"/>
  <c r="J445" i="58"/>
  <c r="J444" i="58"/>
  <c r="J443" i="58"/>
  <c r="J442" i="58"/>
  <c r="J441" i="58"/>
  <c r="J440" i="58"/>
  <c r="J439" i="58"/>
  <c r="J438" i="58"/>
  <c r="J436" i="58"/>
  <c r="J435" i="58"/>
  <c r="J434" i="58"/>
  <c r="J433" i="58"/>
  <c r="J432" i="58"/>
  <c r="J431" i="58"/>
  <c r="J430" i="58"/>
  <c r="J429" i="58"/>
  <c r="J428" i="58"/>
  <c r="J427" i="58"/>
  <c r="J426" i="58"/>
  <c r="J425" i="58"/>
  <c r="J424" i="58"/>
  <c r="K423" i="58"/>
  <c r="J423" i="58"/>
  <c r="J422" i="58"/>
  <c r="K421" i="58"/>
  <c r="J421" i="58" s="1"/>
  <c r="K420" i="58"/>
  <c r="J420" i="58" s="1"/>
  <c r="K419" i="58"/>
  <c r="J419" i="58" s="1"/>
  <c r="K418" i="58"/>
  <c r="J418" i="58" s="1"/>
  <c r="K417" i="58"/>
  <c r="J417" i="58"/>
  <c r="K416" i="58"/>
  <c r="J416" i="58" s="1"/>
  <c r="J415" i="58"/>
  <c r="J414" i="58"/>
  <c r="K413" i="58"/>
  <c r="J413" i="58" s="1"/>
  <c r="K412" i="58"/>
  <c r="J412" i="58" s="1"/>
  <c r="K411" i="58"/>
  <c r="J411" i="58" s="1"/>
  <c r="K410" i="58"/>
  <c r="J410" i="58"/>
  <c r="K409" i="58"/>
  <c r="J409" i="58" s="1"/>
  <c r="K408" i="58"/>
  <c r="J408" i="58" s="1"/>
  <c r="J407" i="58"/>
  <c r="J406" i="58"/>
  <c r="J405" i="58"/>
  <c r="J404" i="58"/>
  <c r="J403" i="58"/>
  <c r="J402" i="58"/>
  <c r="J401" i="58"/>
  <c r="J400" i="58"/>
  <c r="J399" i="58"/>
  <c r="J398" i="58"/>
  <c r="J397" i="58"/>
  <c r="J396" i="58"/>
  <c r="J395" i="58"/>
  <c r="J394" i="58"/>
  <c r="J393" i="58"/>
  <c r="J392" i="58"/>
  <c r="J391" i="58"/>
  <c r="J390" i="58"/>
  <c r="J389" i="58"/>
  <c r="J388" i="58"/>
  <c r="J387" i="58"/>
  <c r="J386" i="58"/>
  <c r="J385" i="58"/>
  <c r="J384" i="58"/>
  <c r="J383" i="58"/>
  <c r="J382" i="58"/>
  <c r="J381" i="58"/>
  <c r="J380" i="58"/>
  <c r="J379" i="58"/>
  <c r="J378" i="58"/>
  <c r="J377" i="58"/>
  <c r="J376" i="58"/>
  <c r="J375" i="58"/>
  <c r="J374" i="58"/>
  <c r="J373" i="58"/>
  <c r="J372" i="58"/>
  <c r="J371" i="58"/>
  <c r="J370" i="58"/>
  <c r="J369" i="58"/>
  <c r="J368" i="58"/>
  <c r="J367" i="58"/>
  <c r="J366" i="58"/>
  <c r="J365" i="58"/>
  <c r="J364" i="58"/>
  <c r="J363" i="58"/>
  <c r="J362" i="58"/>
  <c r="J361" i="58"/>
  <c r="J360" i="58"/>
  <c r="J359" i="58"/>
  <c r="J358" i="58"/>
  <c r="J357" i="58"/>
  <c r="J356" i="58"/>
  <c r="J355" i="58"/>
  <c r="J354" i="58"/>
  <c r="J353" i="58"/>
  <c r="J352" i="58"/>
  <c r="J351" i="58"/>
  <c r="J350" i="58"/>
  <c r="J349" i="58"/>
  <c r="J348" i="58"/>
  <c r="J347" i="58"/>
  <c r="J346" i="58"/>
  <c r="J345" i="58"/>
  <c r="J344" i="58"/>
  <c r="J343" i="58"/>
  <c r="J342" i="58"/>
  <c r="J341" i="58"/>
  <c r="J340" i="58"/>
  <c r="J339" i="58"/>
  <c r="J338" i="58"/>
  <c r="J337" i="58"/>
  <c r="J336" i="58"/>
  <c r="J335" i="58"/>
  <c r="J334" i="58"/>
  <c r="J333" i="58"/>
  <c r="J332" i="58"/>
  <c r="J331" i="58"/>
  <c r="J330" i="58"/>
  <c r="J329" i="58"/>
  <c r="J328" i="58"/>
  <c r="J327" i="58"/>
  <c r="J326" i="58"/>
  <c r="J325" i="58"/>
  <c r="J324" i="58"/>
  <c r="J323" i="58"/>
  <c r="J322" i="58"/>
  <c r="J321" i="58"/>
  <c r="J320" i="58"/>
  <c r="J319" i="58"/>
  <c r="J318" i="58"/>
  <c r="J317" i="58"/>
  <c r="J316" i="58"/>
  <c r="J315" i="58"/>
  <c r="J314" i="58"/>
  <c r="J313" i="58"/>
  <c r="J312" i="58"/>
  <c r="J311" i="58"/>
  <c r="J310" i="58"/>
  <c r="J309" i="58"/>
  <c r="J308" i="58"/>
  <c r="J307" i="58"/>
  <c r="J306" i="58"/>
  <c r="J305" i="58"/>
  <c r="J304" i="58"/>
  <c r="J303" i="58"/>
  <c r="J302" i="58"/>
  <c r="J301" i="58"/>
  <c r="J300" i="58"/>
  <c r="J299" i="58"/>
  <c r="J298" i="58"/>
  <c r="J297" i="58"/>
  <c r="J296" i="58"/>
  <c r="J295" i="58"/>
  <c r="J294" i="58"/>
  <c r="J293" i="58"/>
  <c r="J292" i="58"/>
  <c r="J291" i="58"/>
  <c r="J290" i="58"/>
  <c r="J289" i="58"/>
  <c r="J288" i="58"/>
  <c r="K287" i="58"/>
  <c r="J287" i="58" s="1"/>
  <c r="K286" i="58"/>
  <c r="J286" i="58" s="1"/>
  <c r="K285" i="58"/>
  <c r="J285" i="58" s="1"/>
  <c r="J283" i="58"/>
  <c r="J282" i="58"/>
  <c r="J281" i="58"/>
  <c r="J280" i="58"/>
  <c r="K279" i="58"/>
  <c r="J279" i="58" s="1"/>
  <c r="K278" i="58"/>
  <c r="J278" i="58" s="1"/>
  <c r="J277" i="58"/>
  <c r="J276" i="58"/>
  <c r="J275" i="58"/>
  <c r="K274" i="58"/>
  <c r="J274" i="58" s="1"/>
  <c r="K273" i="58"/>
  <c r="J273" i="58"/>
  <c r="K272" i="58"/>
  <c r="J272" i="58" s="1"/>
  <c r="K271" i="58"/>
  <c r="J271" i="58"/>
  <c r="J270" i="58"/>
  <c r="J269" i="58"/>
  <c r="J268" i="58"/>
  <c r="J267" i="58"/>
  <c r="J266" i="58"/>
  <c r="J265" i="58"/>
  <c r="J264" i="58"/>
  <c r="J263" i="58"/>
  <c r="J262" i="58"/>
  <c r="J261" i="58"/>
  <c r="J260" i="58"/>
  <c r="J259" i="58"/>
  <c r="J258" i="58"/>
  <c r="J257" i="58"/>
  <c r="J256" i="58"/>
  <c r="J255" i="58"/>
  <c r="J254" i="58"/>
  <c r="J253" i="58"/>
  <c r="J252" i="58"/>
  <c r="J251" i="58"/>
  <c r="J250" i="58"/>
  <c r="J249" i="58"/>
  <c r="J248" i="58"/>
  <c r="J247" i="58"/>
  <c r="J246" i="58"/>
  <c r="J245" i="58"/>
  <c r="J244" i="58"/>
  <c r="J243" i="58"/>
  <c r="J242" i="58"/>
  <c r="J241" i="58"/>
  <c r="J240" i="58"/>
  <c r="J239" i="58"/>
  <c r="J238" i="58"/>
  <c r="J237" i="58"/>
  <c r="J236" i="58"/>
  <c r="J235" i="58"/>
  <c r="J234" i="58"/>
  <c r="J233" i="58"/>
  <c r="J232" i="58"/>
  <c r="J231" i="58"/>
  <c r="J230" i="58"/>
  <c r="J229" i="58"/>
  <c r="J228" i="58"/>
  <c r="J227" i="58"/>
  <c r="J226" i="58"/>
  <c r="J225" i="58"/>
  <c r="J224" i="58"/>
  <c r="J223" i="58"/>
  <c r="J222" i="58"/>
  <c r="J221" i="58"/>
  <c r="J220" i="58"/>
  <c r="J219" i="58"/>
  <c r="J218" i="58"/>
  <c r="J217" i="58"/>
  <c r="J216" i="58"/>
  <c r="J215" i="58"/>
  <c r="J214" i="58"/>
  <c r="J213" i="58"/>
  <c r="J212" i="58"/>
  <c r="J211" i="58"/>
  <c r="J210" i="58"/>
  <c r="J209" i="58"/>
  <c r="J208" i="58"/>
  <c r="J207" i="58"/>
  <c r="J206" i="58"/>
  <c r="J205" i="58"/>
  <c r="J204" i="58"/>
  <c r="J203" i="58"/>
  <c r="J202" i="58"/>
  <c r="J201" i="58"/>
  <c r="J200" i="58"/>
  <c r="J199" i="58"/>
  <c r="J198" i="58"/>
  <c r="J197" i="58"/>
  <c r="J196" i="58"/>
  <c r="J195" i="58"/>
  <c r="J194" i="58"/>
  <c r="J193" i="58"/>
  <c r="J192" i="58"/>
  <c r="J191" i="58"/>
  <c r="J190" i="58"/>
  <c r="J189" i="58"/>
  <c r="J188" i="58"/>
  <c r="J187" i="58"/>
  <c r="J186" i="58"/>
  <c r="J185" i="58"/>
  <c r="J184" i="58"/>
  <c r="J183" i="58"/>
  <c r="J182" i="58"/>
  <c r="J181" i="58"/>
  <c r="J180" i="58"/>
  <c r="J178" i="58"/>
  <c r="J177" i="58"/>
  <c r="J176" i="58"/>
  <c r="J175" i="58"/>
  <c r="J174" i="58"/>
  <c r="J173" i="58"/>
  <c r="J172" i="58"/>
  <c r="J171" i="58"/>
  <c r="J170" i="58"/>
  <c r="J169" i="58"/>
  <c r="J168" i="58"/>
  <c r="J167" i="58"/>
  <c r="J166" i="58"/>
  <c r="J165" i="58"/>
  <c r="J164" i="58"/>
  <c r="J163" i="58"/>
  <c r="J162" i="58"/>
  <c r="J161" i="58"/>
  <c r="J160" i="58"/>
  <c r="J159" i="58"/>
  <c r="J158" i="58"/>
  <c r="J157" i="58"/>
  <c r="J156" i="58"/>
  <c r="J155" i="58"/>
  <c r="J154" i="58"/>
  <c r="J153" i="58"/>
  <c r="J152" i="58"/>
  <c r="J151" i="58"/>
  <c r="J150" i="58"/>
  <c r="J149" i="58"/>
  <c r="J148" i="58"/>
  <c r="J147" i="58"/>
  <c r="J146" i="58"/>
  <c r="J145" i="58"/>
  <c r="J144" i="58"/>
  <c r="J143" i="58"/>
  <c r="J142" i="58"/>
  <c r="J141" i="58"/>
  <c r="J140" i="58"/>
  <c r="J139" i="58"/>
  <c r="J138" i="58"/>
  <c r="J137" i="58"/>
  <c r="J136" i="58"/>
  <c r="J135" i="58"/>
  <c r="J134" i="58"/>
  <c r="J133" i="58"/>
  <c r="J132" i="58"/>
  <c r="J131" i="58"/>
  <c r="J130" i="58"/>
  <c r="J129" i="58"/>
  <c r="J128" i="58"/>
  <c r="J127" i="58"/>
  <c r="J126" i="58"/>
  <c r="J125" i="58"/>
  <c r="J124" i="58"/>
  <c r="J123" i="58"/>
  <c r="J122" i="58"/>
  <c r="J121" i="58"/>
  <c r="J120" i="58"/>
  <c r="J119" i="58"/>
  <c r="J118" i="58"/>
  <c r="J117" i="58"/>
  <c r="J116" i="58"/>
  <c r="J115" i="58"/>
  <c r="J114" i="58"/>
  <c r="J113" i="58"/>
  <c r="J112" i="58"/>
  <c r="J111" i="58"/>
  <c r="J110" i="58"/>
  <c r="J109" i="58"/>
  <c r="J108" i="58"/>
  <c r="J107" i="58"/>
  <c r="J106" i="58"/>
  <c r="J105" i="58"/>
  <c r="J104" i="58"/>
  <c r="J103" i="58"/>
  <c r="J102" i="58"/>
  <c r="J101" i="58"/>
  <c r="J100" i="58"/>
  <c r="J99" i="58"/>
  <c r="J98" i="58"/>
  <c r="J97" i="58"/>
  <c r="J96" i="58"/>
  <c r="J95" i="58"/>
  <c r="J94" i="58"/>
  <c r="J93" i="58"/>
  <c r="J92" i="58"/>
  <c r="J91" i="58"/>
  <c r="J90" i="58"/>
  <c r="J89" i="58"/>
  <c r="J88" i="58"/>
  <c r="J87" i="58"/>
  <c r="J86" i="58"/>
  <c r="J85" i="58"/>
  <c r="J84" i="58"/>
  <c r="J83" i="58"/>
  <c r="J82" i="58"/>
  <c r="J81" i="58"/>
  <c r="J80" i="58"/>
  <c r="J79" i="58"/>
  <c r="J78" i="58"/>
  <c r="J77" i="58"/>
  <c r="J76" i="58"/>
  <c r="J75" i="58"/>
  <c r="J74" i="58"/>
  <c r="J73" i="58"/>
  <c r="J72" i="58"/>
  <c r="J71" i="58"/>
  <c r="J70" i="58"/>
  <c r="J69" i="58"/>
  <c r="J68" i="58"/>
  <c r="J67" i="58"/>
  <c r="J66" i="58"/>
  <c r="J65" i="58"/>
  <c r="J64" i="58"/>
  <c r="J63" i="58"/>
  <c r="J62" i="58"/>
  <c r="J61" i="58"/>
  <c r="J60" i="58"/>
  <c r="J59" i="58"/>
  <c r="J58" i="58"/>
  <c r="J57" i="58"/>
  <c r="J56" i="58"/>
  <c r="J55" i="58"/>
  <c r="J54" i="58"/>
  <c r="J53" i="58"/>
  <c r="J52" i="58"/>
  <c r="J51" i="58"/>
  <c r="J50" i="58"/>
  <c r="J49" i="58"/>
  <c r="J48" i="58"/>
  <c r="J47" i="58"/>
  <c r="J46" i="58"/>
  <c r="J45" i="58"/>
  <c r="J44" i="58"/>
  <c r="J43" i="58"/>
  <c r="J42" i="58"/>
  <c r="J41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A6" i="58"/>
  <c r="I26" i="44"/>
  <c r="H26" i="44"/>
  <c r="I25" i="44"/>
  <c r="H25" i="44"/>
  <c r="I24" i="44"/>
  <c r="H24" i="44"/>
  <c r="I23" i="44"/>
  <c r="H23" i="44"/>
  <c r="I20" i="44"/>
  <c r="H20" i="44"/>
  <c r="I19" i="44"/>
  <c r="H19" i="44"/>
  <c r="I18" i="44"/>
  <c r="H18" i="44"/>
  <c r="I16" i="44"/>
  <c r="H16" i="44"/>
  <c r="I15" i="44"/>
  <c r="H15" i="44"/>
  <c r="I14" i="44"/>
  <c r="H14" i="44"/>
  <c r="H35" i="57"/>
  <c r="G35" i="57"/>
  <c r="I35" i="57" s="1"/>
  <c r="H34" i="57"/>
  <c r="G34" i="57"/>
  <c r="I34" i="57" s="1"/>
  <c r="M33" i="57"/>
  <c r="L33" i="57"/>
  <c r="I33" i="57"/>
  <c r="M32" i="57"/>
  <c r="L32" i="57"/>
  <c r="I32" i="57"/>
  <c r="M31" i="57"/>
  <c r="L31" i="57"/>
  <c r="I31" i="57"/>
  <c r="M30" i="57"/>
  <c r="L30" i="57"/>
  <c r="I30" i="57"/>
  <c r="M29" i="57"/>
  <c r="L29" i="57"/>
  <c r="I29" i="57"/>
  <c r="M28" i="57"/>
  <c r="L28" i="57"/>
  <c r="H28" i="57"/>
  <c r="I28" i="57" s="1"/>
  <c r="G28" i="57"/>
  <c r="M27" i="57"/>
  <c r="L27" i="57"/>
  <c r="H27" i="57"/>
  <c r="I27" i="57" s="1"/>
  <c r="G27" i="57"/>
  <c r="M26" i="57"/>
  <c r="L26" i="57"/>
  <c r="H26" i="57"/>
  <c r="I26" i="57" s="1"/>
  <c r="G26" i="57"/>
  <c r="M25" i="57"/>
  <c r="L25" i="57"/>
  <c r="H25" i="57"/>
  <c r="I25" i="57" s="1"/>
  <c r="G25" i="57"/>
  <c r="M24" i="57"/>
  <c r="L24" i="57"/>
  <c r="H24" i="57"/>
  <c r="I24" i="57" s="1"/>
  <c r="G24" i="57"/>
  <c r="M23" i="57"/>
  <c r="L23" i="57"/>
  <c r="H23" i="57"/>
  <c r="I23" i="57" s="1"/>
  <c r="G23" i="57"/>
  <c r="M22" i="57"/>
  <c r="L22" i="57"/>
  <c r="H22" i="57"/>
  <c r="I22" i="57" s="1"/>
  <c r="G22" i="57"/>
  <c r="M21" i="57"/>
  <c r="L21" i="57"/>
  <c r="H21" i="57"/>
  <c r="I21" i="57" s="1"/>
  <c r="G21" i="57"/>
  <c r="M20" i="57"/>
  <c r="L20" i="57"/>
  <c r="H20" i="57"/>
  <c r="I20" i="57" s="1"/>
  <c r="G20" i="57"/>
  <c r="M19" i="57"/>
  <c r="L19" i="57"/>
  <c r="H19" i="57"/>
  <c r="I19" i="57" s="1"/>
  <c r="G19" i="57"/>
  <c r="M18" i="57"/>
  <c r="L18" i="57"/>
  <c r="H18" i="57"/>
  <c r="I18" i="57" s="1"/>
  <c r="G18" i="57"/>
  <c r="M17" i="57"/>
  <c r="L17" i="57"/>
  <c r="H17" i="57"/>
  <c r="I17" i="57" s="1"/>
  <c r="G17" i="57"/>
  <c r="M16" i="57"/>
  <c r="L16" i="57"/>
  <c r="H16" i="57"/>
  <c r="I16" i="57" s="1"/>
  <c r="G16" i="57"/>
  <c r="M15" i="57"/>
  <c r="L15" i="57"/>
  <c r="H15" i="57"/>
  <c r="I15" i="57" s="1"/>
  <c r="G15" i="57"/>
  <c r="M14" i="57"/>
  <c r="L14" i="57"/>
  <c r="H14" i="57"/>
  <c r="I14" i="57" s="1"/>
  <c r="G14" i="57"/>
  <c r="M13" i="57"/>
  <c r="L13" i="57"/>
  <c r="H13" i="57"/>
  <c r="I13" i="57" s="1"/>
  <c r="G13" i="57"/>
  <c r="M12" i="57"/>
  <c r="L12" i="57"/>
  <c r="H12" i="57"/>
  <c r="I12" i="57" s="1"/>
  <c r="G12" i="57"/>
  <c r="M11" i="57"/>
  <c r="L11" i="57"/>
  <c r="H11" i="57"/>
  <c r="I11" i="57" s="1"/>
  <c r="G11" i="57"/>
  <c r="M10" i="57"/>
  <c r="L10" i="57"/>
  <c r="H10" i="57"/>
  <c r="I10" i="57" s="1"/>
  <c r="G10" i="57"/>
  <c r="M9" i="57"/>
  <c r="L9" i="57"/>
  <c r="H9" i="57"/>
  <c r="I9" i="57" s="1"/>
  <c r="G9" i="57"/>
  <c r="M8" i="57"/>
  <c r="L8" i="57"/>
  <c r="H8" i="57"/>
  <c r="I8" i="57" s="1"/>
  <c r="G8" i="57"/>
  <c r="M7" i="57"/>
  <c r="L7" i="57"/>
  <c r="H7" i="57"/>
  <c r="I7" i="57" s="1"/>
  <c r="G7" i="57"/>
  <c r="M6" i="57"/>
  <c r="L6" i="57"/>
  <c r="H6" i="57"/>
  <c r="G6" i="57"/>
  <c r="M5" i="57"/>
  <c r="L5" i="57"/>
  <c r="M4" i="57"/>
  <c r="L4" i="57"/>
  <c r="A4" i="57"/>
  <c r="M3" i="57"/>
  <c r="L3" i="57"/>
  <c r="M2" i="57"/>
  <c r="L2" i="57"/>
  <c r="M1" i="57"/>
  <c r="L1" i="57"/>
  <c r="D23" i="56"/>
  <c r="C23" i="56"/>
  <c r="H82" i="47"/>
  <c r="H84" i="47" s="1"/>
  <c r="G82" i="47"/>
  <c r="G84" i="47" s="1"/>
  <c r="C24" i="56"/>
  <c r="C19" i="56"/>
  <c r="C30" i="56"/>
  <c r="C20" i="56"/>
  <c r="D27" i="56"/>
  <c r="C27" i="56"/>
  <c r="A5" i="56"/>
  <c r="A6" i="56"/>
  <c r="C10" i="56"/>
  <c r="D10" i="56"/>
  <c r="U10" i="56"/>
  <c r="Y10" i="56"/>
  <c r="M11" i="56"/>
  <c r="N11" i="56"/>
  <c r="Q11" i="56"/>
  <c r="R11" i="56"/>
  <c r="U11" i="56"/>
  <c r="Y11" i="56"/>
  <c r="Z11" i="56"/>
  <c r="AC11" i="56"/>
  <c r="AC12" i="56"/>
  <c r="AD12" i="56"/>
  <c r="AG12" i="56"/>
  <c r="N13" i="56"/>
  <c r="U13" i="56"/>
  <c r="Y13" i="56"/>
  <c r="Z13" i="56"/>
  <c r="Q14" i="56"/>
  <c r="R14" i="56"/>
  <c r="AC14" i="56"/>
  <c r="M15" i="56"/>
  <c r="U15" i="56"/>
  <c r="Y15" i="56"/>
  <c r="Q16" i="56"/>
  <c r="R16" i="56"/>
  <c r="AC16" i="56"/>
  <c r="AD16" i="56"/>
  <c r="C17" i="56"/>
  <c r="D17" i="56"/>
  <c r="D18" i="56"/>
  <c r="Q18" i="56"/>
  <c r="AG18" i="56"/>
  <c r="I19" i="56"/>
  <c r="J19" i="56"/>
  <c r="M19" i="56"/>
  <c r="Q19" i="56"/>
  <c r="U19" i="56"/>
  <c r="V19" i="56"/>
  <c r="Y19" i="56"/>
  <c r="Z19" i="56"/>
  <c r="AH19" i="56"/>
  <c r="AH22" i="56" s="1"/>
  <c r="V20" i="56"/>
  <c r="Z20" i="56"/>
  <c r="D29" i="56" s="1"/>
  <c r="AC20" i="56"/>
  <c r="AD20" i="56"/>
  <c r="AM20" i="56"/>
  <c r="AN20" i="56"/>
  <c r="C21" i="56"/>
  <c r="D21" i="56"/>
  <c r="Z21" i="56"/>
  <c r="C22" i="56"/>
  <c r="D22" i="56"/>
  <c r="M22" i="56"/>
  <c r="Q22" i="56"/>
  <c r="AG22" i="56"/>
  <c r="R24" i="56"/>
  <c r="D25" i="56"/>
  <c r="C26" i="56"/>
  <c r="D26" i="56"/>
  <c r="H27" i="56"/>
  <c r="C28" i="56"/>
  <c r="C29" i="56"/>
  <c r="AM29" i="56"/>
  <c r="AN30" i="56"/>
  <c r="C31" i="56"/>
  <c r="D31" i="56"/>
  <c r="C32" i="56"/>
  <c r="D32" i="56"/>
  <c r="D33" i="56"/>
  <c r="D34" i="56"/>
  <c r="C35" i="56"/>
  <c r="D35" i="56"/>
  <c r="AG35" i="56"/>
  <c r="AH35" i="56"/>
  <c r="C36" i="56"/>
  <c r="D36" i="56"/>
  <c r="AN38" i="56"/>
  <c r="D20" i="56" l="1"/>
  <c r="G20" i="56" s="1"/>
  <c r="G37" i="57"/>
  <c r="H37" i="57"/>
  <c r="Q24" i="56"/>
  <c r="AC24" i="56"/>
  <c r="N23" i="56"/>
  <c r="Y21" i="56"/>
  <c r="G22" i="56"/>
  <c r="D28" i="56"/>
  <c r="AD24" i="56"/>
  <c r="U20" i="56"/>
  <c r="M23" i="56"/>
  <c r="C38" i="56"/>
  <c r="D30" i="56"/>
  <c r="D19" i="56"/>
  <c r="G19" i="56" s="1"/>
  <c r="D24" i="56"/>
  <c r="G24" i="56" s="1"/>
  <c r="I6" i="57"/>
  <c r="I37" i="57" s="1"/>
  <c r="K44" i="56"/>
  <c r="AG40" i="56"/>
  <c r="G28" i="56"/>
  <c r="D38" i="56"/>
  <c r="AH40" i="56" l="1"/>
  <c r="L44" i="56"/>
  <c r="G5" i="47" l="1"/>
  <c r="C36" i="47"/>
  <c r="H2" i="47"/>
  <c r="H3" i="47"/>
  <c r="H4" i="47"/>
  <c r="H6" i="47"/>
  <c r="H7" i="47"/>
  <c r="H8" i="47"/>
  <c r="H12" i="47"/>
  <c r="H15" i="47"/>
  <c r="H16" i="47"/>
  <c r="H18" i="47"/>
  <c r="H19" i="47"/>
  <c r="H20" i="47"/>
  <c r="H22" i="47"/>
  <c r="H28" i="47"/>
  <c r="H30" i="47"/>
  <c r="H31" i="47"/>
  <c r="H33" i="47"/>
  <c r="H37" i="47"/>
  <c r="H40" i="47"/>
  <c r="H41" i="47"/>
  <c r="H43" i="47"/>
  <c r="H45" i="47"/>
  <c r="H51" i="47"/>
  <c r="H55" i="47"/>
  <c r="H56" i="47"/>
  <c r="H57" i="47"/>
  <c r="H59" i="47"/>
  <c r="H60" i="47"/>
  <c r="H61" i="47"/>
  <c r="H62" i="47"/>
  <c r="H63" i="47"/>
  <c r="H65" i="47"/>
  <c r="H66" i="47"/>
  <c r="H67" i="47"/>
  <c r="H68" i="47"/>
  <c r="H69" i="47"/>
  <c r="H70" i="47"/>
  <c r="H71" i="47"/>
  <c r="H73" i="47"/>
  <c r="H74" i="47"/>
  <c r="H75" i="47"/>
  <c r="G2" i="47"/>
  <c r="G3" i="47"/>
  <c r="G4" i="47"/>
  <c r="G6" i="47"/>
  <c r="G7" i="47"/>
  <c r="G8" i="47"/>
  <c r="G12" i="47"/>
  <c r="G15" i="47"/>
  <c r="G16" i="47"/>
  <c r="G18" i="47"/>
  <c r="G19" i="47"/>
  <c r="G20" i="47"/>
  <c r="G22" i="47"/>
  <c r="G28" i="47"/>
  <c r="G30" i="47"/>
  <c r="G31" i="47"/>
  <c r="G37" i="47"/>
  <c r="G40" i="47"/>
  <c r="G43" i="47"/>
  <c r="G45" i="47"/>
  <c r="G51" i="47"/>
  <c r="G54" i="47"/>
  <c r="G55" i="47"/>
  <c r="G56" i="47"/>
  <c r="G57" i="47"/>
  <c r="G59" i="47"/>
  <c r="G60" i="47"/>
  <c r="G61" i="47"/>
  <c r="G62" i="47"/>
  <c r="G64" i="47"/>
  <c r="G65" i="47"/>
  <c r="G66" i="47"/>
  <c r="G67" i="47"/>
  <c r="G68" i="47"/>
  <c r="G69" i="47"/>
  <c r="G70" i="47"/>
  <c r="G71" i="47"/>
  <c r="G73" i="47"/>
  <c r="G74" i="47"/>
  <c r="G75" i="47"/>
  <c r="H1" i="47"/>
  <c r="G1" i="47"/>
  <c r="T72" i="47"/>
  <c r="S72" i="47"/>
  <c r="T64" i="47"/>
  <c r="T58" i="47"/>
  <c r="S58" i="47"/>
  <c r="T53" i="47"/>
  <c r="S53" i="47"/>
  <c r="T47" i="47"/>
  <c r="S47" i="47"/>
  <c r="T36" i="47"/>
  <c r="S36" i="47"/>
  <c r="T32" i="47"/>
  <c r="S32" i="47"/>
  <c r="T23" i="47"/>
  <c r="T17" i="47" s="1"/>
  <c r="S23" i="47"/>
  <c r="S17" i="47" s="1"/>
  <c r="T14" i="47"/>
  <c r="S14" i="47"/>
  <c r="T10" i="47"/>
  <c r="S10" i="47"/>
  <c r="Q72" i="47"/>
  <c r="P72" i="47"/>
  <c r="Q64" i="47"/>
  <c r="P63" i="47"/>
  <c r="G63" i="47" s="1"/>
  <c r="Q58" i="47"/>
  <c r="P58" i="47"/>
  <c r="Q54" i="47"/>
  <c r="Q53" i="47" s="1"/>
  <c r="P53" i="47"/>
  <c r="Q52" i="47"/>
  <c r="P52" i="47"/>
  <c r="Q50" i="47"/>
  <c r="H50" i="47" s="1"/>
  <c r="P50" i="47"/>
  <c r="G50" i="47" s="1"/>
  <c r="Q49" i="47"/>
  <c r="H49" i="47" s="1"/>
  <c r="P49" i="47"/>
  <c r="G49" i="47" s="1"/>
  <c r="Q48" i="47"/>
  <c r="H48" i="47" s="1"/>
  <c r="P48" i="47"/>
  <c r="G48" i="47" s="1"/>
  <c r="Q47" i="47"/>
  <c r="P47" i="47"/>
  <c r="Q46" i="47"/>
  <c r="H46" i="47" s="1"/>
  <c r="P46" i="47"/>
  <c r="G46" i="47" s="1"/>
  <c r="Q44" i="47"/>
  <c r="H44" i="47" s="1"/>
  <c r="P44" i="47"/>
  <c r="G44" i="47" s="1"/>
  <c r="P42" i="47"/>
  <c r="G42" i="47" s="1"/>
  <c r="P41" i="47"/>
  <c r="G41" i="47" s="1"/>
  <c r="Q39" i="47"/>
  <c r="H39" i="47" s="1"/>
  <c r="P39" i="47"/>
  <c r="G39" i="47" s="1"/>
  <c r="Q38" i="47"/>
  <c r="H38" i="47" s="1"/>
  <c r="P38" i="47"/>
  <c r="G38" i="47" s="1"/>
  <c r="Q36" i="47"/>
  <c r="P36" i="47"/>
  <c r="Q35" i="47"/>
  <c r="H35" i="47" s="1"/>
  <c r="P35" i="47"/>
  <c r="G35" i="47" s="1"/>
  <c r="Q34" i="47"/>
  <c r="Q32" i="47" s="1"/>
  <c r="P34" i="47"/>
  <c r="G34" i="47" s="1"/>
  <c r="P33" i="47"/>
  <c r="G33" i="47" s="1"/>
  <c r="P32" i="47"/>
  <c r="Q29" i="47"/>
  <c r="H29" i="47" s="1"/>
  <c r="P29" i="47"/>
  <c r="G29" i="47" s="1"/>
  <c r="Q27" i="47"/>
  <c r="H27" i="47" s="1"/>
  <c r="P27" i="47"/>
  <c r="G27" i="47" s="1"/>
  <c r="Q26" i="47"/>
  <c r="H26" i="47" s="1"/>
  <c r="P26" i="47"/>
  <c r="G26" i="47" s="1"/>
  <c r="Q25" i="47"/>
  <c r="H25" i="47" s="1"/>
  <c r="P25" i="47"/>
  <c r="G25" i="47" s="1"/>
  <c r="Q24" i="47"/>
  <c r="Q23" i="47" s="1"/>
  <c r="P24" i="47"/>
  <c r="P23" i="47" s="1"/>
  <c r="Q21" i="47"/>
  <c r="Q17" i="47" s="1"/>
  <c r="P21" i="47"/>
  <c r="G21" i="47" s="1"/>
  <c r="Q14" i="47"/>
  <c r="P14" i="47"/>
  <c r="Q11" i="47"/>
  <c r="Q10" i="47" s="1"/>
  <c r="P11" i="47"/>
  <c r="G11" i="47" s="1"/>
  <c r="P10" i="47"/>
  <c r="N72" i="47"/>
  <c r="M72" i="47"/>
  <c r="N64" i="47"/>
  <c r="N58" i="47"/>
  <c r="M58" i="47"/>
  <c r="N53" i="47"/>
  <c r="M53" i="47"/>
  <c r="N52" i="47"/>
  <c r="H52" i="47" s="1"/>
  <c r="M52" i="47"/>
  <c r="G52" i="47" s="1"/>
  <c r="N47" i="47"/>
  <c r="M47" i="47"/>
  <c r="N42" i="47"/>
  <c r="N36" i="47" s="1"/>
  <c r="M36" i="47"/>
  <c r="N32" i="47"/>
  <c r="M32" i="47"/>
  <c r="N23" i="47"/>
  <c r="M23" i="47"/>
  <c r="M17" i="47" s="1"/>
  <c r="N17" i="47"/>
  <c r="N14" i="47"/>
  <c r="M14" i="47"/>
  <c r="M13" i="47" s="1"/>
  <c r="N10" i="47"/>
  <c r="M10" i="47"/>
  <c r="K72" i="47"/>
  <c r="H72" i="47" s="1"/>
  <c r="J72" i="47"/>
  <c r="G72" i="47" s="1"/>
  <c r="K64" i="47"/>
  <c r="H64" i="47" s="1"/>
  <c r="K58" i="47"/>
  <c r="H58" i="47" s="1"/>
  <c r="J58" i="47"/>
  <c r="G58" i="47" s="1"/>
  <c r="K53" i="47"/>
  <c r="H53" i="47" s="1"/>
  <c r="J53" i="47"/>
  <c r="G53" i="47" s="1"/>
  <c r="K47" i="47"/>
  <c r="H47" i="47" s="1"/>
  <c r="J47" i="47"/>
  <c r="G47" i="47" s="1"/>
  <c r="K36" i="47"/>
  <c r="H36" i="47" s="1"/>
  <c r="J36" i="47"/>
  <c r="G36" i="47" s="1"/>
  <c r="K32" i="47"/>
  <c r="H32" i="47" s="1"/>
  <c r="J32" i="47"/>
  <c r="G32" i="47" s="1"/>
  <c r="K23" i="47"/>
  <c r="K17" i="47" s="1"/>
  <c r="H17" i="47" s="1"/>
  <c r="J23" i="47"/>
  <c r="J17" i="47" s="1"/>
  <c r="K14" i="47"/>
  <c r="H14" i="47" s="1"/>
  <c r="J14" i="47"/>
  <c r="G14" i="47" s="1"/>
  <c r="K10" i="47"/>
  <c r="H10" i="47" s="1"/>
  <c r="J10" i="47"/>
  <c r="G10" i="47" s="1"/>
  <c r="D41" i="40"/>
  <c r="I13" i="30"/>
  <c r="H13" i="30"/>
  <c r="I12" i="30"/>
  <c r="H12" i="30"/>
  <c r="I11" i="30"/>
  <c r="H11" i="30"/>
  <c r="I10" i="30"/>
  <c r="H10" i="30"/>
  <c r="I9" i="30"/>
  <c r="H9" i="30"/>
  <c r="H11" i="29"/>
  <c r="H10" i="29"/>
  <c r="H9" i="29"/>
  <c r="G11" i="29"/>
  <c r="I11" i="29" s="1"/>
  <c r="G10" i="29"/>
  <c r="I10" i="29" s="1"/>
  <c r="G9" i="29"/>
  <c r="I9" i="29" s="1"/>
  <c r="I12" i="29"/>
  <c r="P17" i="47" l="1"/>
  <c r="G17" i="47" s="1"/>
  <c r="N13" i="47"/>
  <c r="N9" i="47" s="1"/>
  <c r="G24" i="47"/>
  <c r="H23" i="47"/>
  <c r="H21" i="47"/>
  <c r="H11" i="47"/>
  <c r="Q13" i="47"/>
  <c r="Q9" i="47" s="1"/>
  <c r="G23" i="47"/>
  <c r="H54" i="47"/>
  <c r="H42" i="47"/>
  <c r="H34" i="47"/>
  <c r="H24" i="47"/>
  <c r="T13" i="47"/>
  <c r="T9" i="47" s="1"/>
  <c r="S13" i="47"/>
  <c r="S9" i="47" s="1"/>
  <c r="M9" i="47"/>
  <c r="K13" i="47"/>
  <c r="J13" i="47"/>
  <c r="P13" i="47" l="1"/>
  <c r="P9" i="47" s="1"/>
  <c r="J9" i="47"/>
  <c r="G9" i="47" s="1"/>
  <c r="G13" i="47"/>
  <c r="K9" i="47"/>
  <c r="H9" i="47" s="1"/>
  <c r="H13" i="47"/>
  <c r="D18" i="26"/>
  <c r="D14" i="26"/>
  <c r="D27" i="26"/>
  <c r="C22" i="26"/>
  <c r="H2" i="40"/>
  <c r="H3" i="40"/>
  <c r="H4" i="40"/>
  <c r="H5" i="40"/>
  <c r="H6" i="40"/>
  <c r="H7" i="40"/>
  <c r="H8" i="40"/>
  <c r="H9" i="40"/>
  <c r="H10" i="40"/>
  <c r="H14" i="40"/>
  <c r="H17" i="40"/>
  <c r="H18" i="40"/>
  <c r="H20" i="40"/>
  <c r="H21" i="40"/>
  <c r="H22" i="40"/>
  <c r="H24" i="40"/>
  <c r="H28" i="40"/>
  <c r="H30" i="40"/>
  <c r="H32" i="40"/>
  <c r="H33" i="40"/>
  <c r="H35" i="40"/>
  <c r="H39" i="40"/>
  <c r="H40" i="40"/>
  <c r="H41" i="40"/>
  <c r="H42" i="40"/>
  <c r="H43" i="40"/>
  <c r="H44" i="40"/>
  <c r="H45" i="40"/>
  <c r="H47" i="40"/>
  <c r="H48" i="40"/>
  <c r="H52" i="40"/>
  <c r="H53" i="40"/>
  <c r="H56" i="40"/>
  <c r="H57" i="40"/>
  <c r="H58" i="40"/>
  <c r="H59" i="40"/>
  <c r="H61" i="40"/>
  <c r="H62" i="40"/>
  <c r="H63" i="40"/>
  <c r="H64" i="40"/>
  <c r="H65" i="40"/>
  <c r="H67" i="40"/>
  <c r="H68" i="40"/>
  <c r="H69" i="40"/>
  <c r="H70" i="40"/>
  <c r="H71" i="40"/>
  <c r="H72" i="40"/>
  <c r="H73" i="40"/>
  <c r="H74" i="40"/>
  <c r="H76" i="40"/>
  <c r="H77" i="40"/>
  <c r="H78" i="40"/>
  <c r="G2" i="40"/>
  <c r="G3" i="40"/>
  <c r="G4" i="40"/>
  <c r="G5" i="40"/>
  <c r="G6" i="40"/>
  <c r="G7" i="40"/>
  <c r="G8" i="40"/>
  <c r="G9" i="40"/>
  <c r="G10" i="40"/>
  <c r="G13" i="40"/>
  <c r="G14" i="40"/>
  <c r="G17" i="40"/>
  <c r="G18" i="40"/>
  <c r="G20" i="40"/>
  <c r="G21" i="40"/>
  <c r="G22" i="40"/>
  <c r="G23" i="40"/>
  <c r="G24" i="40"/>
  <c r="G26" i="40"/>
  <c r="G27" i="40"/>
  <c r="G28" i="40"/>
  <c r="G29" i="40"/>
  <c r="G30" i="40"/>
  <c r="G31" i="40"/>
  <c r="G32" i="40"/>
  <c r="G33" i="40"/>
  <c r="G35" i="40"/>
  <c r="G36" i="40"/>
  <c r="G37" i="40"/>
  <c r="G39" i="40"/>
  <c r="G40" i="40"/>
  <c r="G41" i="40"/>
  <c r="G42" i="40"/>
  <c r="G43" i="40"/>
  <c r="G44" i="40"/>
  <c r="G45" i="40"/>
  <c r="G46" i="40"/>
  <c r="G47" i="40"/>
  <c r="G48" i="40"/>
  <c r="G51" i="40"/>
  <c r="G52" i="40"/>
  <c r="G53" i="40"/>
  <c r="G56" i="40"/>
  <c r="G57" i="40"/>
  <c r="G58" i="40"/>
  <c r="G59" i="40"/>
  <c r="G61" i="40"/>
  <c r="G62" i="40"/>
  <c r="G63" i="40"/>
  <c r="G64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H1" i="40"/>
  <c r="G1" i="40"/>
  <c r="T75" i="40"/>
  <c r="T66" i="40"/>
  <c r="S65" i="40"/>
  <c r="G65" i="40" s="1"/>
  <c r="T60" i="40"/>
  <c r="T55" i="40"/>
  <c r="S55" i="40"/>
  <c r="T54" i="40"/>
  <c r="H54" i="40" s="1"/>
  <c r="S54" i="40"/>
  <c r="G54" i="40" s="1"/>
  <c r="T51" i="40"/>
  <c r="H51" i="40" s="1"/>
  <c r="T50" i="40"/>
  <c r="S49" i="40"/>
  <c r="T46" i="40"/>
  <c r="H46" i="40" s="1"/>
  <c r="T38" i="40"/>
  <c r="S38" i="40"/>
  <c r="T37" i="40"/>
  <c r="H37" i="40" s="1"/>
  <c r="T36" i="40"/>
  <c r="T34" i="40" s="1"/>
  <c r="S34" i="40"/>
  <c r="T31" i="40"/>
  <c r="H31" i="40" s="1"/>
  <c r="T29" i="40"/>
  <c r="H29" i="40" s="1"/>
  <c r="T27" i="40"/>
  <c r="H27" i="40" s="1"/>
  <c r="T26" i="40"/>
  <c r="S25" i="40"/>
  <c r="T23" i="40"/>
  <c r="H23" i="40" s="1"/>
  <c r="S19" i="40"/>
  <c r="T16" i="40"/>
  <c r="S16" i="40"/>
  <c r="T13" i="40"/>
  <c r="H13" i="40" s="1"/>
  <c r="S12" i="40"/>
  <c r="Q75" i="40"/>
  <c r="Q66" i="40"/>
  <c r="Q60" i="40"/>
  <c r="P60" i="40"/>
  <c r="Q55" i="40"/>
  <c r="P55" i="40"/>
  <c r="Q49" i="40"/>
  <c r="P49" i="40"/>
  <c r="Q38" i="40"/>
  <c r="P38" i="40"/>
  <c r="Q34" i="40"/>
  <c r="P34" i="40"/>
  <c r="Q25" i="40"/>
  <c r="P25" i="40"/>
  <c r="P19" i="40" s="1"/>
  <c r="Q19" i="40"/>
  <c r="Q16" i="40"/>
  <c r="Q15" i="40" s="1"/>
  <c r="P16" i="40"/>
  <c r="Q12" i="40"/>
  <c r="P12" i="40"/>
  <c r="N75" i="40"/>
  <c r="N66" i="40"/>
  <c r="N60" i="40"/>
  <c r="M60" i="40"/>
  <c r="N55" i="40"/>
  <c r="M55" i="40"/>
  <c r="N49" i="40"/>
  <c r="M49" i="40"/>
  <c r="N38" i="40"/>
  <c r="M38" i="40"/>
  <c r="N34" i="40"/>
  <c r="M34" i="40"/>
  <c r="N25" i="40"/>
  <c r="M25" i="40"/>
  <c r="M19" i="40" s="1"/>
  <c r="N19" i="40"/>
  <c r="N16" i="40"/>
  <c r="M16" i="40"/>
  <c r="N12" i="40"/>
  <c r="M12" i="40"/>
  <c r="K75" i="40"/>
  <c r="H75" i="40" s="1"/>
  <c r="K66" i="40"/>
  <c r="K60" i="40"/>
  <c r="J60" i="40"/>
  <c r="K55" i="40"/>
  <c r="J55" i="40"/>
  <c r="K49" i="40"/>
  <c r="J49" i="40"/>
  <c r="K38" i="40"/>
  <c r="J38" i="40"/>
  <c r="G38" i="40" s="1"/>
  <c r="K34" i="40"/>
  <c r="J34" i="40"/>
  <c r="G34" i="40" s="1"/>
  <c r="K25" i="40"/>
  <c r="J25" i="40"/>
  <c r="J19" i="40" s="1"/>
  <c r="G19" i="40" s="1"/>
  <c r="K16" i="40"/>
  <c r="H16" i="40" s="1"/>
  <c r="J16" i="40"/>
  <c r="G16" i="40" s="1"/>
  <c r="K12" i="40"/>
  <c r="J12" i="40"/>
  <c r="D12" i="7"/>
  <c r="C12" i="7"/>
  <c r="H2" i="7"/>
  <c r="H3" i="7"/>
  <c r="H4" i="7"/>
  <c r="H5" i="7"/>
  <c r="H6" i="7"/>
  <c r="H7" i="7"/>
  <c r="H8" i="7"/>
  <c r="H20" i="7"/>
  <c r="H21" i="7"/>
  <c r="H22" i="7"/>
  <c r="H23" i="7"/>
  <c r="H24" i="7"/>
  <c r="H28" i="7"/>
  <c r="H29" i="7"/>
  <c r="H30" i="7"/>
  <c r="H32" i="7"/>
  <c r="H33" i="7"/>
  <c r="H34" i="7"/>
  <c r="H35" i="7"/>
  <c r="G2" i="7"/>
  <c r="G3" i="7"/>
  <c r="G4" i="7"/>
  <c r="G5" i="7"/>
  <c r="G6" i="7"/>
  <c r="G7" i="7"/>
  <c r="G8" i="7"/>
  <c r="G20" i="7"/>
  <c r="G21" i="7"/>
  <c r="G22" i="7"/>
  <c r="G23" i="7"/>
  <c r="G24" i="7"/>
  <c r="G28" i="7"/>
  <c r="G29" i="7"/>
  <c r="G30" i="7"/>
  <c r="G32" i="7"/>
  <c r="G33" i="7"/>
  <c r="G34" i="7"/>
  <c r="H1" i="7"/>
  <c r="G1" i="7"/>
  <c r="T26" i="7"/>
  <c r="S26" i="7"/>
  <c r="S25" i="7" s="1"/>
  <c r="G25" i="7" s="1"/>
  <c r="T25" i="7"/>
  <c r="T18" i="7"/>
  <c r="H18" i="7" s="1"/>
  <c r="S18" i="7"/>
  <c r="T15" i="7"/>
  <c r="H15" i="7" s="1"/>
  <c r="S15" i="7"/>
  <c r="G15" i="7" s="1"/>
  <c r="T12" i="7"/>
  <c r="S12" i="7"/>
  <c r="S10" i="7" s="1"/>
  <c r="T10" i="7"/>
  <c r="T9" i="7" s="1"/>
  <c r="P35" i="7"/>
  <c r="G35" i="7" s="1"/>
  <c r="Q31" i="7"/>
  <c r="H31" i="7" s="1"/>
  <c r="P31" i="7"/>
  <c r="G31" i="7" s="1"/>
  <c r="Q27" i="7"/>
  <c r="P27" i="7"/>
  <c r="P26" i="7" s="1"/>
  <c r="Q26" i="7"/>
  <c r="Q25" i="7"/>
  <c r="H25" i="7" s="1"/>
  <c r="Q19" i="7"/>
  <c r="P19" i="7"/>
  <c r="P18" i="7"/>
  <c r="G18" i="7" s="1"/>
  <c r="Q17" i="7"/>
  <c r="P17" i="7"/>
  <c r="P16" i="7" s="1"/>
  <c r="Q16" i="7"/>
  <c r="Q14" i="7"/>
  <c r="H14" i="7" s="1"/>
  <c r="Q13" i="7"/>
  <c r="Q12" i="7" s="1"/>
  <c r="Q11" i="7"/>
  <c r="P11" i="7"/>
  <c r="N27" i="7"/>
  <c r="M27" i="7"/>
  <c r="M26" i="7" s="1"/>
  <c r="N26" i="7"/>
  <c r="N19" i="7"/>
  <c r="M19" i="7"/>
  <c r="N17" i="7"/>
  <c r="N16" i="7" s="1"/>
  <c r="M17" i="7"/>
  <c r="M16" i="7"/>
  <c r="N13" i="7"/>
  <c r="N12" i="7" s="1"/>
  <c r="M13" i="7"/>
  <c r="N11" i="7"/>
  <c r="N10" i="7" s="1"/>
  <c r="M11" i="7"/>
  <c r="G11" i="7" s="1"/>
  <c r="K27" i="7"/>
  <c r="H27" i="7" s="1"/>
  <c r="J27" i="7"/>
  <c r="J26" i="7" s="1"/>
  <c r="G26" i="7" s="1"/>
  <c r="K26" i="7"/>
  <c r="H26" i="7" s="1"/>
  <c r="K19" i="7"/>
  <c r="H19" i="7" s="1"/>
  <c r="J19" i="7"/>
  <c r="G19" i="7" s="1"/>
  <c r="K17" i="7"/>
  <c r="K16" i="7" s="1"/>
  <c r="H16" i="7" s="1"/>
  <c r="J17" i="7"/>
  <c r="J16" i="7" s="1"/>
  <c r="G16" i="7" s="1"/>
  <c r="K12" i="7"/>
  <c r="K10" i="7" s="1"/>
  <c r="J12" i="7"/>
  <c r="D12" i="3"/>
  <c r="C12" i="3"/>
  <c r="H2" i="3"/>
  <c r="H3" i="3"/>
  <c r="H4" i="3"/>
  <c r="H5" i="3"/>
  <c r="H6" i="3"/>
  <c r="H7" i="3"/>
  <c r="H8" i="3"/>
  <c r="H14" i="3"/>
  <c r="H20" i="3"/>
  <c r="H21" i="3"/>
  <c r="H22" i="3"/>
  <c r="H23" i="3"/>
  <c r="H24" i="3"/>
  <c r="H28" i="3"/>
  <c r="H29" i="3"/>
  <c r="H30" i="3"/>
  <c r="H32" i="3"/>
  <c r="H33" i="3"/>
  <c r="H34" i="3"/>
  <c r="H35" i="3"/>
  <c r="G2" i="3"/>
  <c r="G3" i="3"/>
  <c r="G4" i="3"/>
  <c r="G5" i="3"/>
  <c r="G6" i="3"/>
  <c r="G7" i="3"/>
  <c r="G8" i="3"/>
  <c r="G14" i="3"/>
  <c r="G20" i="3"/>
  <c r="G21" i="3"/>
  <c r="G22" i="3"/>
  <c r="G23" i="3"/>
  <c r="G24" i="3"/>
  <c r="G28" i="3"/>
  <c r="G29" i="3"/>
  <c r="G32" i="3"/>
  <c r="G33" i="3"/>
  <c r="G34" i="3"/>
  <c r="G35" i="3"/>
  <c r="H1" i="3"/>
  <c r="G1" i="3"/>
  <c r="T27" i="3"/>
  <c r="T26" i="3" s="1"/>
  <c r="S27" i="3"/>
  <c r="S26" i="3" s="1"/>
  <c r="T19" i="3"/>
  <c r="S19" i="3"/>
  <c r="T16" i="3"/>
  <c r="S16" i="3"/>
  <c r="T12" i="3"/>
  <c r="T10" i="3" s="1"/>
  <c r="S12" i="3"/>
  <c r="S10" i="3" s="1"/>
  <c r="Q31" i="3"/>
  <c r="P31" i="3"/>
  <c r="Q27" i="3"/>
  <c r="Q26" i="3" s="1"/>
  <c r="P27" i="3"/>
  <c r="P26" i="3" s="1"/>
  <c r="Q19" i="3"/>
  <c r="P19" i="3"/>
  <c r="Q16" i="3"/>
  <c r="P16" i="3"/>
  <c r="Q12" i="3"/>
  <c r="P12" i="3"/>
  <c r="Q11" i="3"/>
  <c r="H11" i="3" s="1"/>
  <c r="P11" i="3"/>
  <c r="N31" i="3"/>
  <c r="M31" i="3"/>
  <c r="N27" i="3"/>
  <c r="M27" i="3"/>
  <c r="N19" i="3"/>
  <c r="M19" i="3"/>
  <c r="N16" i="3"/>
  <c r="M16" i="3"/>
  <c r="N13" i="3"/>
  <c r="N12" i="3" s="1"/>
  <c r="M13" i="3"/>
  <c r="M12" i="3" s="1"/>
  <c r="K31" i="3"/>
  <c r="H31" i="3" s="1"/>
  <c r="J31" i="3"/>
  <c r="G30" i="3" s="1"/>
  <c r="K27" i="3"/>
  <c r="J27" i="3"/>
  <c r="K19" i="3"/>
  <c r="H18" i="3" s="1"/>
  <c r="J19" i="3"/>
  <c r="K17" i="3"/>
  <c r="K16" i="3" s="1"/>
  <c r="J17" i="3"/>
  <c r="J16" i="3" s="1"/>
  <c r="G15" i="3" s="1"/>
  <c r="K12" i="3"/>
  <c r="J12" i="3"/>
  <c r="N15" i="40" l="1"/>
  <c r="G17" i="3"/>
  <c r="K9" i="7"/>
  <c r="M12" i="7"/>
  <c r="P14" i="7"/>
  <c r="G14" i="7" s="1"/>
  <c r="S9" i="7"/>
  <c r="H12" i="7"/>
  <c r="H34" i="40"/>
  <c r="H38" i="40"/>
  <c r="H60" i="40"/>
  <c r="T12" i="40"/>
  <c r="T49" i="40"/>
  <c r="H49" i="40" s="1"/>
  <c r="G55" i="40"/>
  <c r="G25" i="40"/>
  <c r="H17" i="3"/>
  <c r="G27" i="7"/>
  <c r="G17" i="7"/>
  <c r="H17" i="7"/>
  <c r="H13" i="7"/>
  <c r="H11" i="7"/>
  <c r="G12" i="40"/>
  <c r="H12" i="40"/>
  <c r="Q11" i="40"/>
  <c r="G49" i="40"/>
  <c r="H36" i="40"/>
  <c r="T25" i="40"/>
  <c r="T19" i="40" s="1"/>
  <c r="T15" i="40" s="1"/>
  <c r="G50" i="40"/>
  <c r="K19" i="40"/>
  <c r="H55" i="40"/>
  <c r="H66" i="40"/>
  <c r="H50" i="40"/>
  <c r="J15" i="40"/>
  <c r="J11" i="40" s="1"/>
  <c r="M15" i="40"/>
  <c r="P15" i="40"/>
  <c r="P11" i="40" s="1"/>
  <c r="S60" i="40"/>
  <c r="G60" i="40" s="1"/>
  <c r="H26" i="40"/>
  <c r="T11" i="40"/>
  <c r="S15" i="40"/>
  <c r="N11" i="40"/>
  <c r="M11" i="40"/>
  <c r="N9" i="7"/>
  <c r="M10" i="7"/>
  <c r="M9" i="7" s="1"/>
  <c r="Q10" i="7"/>
  <c r="Q9" i="7" s="1"/>
  <c r="P13" i="7"/>
  <c r="P12" i="7" s="1"/>
  <c r="P10" i="7" s="1"/>
  <c r="P9" i="7" s="1"/>
  <c r="J10" i="7"/>
  <c r="G19" i="3"/>
  <c r="G18" i="3"/>
  <c r="H15" i="3"/>
  <c r="K26" i="3"/>
  <c r="N10" i="3"/>
  <c r="H19" i="3"/>
  <c r="G16" i="3"/>
  <c r="G31" i="3"/>
  <c r="M10" i="3"/>
  <c r="G12" i="3"/>
  <c r="K10" i="3"/>
  <c r="J10" i="3"/>
  <c r="T9" i="3"/>
  <c r="G13" i="3"/>
  <c r="H16" i="3"/>
  <c r="N26" i="3"/>
  <c r="H27" i="3"/>
  <c r="H13" i="3"/>
  <c r="H12" i="3"/>
  <c r="G27" i="3"/>
  <c r="Q10" i="3"/>
  <c r="Q9" i="3" s="1"/>
  <c r="M26" i="3"/>
  <c r="P10" i="3"/>
  <c r="P9" i="3" s="1"/>
  <c r="G11" i="3"/>
  <c r="H26" i="3"/>
  <c r="J26" i="3"/>
  <c r="G25" i="3" s="1"/>
  <c r="S9" i="3"/>
  <c r="K9" i="3"/>
  <c r="G12" i="7" l="1"/>
  <c r="M9" i="3"/>
  <c r="N9" i="3"/>
  <c r="H9" i="7"/>
  <c r="J9" i="7"/>
  <c r="G9" i="7" s="1"/>
  <c r="G10" i="7"/>
  <c r="H10" i="7"/>
  <c r="G13" i="7"/>
  <c r="K15" i="40"/>
  <c r="H19" i="40"/>
  <c r="H25" i="40"/>
  <c r="G15" i="40"/>
  <c r="S11" i="40"/>
  <c r="G11" i="40" s="1"/>
  <c r="H10" i="3"/>
  <c r="G10" i="3"/>
  <c r="G26" i="3"/>
  <c r="H25" i="3"/>
  <c r="H9" i="3"/>
  <c r="J9" i="3"/>
  <c r="G9" i="3" s="1"/>
  <c r="H15" i="40" l="1"/>
  <c r="K11" i="40"/>
  <c r="H11" i="40" s="1"/>
  <c r="K21" i="55" l="1"/>
  <c r="A6" i="55"/>
  <c r="A5" i="41" l="1"/>
  <c r="A5" i="35"/>
  <c r="A5" i="33"/>
  <c r="A5" i="25"/>
  <c r="A5" i="17"/>
  <c r="A5" i="16"/>
  <c r="A5" i="10"/>
  <c r="A5" i="18"/>
  <c r="A5" i="12"/>
  <c r="A6" i="28"/>
  <c r="A6" i="5"/>
  <c r="A5" i="45"/>
  <c r="A5" i="44"/>
  <c r="A5" i="47"/>
  <c r="A5" i="34"/>
  <c r="A5" i="30"/>
  <c r="A5" i="29"/>
  <c r="A6" i="26"/>
  <c r="A7" i="40"/>
  <c r="A5" i="7"/>
  <c r="A5" i="3"/>
  <c r="I28" i="44" l="1"/>
  <c r="H28" i="44"/>
  <c r="D31" i="7" l="1"/>
  <c r="C31" i="7"/>
  <c r="D27" i="7"/>
  <c r="C27" i="7"/>
  <c r="C26" i="7" s="1"/>
  <c r="D26" i="7"/>
  <c r="D19" i="7"/>
  <c r="C19" i="7"/>
  <c r="D16" i="7"/>
  <c r="C16" i="7"/>
  <c r="C10" i="7" s="1"/>
  <c r="D10" i="7"/>
  <c r="D9" i="7" s="1"/>
  <c r="D31" i="3"/>
  <c r="C31" i="3"/>
  <c r="C9" i="7" l="1"/>
  <c r="D72" i="47"/>
  <c r="C72" i="47"/>
  <c r="D64" i="47"/>
  <c r="D58" i="47"/>
  <c r="C58" i="47"/>
  <c r="D53" i="47"/>
  <c r="C53" i="47"/>
  <c r="D47" i="47"/>
  <c r="C47" i="47"/>
  <c r="D36" i="47"/>
  <c r="F37" i="47" s="1"/>
  <c r="F38" i="47" s="1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H29" i="45"/>
  <c r="G29" i="45"/>
  <c r="D27" i="3" l="1"/>
  <c r="C27" i="3"/>
  <c r="D17" i="28" l="1"/>
  <c r="C17" i="28"/>
  <c r="I20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K5" i="47" l="1"/>
  <c r="H5" i="47" s="1"/>
  <c r="D11" i="40"/>
  <c r="H39" i="10"/>
  <c r="H36" i="10" s="1"/>
  <c r="H32" i="10"/>
  <c r="H24" i="10"/>
  <c r="H19" i="10"/>
  <c r="H17" i="10" s="1"/>
  <c r="H14" i="10"/>
  <c r="A4" i="35" l="1"/>
  <c r="H34" i="34" l="1"/>
  <c r="G34" i="34"/>
  <c r="A4" i="34"/>
  <c r="A4" i="33" l="1"/>
  <c r="I19" i="30" l="1"/>
  <c r="H19" i="30"/>
  <c r="A4" i="30"/>
  <c r="H20" i="29"/>
  <c r="G20" i="29"/>
  <c r="A4" i="29"/>
  <c r="A5" i="28" l="1"/>
  <c r="D29" i="26"/>
  <c r="C29" i="26"/>
  <c r="A5" i="26"/>
  <c r="G35" i="18" l="1"/>
  <c r="G34" i="18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A4" i="18"/>
  <c r="H10" i="10" l="1"/>
  <c r="H9" i="10" s="1"/>
  <c r="C64" i="12" l="1"/>
  <c r="D64" i="12"/>
  <c r="A4" i="17" l="1"/>
  <c r="A4" i="16"/>
  <c r="A4" i="10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C10" i="3" s="1"/>
  <c r="G45" i="12" l="1"/>
  <c r="D10" i="5"/>
  <c r="C10" i="5"/>
  <c r="C26" i="3"/>
  <c r="D10" i="3"/>
  <c r="B9" i="10"/>
  <c r="D10" i="12"/>
  <c r="D44" i="12"/>
  <c r="J9" i="10"/>
  <c r="D26" i="3"/>
  <c r="C10" i="12"/>
  <c r="C44" i="12"/>
  <c r="D9" i="10"/>
  <c r="F9" i="10"/>
  <c r="C9" i="3" l="1"/>
  <c r="H10" i="12" s="1"/>
  <c r="I10" i="12" s="1"/>
  <c r="D9" i="3"/>
  <c r="G14" i="12" s="1"/>
  <c r="G15" i="12" s="1"/>
</calcChain>
</file>

<file path=xl/sharedStrings.xml><?xml version="1.0" encoding="utf-8"?>
<sst xmlns="http://schemas.openxmlformats.org/spreadsheetml/2006/main" count="26340" uniqueCount="9913">
  <si>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</si>
  <si>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</si>
  <si>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</si>
  <si>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</si>
  <si>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</si>
  <si>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</si>
  <si>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</si>
  <si>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</si>
  <si>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</si>
  <si>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</si>
  <si>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</si>
  <si>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</si>
  <si>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</si>
  <si>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</si>
  <si>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</si>
  <si>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</si>
  <si>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</si>
  <si>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</si>
  <si>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</si>
  <si>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</si>
  <si>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</si>
  <si>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</si>
  <si>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</si>
  <si>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</si>
  <si>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</si>
  <si>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</si>
  <si>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</si>
  <si>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</si>
  <si>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</si>
  <si>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</si>
  <si>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</si>
  <si>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</si>
  <si>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</si>
  <si>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</si>
  <si>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</si>
  <si>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</si>
  <si>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</si>
  <si>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</si>
  <si>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</si>
  <si>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</si>
  <si>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</si>
  <si>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</si>
  <si>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</si>
  <si>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</si>
  <si>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</si>
  <si>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</si>
  <si>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</si>
  <si>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</si>
  <si>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</si>
  <si>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</si>
  <si>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</si>
  <si>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</si>
  <si>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</si>
  <si>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</si>
  <si>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</si>
  <si>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</si>
  <si>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</si>
  <si>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</si>
  <si>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</si>
  <si>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</si>
  <si>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</si>
  <si>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</si>
  <si>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</si>
  <si>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</si>
  <si>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</si>
  <si>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</si>
  <si>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</si>
  <si>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</si>
  <si>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</si>
  <si>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</si>
  <si>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</si>
  <si>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</si>
  <si>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</si>
  <si>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</si>
  <si>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</si>
  <si>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</si>
  <si>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</si>
  <si>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</si>
  <si>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</si>
  <si>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</si>
  <si>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</si>
  <si>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</si>
  <si>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</si>
  <si>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</si>
  <si>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</si>
  <si>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</si>
  <si>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</si>
  <si>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</si>
  <si>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</si>
  <si>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</si>
  <si>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</si>
  <si>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</si>
  <si>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</si>
  <si>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</si>
  <si>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</si>
  <si>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</si>
  <si>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</si>
  <si>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</si>
  <si>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</si>
  <si>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</si>
  <si>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</si>
  <si>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</si>
  <si>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</si>
  <si>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</si>
  <si>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</si>
  <si>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</si>
  <si>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</si>
  <si>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</si>
  <si>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</si>
  <si>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</si>
  <si>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</si>
  <si>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</si>
  <si>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</si>
  <si>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</si>
  <si>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</si>
  <si>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</si>
  <si>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</si>
  <si>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</si>
  <si>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</si>
  <si>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</si>
  <si>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</si>
  <si>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</si>
  <si>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</si>
  <si>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</si>
  <si>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</si>
  <si>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</si>
  <si>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</si>
  <si>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</si>
  <si>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</si>
  <si>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</si>
  <si>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</si>
  <si>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</si>
  <si>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</si>
  <si>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</si>
  <si>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</si>
  <si>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</si>
  <si>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</si>
  <si>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</si>
  <si>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</si>
  <si>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</si>
  <si>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</si>
  <si>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</si>
  <si>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</si>
  <si>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</si>
  <si>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</si>
  <si>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</si>
  <si>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</si>
  <si>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</si>
  <si>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</si>
  <si>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</si>
  <si>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</si>
  <si>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</si>
  <si>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</si>
  <si>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</si>
  <si>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</si>
  <si>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</si>
  <si>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</si>
  <si>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</si>
  <si>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</si>
  <si>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</si>
  <si>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</si>
  <si>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</si>
  <si>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</si>
  <si>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</si>
  <si>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</si>
  <si>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</si>
  <si>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</si>
  <si>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</si>
  <si>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</si>
  <si>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</si>
  <si>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</si>
  <si>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</si>
  <si>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</si>
  <si>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</si>
  <si>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</si>
  <si>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</si>
  <si>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</si>
  <si>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</si>
  <si>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</si>
  <si>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</si>
  <si>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</si>
  <si>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</si>
  <si>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</si>
  <si>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</si>
  <si>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</si>
  <si>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</si>
  <si>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</si>
  <si>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</si>
  <si>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</si>
  <si>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</si>
  <si>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</si>
  <si>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</si>
  <si>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</si>
  <si>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</si>
  <si>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</si>
  <si>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</si>
  <si>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</si>
  <si>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</si>
  <si>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</si>
  <si>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</si>
  <si>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</si>
  <si>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</si>
  <si>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</si>
  <si>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</si>
  <si>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</si>
  <si>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</si>
  <si>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</si>
  <si>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</si>
  <si>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</si>
  <si>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</si>
  <si>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</si>
  <si>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</si>
  <si>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</si>
  <si>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</si>
  <si>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</si>
  <si>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</si>
  <si>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</si>
  <si>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</si>
  <si>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</si>
  <si>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</si>
  <si>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</si>
  <si>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</si>
  <si>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</si>
  <si>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</si>
  <si>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</si>
  <si>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</si>
  <si>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</si>
  <si>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</si>
  <si>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</si>
  <si>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</si>
  <si>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</si>
  <si>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</si>
  <si>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</si>
  <si>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</si>
  <si>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</si>
  <si>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</si>
  <si>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</si>
  <si>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</si>
  <si>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</si>
  <si>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</si>
  <si>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</si>
  <si>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</si>
  <si>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</si>
  <si>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</si>
  <si>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</si>
  <si>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</si>
  <si>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</si>
  <si>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</si>
  <si>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</si>
  <si>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</si>
  <si>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</si>
  <si>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</si>
  <si>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</si>
  <si>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</si>
  <si>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</si>
  <si>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</si>
  <si>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</si>
  <si>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</si>
  <si>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</si>
  <si>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</si>
  <si>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</si>
  <si>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</si>
  <si>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</si>
  <si>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</si>
  <si>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</si>
  <si>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</si>
  <si>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</si>
  <si>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</si>
  <si>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</si>
  <si>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</si>
  <si>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</si>
  <si>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</si>
  <si>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</si>
  <si>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</si>
  <si>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</si>
  <si>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</si>
  <si>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</si>
  <si>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</si>
  <si>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</si>
  <si>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</si>
  <si>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</si>
  <si>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</si>
  <si>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</si>
  <si>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</si>
  <si>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</si>
  <si>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</si>
  <si>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</si>
  <si>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</si>
  <si>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</si>
  <si>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</si>
  <si>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</si>
  <si>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</si>
  <si>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</si>
  <si>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</si>
  <si>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</si>
  <si>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</si>
  <si>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</si>
  <si>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</si>
  <si>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</si>
  <si>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</si>
  <si>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</si>
  <si>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</si>
  <si>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</si>
  <si>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</si>
  <si>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</si>
  <si>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</si>
  <si>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</si>
  <si>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</si>
  <si>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</si>
  <si>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</si>
  <si>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</si>
  <si>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</si>
  <si>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</si>
  <si>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</si>
  <si>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</si>
  <si>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</si>
  <si>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</si>
  <si>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</si>
  <si>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</si>
  <si>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</si>
  <si>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</si>
  <si>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</si>
  <si>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</si>
  <si>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</si>
  <si>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</si>
  <si>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</si>
  <si>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</si>
  <si>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</si>
  <si>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</si>
  <si>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</si>
  <si>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</si>
  <si>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</si>
  <si>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</si>
  <si>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</si>
  <si>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</si>
  <si>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</si>
  <si>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</si>
  <si>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</si>
  <si>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</si>
  <si>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</si>
  <si>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</si>
  <si>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</si>
  <si>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</si>
  <si>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</si>
  <si>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</si>
  <si>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</si>
  <si>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</si>
  <si>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</si>
  <si>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</si>
  <si>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</si>
  <si>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</si>
  <si>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</si>
  <si>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</si>
  <si>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</si>
  <si>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</si>
  <si>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</si>
  <si>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</si>
  <si>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</si>
  <si>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</si>
  <si>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</si>
  <si>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</si>
  <si>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</si>
  <si>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</si>
  <si>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</si>
  <si>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</si>
  <si>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</si>
  <si>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</si>
  <si>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</si>
  <si>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</si>
  <si>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</si>
  <si>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</si>
  <si>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</si>
  <si>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</si>
  <si>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</si>
  <si>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</si>
  <si>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</si>
  <si>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</si>
  <si>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</si>
  <si>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</si>
  <si>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</si>
  <si>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</si>
  <si>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</si>
  <si>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</si>
  <si>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</si>
  <si>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</si>
  <si>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</si>
  <si>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</si>
  <si>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</si>
  <si>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</si>
  <si>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</si>
  <si>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</si>
  <si>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</si>
  <si>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</si>
  <si>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</si>
  <si>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</si>
  <si>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</si>
  <si>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</si>
  <si>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</si>
  <si>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</si>
  <si>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</si>
  <si>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</si>
  <si>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</si>
  <si>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</si>
  <si>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</si>
  <si>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</si>
  <si>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</si>
  <si>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</si>
  <si>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</si>
  <si>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</si>
  <si>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</si>
  <si>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</si>
  <si>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</si>
  <si>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</si>
  <si>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</si>
  <si>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</si>
  <si>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</si>
  <si>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</si>
  <si>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</si>
  <si>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</si>
  <si>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</si>
  <si>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</si>
  <si>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</si>
  <si>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</si>
  <si>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</si>
  <si>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</si>
  <si>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</si>
  <si>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</si>
  <si>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</si>
  <si>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</si>
  <si>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</si>
  <si>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</si>
  <si>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</si>
  <si>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</si>
  <si>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</si>
  <si>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</si>
  <si>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</si>
  <si>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</si>
  <si>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</si>
  <si>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</si>
  <si>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</si>
  <si>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</si>
  <si>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</si>
  <si>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</si>
  <si>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</si>
  <si>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</si>
  <si>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</si>
  <si>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</si>
  <si>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</si>
  <si>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</si>
  <si>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</si>
  <si>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</si>
  <si>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</si>
  <si>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</si>
  <si>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</si>
  <si>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</si>
  <si>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</si>
  <si>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</si>
  <si>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</si>
  <si>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</si>
  <si>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</si>
  <si>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</si>
  <si>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</si>
  <si>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</si>
  <si>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</si>
  <si>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</si>
  <si>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</si>
  <si>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</si>
  <si>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</si>
  <si>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</si>
  <si>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</si>
  <si>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</si>
  <si>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</si>
  <si>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</si>
  <si>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</si>
  <si>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</si>
  <si>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</si>
  <si>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</si>
  <si>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</si>
  <si>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</si>
  <si>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</si>
  <si>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</si>
  <si>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</si>
  <si>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</si>
  <si>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</si>
  <si>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</si>
  <si>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</si>
  <si>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</si>
  <si>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</si>
  <si>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</si>
  <si>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</si>
  <si>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</si>
  <si>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</si>
  <si>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</si>
  <si>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</si>
  <si>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</si>
  <si>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</si>
  <si>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</si>
  <si>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</si>
  <si>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</si>
  <si>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</si>
  <si>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</si>
  <si>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</si>
  <si>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</si>
  <si>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</si>
  <si>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</si>
  <si>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</si>
  <si>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</si>
  <si>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</si>
  <si>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</si>
  <si>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</si>
  <si>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</si>
  <si>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</si>
  <si>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</si>
  <si>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</si>
  <si>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მ.პ.გ. ქართული ოცნება - დემოკრატიული საქართველო</t>
  </si>
  <si>
    <t>01.01-31.12.2016</t>
  </si>
  <si>
    <t>01/15/2016</t>
  </si>
  <si>
    <t xml:space="preserve">დიმიტრი ჩქარეული </t>
  </si>
  <si>
    <t>62004015293</t>
  </si>
  <si>
    <t>GE62BG0000000854055400</t>
  </si>
  <si>
    <t>საქართველოს ბანკი</t>
  </si>
  <si>
    <t>01/14/2016</t>
  </si>
  <si>
    <t>ფულადი შემოწირულობა</t>
  </si>
  <si>
    <t xml:space="preserve">ალექსანდრე ალხაზიშვილი </t>
  </si>
  <si>
    <t>01012014702</t>
  </si>
  <si>
    <t>GE15CR0000002003753601</t>
  </si>
  <si>
    <t>ბანკი ქართუ</t>
  </si>
  <si>
    <t>არაფულადი შემოწირულობა</t>
  </si>
  <si>
    <t>ედმონდი მინაშვილი</t>
  </si>
  <si>
    <t>17001006279</t>
  </si>
  <si>
    <t>ქ. გარდაბანში, დ. აღმაშენებლის ქ. #70-ში ღონისძიების წაყვანა უსასყიდლოდ</t>
  </si>
  <si>
    <t>01/20/2016</t>
  </si>
  <si>
    <t>გიორგი ხარებაშვილი</t>
  </si>
  <si>
    <t>01029011433</t>
  </si>
  <si>
    <t>GE47CR0000002004083601</t>
  </si>
  <si>
    <t>04/06/2016</t>
  </si>
  <si>
    <t xml:space="preserve">ბიჭიკო პაიკიძე </t>
  </si>
  <si>
    <t>01004006857</t>
  </si>
  <si>
    <t>GE41CR0000002010023601</t>
  </si>
  <si>
    <t>ზვიად ჩხობაძე</t>
  </si>
  <si>
    <t>01004005023</t>
  </si>
  <si>
    <t>GE42CR0000002010003601</t>
  </si>
  <si>
    <t>დავით კაპანაძე</t>
  </si>
  <si>
    <t>54001016300</t>
  </si>
  <si>
    <t>GE89CR0000002010033601</t>
  </si>
  <si>
    <t>იოსებ ჭანჭალეიშვილი</t>
  </si>
  <si>
    <t>01004006789</t>
  </si>
  <si>
    <t>GE88CR0000002010053601</t>
  </si>
  <si>
    <t>ჰასან ბაირქათარ</t>
  </si>
  <si>
    <t>01024071102</t>
  </si>
  <si>
    <t>GE40CR0000002010043601</t>
  </si>
  <si>
    <t>ჯემალ ხატიაშვილი</t>
  </si>
  <si>
    <t>01001079648</t>
  </si>
  <si>
    <t>GE87CR0000002010073601</t>
  </si>
  <si>
    <t>ზაზა ჭაბუკიანი</t>
  </si>
  <si>
    <t>01017020921</t>
  </si>
  <si>
    <t>GE39CR0000002010063601</t>
  </si>
  <si>
    <t>04/15/2016</t>
  </si>
  <si>
    <t>დიმიტრი ჩქარეული</t>
  </si>
  <si>
    <t>04/20/2016</t>
  </si>
  <si>
    <t>გიორგი ბურჭულაძე</t>
  </si>
  <si>
    <t>01017006880</t>
  </si>
  <si>
    <t>GE22CR0030086128753601</t>
  </si>
  <si>
    <t>გიორგი ჯალაბაძე</t>
  </si>
  <si>
    <t>59001015934</t>
  </si>
  <si>
    <t>GE70CR0000002011383601</t>
  </si>
  <si>
    <t>05/05/2016</t>
  </si>
  <si>
    <t>ზურაბ გრძელიძე</t>
  </si>
  <si>
    <t>01007000269</t>
  </si>
  <si>
    <t>GE60CR0000009409773601</t>
  </si>
  <si>
    <t>ნიკოლოზ კაკილაშვილი</t>
  </si>
  <si>
    <t>01031001524</t>
  </si>
  <si>
    <t>GE11CR0000009409783601</t>
  </si>
  <si>
    <t>რევაზ გოგეშვილი</t>
  </si>
  <si>
    <t>01017031977</t>
  </si>
  <si>
    <t>GE59CR0000009409793601</t>
  </si>
  <si>
    <t>ოთარ მაჭარაშვილი</t>
  </si>
  <si>
    <t>01017004485</t>
  </si>
  <si>
    <t>GE10CR0000009409803601</t>
  </si>
  <si>
    <t>დავით ნიკოლეიშვილი</t>
  </si>
  <si>
    <t>01009007269</t>
  </si>
  <si>
    <t>GE58CR0000009409813601</t>
  </si>
  <si>
    <t>05/06/2016</t>
  </si>
  <si>
    <t>გიორგი ჭანტურია</t>
  </si>
  <si>
    <t>35001024567</t>
  </si>
  <si>
    <t>GE03CR0000009409943601</t>
  </si>
  <si>
    <t>ანა ზედგინიძე</t>
  </si>
  <si>
    <t>12001070731</t>
  </si>
  <si>
    <t>GE02CR0000009409963601</t>
  </si>
  <si>
    <t>თამაზი ტურავა</t>
  </si>
  <si>
    <t>35001127542</t>
  </si>
  <si>
    <t>GE51CR0000009409953601</t>
  </si>
  <si>
    <t>ალექსანდრე ხაჩიძე</t>
  </si>
  <si>
    <t>35001098142</t>
  </si>
  <si>
    <t>GE98CR0000009409983601</t>
  </si>
  <si>
    <t>ირაკლი სამუნაშვილი</t>
  </si>
  <si>
    <t>35001003535</t>
  </si>
  <si>
    <t>GE50CR0000009409973601</t>
  </si>
  <si>
    <t>05/11/2016</t>
  </si>
  <si>
    <t>გიორგი მაისურაძე</t>
  </si>
  <si>
    <t>01025011363</t>
  </si>
  <si>
    <t>GE13CR0000000888293601</t>
  </si>
  <si>
    <t>გიორგი სტურუა</t>
  </si>
  <si>
    <t>01017011056</t>
  </si>
  <si>
    <t>GE81CR0000009410323601</t>
  </si>
  <si>
    <t>შალვა კიკაბიძე</t>
  </si>
  <si>
    <t>01024034330</t>
  </si>
  <si>
    <t>GE32CR0000009410333601</t>
  </si>
  <si>
    <t>კახაბერი კალაძე</t>
  </si>
  <si>
    <t>36001002930</t>
  </si>
  <si>
    <t>GE80CR0000009410343601</t>
  </si>
  <si>
    <t>ზურაბ ჭანტურია</t>
  </si>
  <si>
    <t>01010014067</t>
  </si>
  <si>
    <t>GE31CR0000009410353601</t>
  </si>
  <si>
    <t>ლევან გოგლიძე</t>
  </si>
  <si>
    <t>01006010328</t>
  </si>
  <si>
    <t>GE30CR0000009410373601</t>
  </si>
  <si>
    <t>ოთარ ბუტიკაშვილი</t>
  </si>
  <si>
    <t>01001026845</t>
  </si>
  <si>
    <t>GE78CR0000009410383601</t>
  </si>
  <si>
    <t>ლევან ღლონტი</t>
  </si>
  <si>
    <t>01009016883</t>
  </si>
  <si>
    <t>GE77CR0000009410403601</t>
  </si>
  <si>
    <t>გიორგი აფხაზავა</t>
  </si>
  <si>
    <t>01008023145</t>
  </si>
  <si>
    <t>GE29CR0000009410393601</t>
  </si>
  <si>
    <t>არჩილ მესხი</t>
  </si>
  <si>
    <t>01009004056</t>
  </si>
  <si>
    <t>GE27CR0000009410433601</t>
  </si>
  <si>
    <t>დავით თორთლაძე</t>
  </si>
  <si>
    <t>01011005072</t>
  </si>
  <si>
    <t>GE26CR0000009410453601</t>
  </si>
  <si>
    <t>გიორგი გრიგოლია</t>
  </si>
  <si>
    <t>01025020017</t>
  </si>
  <si>
    <t>GE73CR0000009410483601</t>
  </si>
  <si>
    <t>ირაკლი მარღანია</t>
  </si>
  <si>
    <t>62005024977</t>
  </si>
  <si>
    <t>GE21CR0000009410553601</t>
  </si>
  <si>
    <t>ნატო ხაინდრავა</t>
  </si>
  <si>
    <t>01003011336</t>
  </si>
  <si>
    <t>GE75CR0000000016963601</t>
  </si>
  <si>
    <t>05/13/2016</t>
  </si>
  <si>
    <t>დავით გალუაშვილი</t>
  </si>
  <si>
    <t>12001031377</t>
  </si>
  <si>
    <t>GE11CR0000007118643601</t>
  </si>
  <si>
    <t>05/17/2016</t>
  </si>
  <si>
    <t>დავით ხარაიძე</t>
  </si>
  <si>
    <t>54001004147</t>
  </si>
  <si>
    <t>GE63CR0000000893113601</t>
  </si>
  <si>
    <t>გივი მალაშხია</t>
  </si>
  <si>
    <t>01008024846</t>
  </si>
  <si>
    <t>GE97CR0000009410973601</t>
  </si>
  <si>
    <t>დიმიტრი ცისკარიშვილი</t>
  </si>
  <si>
    <t>01008018650</t>
  </si>
  <si>
    <t>GE48CR0000009410983601</t>
  </si>
  <si>
    <t>ზურაბ გოგუა</t>
  </si>
  <si>
    <t>01010013094</t>
  </si>
  <si>
    <t>GE42CR0000007111233601</t>
  </si>
  <si>
    <t>გოჩა ჩიკვილაძე</t>
  </si>
  <si>
    <t>01023008103</t>
  </si>
  <si>
    <t>GE02CR0000000058193601</t>
  </si>
  <si>
    <t>05/18/2016</t>
  </si>
  <si>
    <t>ვახტანგ არაბული</t>
  </si>
  <si>
    <t>01025000402</t>
  </si>
  <si>
    <t>GE43CR0000000908063601</t>
  </si>
  <si>
    <t>ზურაბ ბურდული</t>
  </si>
  <si>
    <t>01004005799</t>
  </si>
  <si>
    <t>GE38CR0000000890703601</t>
  </si>
  <si>
    <t>მერაბ ივანაშვილი</t>
  </si>
  <si>
    <t>12001058920</t>
  </si>
  <si>
    <t>GE87CR0000000890693601</t>
  </si>
  <si>
    <t>გაგა ბუხრაშვილი</t>
  </si>
  <si>
    <t>54001001628</t>
  </si>
  <si>
    <t>GE17CR0000000892093601</t>
  </si>
  <si>
    <t>გივი ლებანიძე</t>
  </si>
  <si>
    <t>01001029463</t>
  </si>
  <si>
    <t>GE83CR0000000057543601</t>
  </si>
  <si>
    <t>მიხეილ ბეგიაშვილი</t>
  </si>
  <si>
    <t>01024023623</t>
  </si>
  <si>
    <t>GE22CR0000000028693601</t>
  </si>
  <si>
    <t>ანზორ აბრამიშვილი</t>
  </si>
  <si>
    <t>01025009236</t>
  </si>
  <si>
    <t>GE73CR0000000891943601</t>
  </si>
  <si>
    <t>გიორგი ქუთათელაძე</t>
  </si>
  <si>
    <t>35001012020</t>
  </si>
  <si>
    <t>GE89CR0000009411133601</t>
  </si>
  <si>
    <t>თამუნა დეკანოსიძე</t>
  </si>
  <si>
    <t>56001021675</t>
  </si>
  <si>
    <t>GE88CR0000009411153601</t>
  </si>
  <si>
    <t>ლაშა პარასტაშვილი</t>
  </si>
  <si>
    <t>35001032417</t>
  </si>
  <si>
    <t>GE39CR0000009411163601</t>
  </si>
  <si>
    <t>ანა შათირიშვილი</t>
  </si>
  <si>
    <t>35001096034</t>
  </si>
  <si>
    <t>GE40CR0000009411143601</t>
  </si>
  <si>
    <t>05/16/2016</t>
  </si>
  <si>
    <t>დავით ჯიქია</t>
  </si>
  <si>
    <t>53001058945</t>
  </si>
  <si>
    <t>წყალტუბო სოფელი მეორე უბანი შენობა-ნაგებობა #1 ს.კ. 29,05,38,009 ფართი 20კვ.მ უსასყიდლოდ სარგებლობა 7 დღით</t>
  </si>
  <si>
    <t>ლიანა კინწურაშვილი</t>
  </si>
  <si>
    <t>53001031331</t>
  </si>
  <si>
    <t>სოსო იობიძე</t>
  </si>
  <si>
    <t>53001006028</t>
  </si>
  <si>
    <t>წყალტუბო სოფელი ქვილიშორი ს.კ. 29,05,03,669 ფართი 50კვ.მ უსასყიდლოდ სარგებლობა 7 დღით</t>
  </si>
  <si>
    <t>05/19/2016</t>
  </si>
  <si>
    <t>ნადირაძე მანანა</t>
  </si>
  <si>
    <t>01026005854</t>
  </si>
  <si>
    <t>GE44CR0000000022433601</t>
  </si>
  <si>
    <t>კვარაცხელია ბექა</t>
  </si>
  <si>
    <t>01024015586</t>
  </si>
  <si>
    <t>GE65CR0000000054023601</t>
  </si>
  <si>
    <t>ძაგანია ბაჩანა</t>
  </si>
  <si>
    <t>29001029413</t>
  </si>
  <si>
    <t>GE93CR0000000932283601</t>
  </si>
  <si>
    <t>05/20/2016</t>
  </si>
  <si>
    <t>კამკამიძე ნატალია</t>
  </si>
  <si>
    <t>01008007223</t>
  </si>
  <si>
    <t>GE26CR0000009411423601</t>
  </si>
  <si>
    <t>კეტაშვილი გელა</t>
  </si>
  <si>
    <t>01019007589</t>
  </si>
  <si>
    <t>GE73CR0000009411453601</t>
  </si>
  <si>
    <t>ვაშაკიძე მანანა</t>
  </si>
  <si>
    <t>01024025875</t>
  </si>
  <si>
    <t>GE27CR0140000501073601</t>
  </si>
  <si>
    <t>თავაძე გიორგი</t>
  </si>
  <si>
    <t>01007007497</t>
  </si>
  <si>
    <t>GE24CR0000009411463601</t>
  </si>
  <si>
    <t>თევზაძე მიხეილ</t>
  </si>
  <si>
    <t>01017043118</t>
  </si>
  <si>
    <t>GE71CR0000009411493601</t>
  </si>
  <si>
    <t>კიკალიშვილი მათე</t>
  </si>
  <si>
    <t>19001100431</t>
  </si>
  <si>
    <t>GE23CR0000009411483601</t>
  </si>
  <si>
    <t>ჭანტურია თეონა</t>
  </si>
  <si>
    <t>01008005282</t>
  </si>
  <si>
    <t>GE22CR0000009411503601</t>
  </si>
  <si>
    <t>ნადირაშვილი ნინო</t>
  </si>
  <si>
    <t>01017011164</t>
  </si>
  <si>
    <t>GE16CR0000000855253601</t>
  </si>
  <si>
    <t>ბუჩუკური გიორგი</t>
  </si>
  <si>
    <t>01024053051</t>
  </si>
  <si>
    <t>GE69CR0000009411533601</t>
  </si>
  <si>
    <t>კაკოიშვილი ირაკლი</t>
  </si>
  <si>
    <t>21001002417</t>
  </si>
  <si>
    <t>GE21CR0000009411523601</t>
  </si>
  <si>
    <t>ნინიკელაშვილი მიხეილ</t>
  </si>
  <si>
    <t>01001033007</t>
  </si>
  <si>
    <t>GE20CR0000009411543601</t>
  </si>
  <si>
    <t>მღებრიშვილი ალექსანდრე</t>
  </si>
  <si>
    <t>01009006847</t>
  </si>
  <si>
    <t>GE70CR0000009411513601</t>
  </si>
  <si>
    <t>მიქაძე ქეთევან</t>
  </si>
  <si>
    <t>01018000083</t>
  </si>
  <si>
    <t>GE19CR0000009411563601</t>
  </si>
  <si>
    <t>მაღალდაძე ოთარ</t>
  </si>
  <si>
    <t>01012028848</t>
  </si>
  <si>
    <t>GE67CR0000009411573601</t>
  </si>
  <si>
    <t>ლურსმანაშვილი არჩილ</t>
  </si>
  <si>
    <t>01024051979</t>
  </si>
  <si>
    <t>GE18CR0000009411583601</t>
  </si>
  <si>
    <t>აბაზაშვილი დავით</t>
  </si>
  <si>
    <t>01008033640</t>
  </si>
  <si>
    <t>GE68CR0000009411553601</t>
  </si>
  <si>
    <t>თევზაძე ზურაბ</t>
  </si>
  <si>
    <t>01024003698</t>
  </si>
  <si>
    <t>GE98CR0000000010683601</t>
  </si>
  <si>
    <t>ბერაია ირაკლი</t>
  </si>
  <si>
    <t>58001000619</t>
  </si>
  <si>
    <t>GE67CR0000000022943601</t>
  </si>
  <si>
    <t>05/24/2016</t>
  </si>
  <si>
    <t>ნანა ბუხრაშვილი</t>
  </si>
  <si>
    <t>01024009910</t>
  </si>
  <si>
    <t>GE09CR0000009411763601</t>
  </si>
  <si>
    <t>ზურაბ რუსიშვილი</t>
  </si>
  <si>
    <t>01019000831</t>
  </si>
  <si>
    <t>GE65CR0000000021043601</t>
  </si>
  <si>
    <t>05/25/2016</t>
  </si>
  <si>
    <t>გიორგი მიქაბერიძე</t>
  </si>
  <si>
    <t>01007005351</t>
  </si>
  <si>
    <t>GE84CR0000007110393601</t>
  </si>
  <si>
    <t>დავით მათიკაშვილი</t>
  </si>
  <si>
    <t>01010002046</t>
  </si>
  <si>
    <t>GE62CR0000000002673601</t>
  </si>
  <si>
    <t>მიხეილ ხვედელიანი</t>
  </si>
  <si>
    <t>01010014761</t>
  </si>
  <si>
    <t>GE24CR0000007116443601</t>
  </si>
  <si>
    <t>რამაზ ჩიკვილაძე</t>
  </si>
  <si>
    <t>01022006779</t>
  </si>
  <si>
    <t>GE52CR0000009411873601</t>
  </si>
  <si>
    <t>ანზორ გაბიტაშვილი</t>
  </si>
  <si>
    <t>01009001597</t>
  </si>
  <si>
    <t>GE17CR0000000080203601</t>
  </si>
  <si>
    <t>ქეთევან ბოკუჩავა</t>
  </si>
  <si>
    <t>01017005563</t>
  </si>
  <si>
    <t>GE04CR0000009411863601</t>
  </si>
  <si>
    <t>გივი გიორგაძე</t>
  </si>
  <si>
    <t>01033000196</t>
  </si>
  <si>
    <t>GE03CR0000009411883601</t>
  </si>
  <si>
    <t>იუზა ჩაკვეტაძ</t>
  </si>
  <si>
    <t>01017002240</t>
  </si>
  <si>
    <t>GE86CR0030086104193601</t>
  </si>
  <si>
    <t>ედგარ კავთიევსკი</t>
  </si>
  <si>
    <t>01017037014</t>
  </si>
  <si>
    <t>GE02CR0000009411903601</t>
  </si>
  <si>
    <t>ირაკლი ვაშაკიძე</t>
  </si>
  <si>
    <t>01025002167</t>
  </si>
  <si>
    <t>GE51CR0000009411893601</t>
  </si>
  <si>
    <t>ელიკო ოდიკაძე</t>
  </si>
  <si>
    <t>01001018419</t>
  </si>
  <si>
    <t>GE98CR0000009411923601</t>
  </si>
  <si>
    <t>ბადრი თოდიძე</t>
  </si>
  <si>
    <t>01026002139</t>
  </si>
  <si>
    <t>GE50CR0000009411913601</t>
  </si>
  <si>
    <t>მინორა ლელაძე</t>
  </si>
  <si>
    <t>01017008835</t>
  </si>
  <si>
    <t>GE49CR0000009411933601</t>
  </si>
  <si>
    <t>გიორგი კოღუაშვილი</t>
  </si>
  <si>
    <t>01027016600</t>
  </si>
  <si>
    <t>GE97CR0000009411943601</t>
  </si>
  <si>
    <t>როსტომი ჩაბრაძე</t>
  </si>
  <si>
    <t>38001009653</t>
  </si>
  <si>
    <t>GE24CR0000000890013601</t>
  </si>
  <si>
    <t>05/27/2016</t>
  </si>
  <si>
    <t>ანასტასია აბაიაძე</t>
  </si>
  <si>
    <t>01024015477</t>
  </si>
  <si>
    <t>GE90CR0000009412083601</t>
  </si>
  <si>
    <t>ირაკლი ხიტირი</t>
  </si>
  <si>
    <t>01015007196</t>
  </si>
  <si>
    <t>GE41CR0000009412093601</t>
  </si>
  <si>
    <t>გიორგი ღლონტი</t>
  </si>
  <si>
    <t>01024007365</t>
  </si>
  <si>
    <t>GE87CR0000009412143601</t>
  </si>
  <si>
    <t>სერგო ჩხეიძე</t>
  </si>
  <si>
    <t>01026005190</t>
  </si>
  <si>
    <t>GE88CR0000009412123601</t>
  </si>
  <si>
    <t>თორნიკე ხუციშვილი</t>
  </si>
  <si>
    <t>04001014754</t>
  </si>
  <si>
    <t>GE39CR0000009412133601</t>
  </si>
  <si>
    <t>ანა დავითაია</t>
  </si>
  <si>
    <t>01031006802</t>
  </si>
  <si>
    <t>GE85CR0000009412183601</t>
  </si>
  <si>
    <t>გიორგი ჩიკვაიძე</t>
  </si>
  <si>
    <t>01008063699</t>
  </si>
  <si>
    <t>GE36CR0000009412193601</t>
  </si>
  <si>
    <t>06/02/2016</t>
  </si>
  <si>
    <t>ცეცხლაძე ბესიკ</t>
  </si>
  <si>
    <t>01022000757</t>
  </si>
  <si>
    <t>GE64CR0000009412603601</t>
  </si>
  <si>
    <t>მანაგაძე შოთა</t>
  </si>
  <si>
    <t>01007017306</t>
  </si>
  <si>
    <t>GE15CR0000009412613601</t>
  </si>
  <si>
    <t>06/03/2016</t>
  </si>
  <si>
    <t>ნებიერიძე მანანა</t>
  </si>
  <si>
    <t>01008011550</t>
  </si>
  <si>
    <t>GE61CR0000009412663601</t>
  </si>
  <si>
    <t>ვაშაძე ხათუნა</t>
  </si>
  <si>
    <t>01008014520</t>
  </si>
  <si>
    <t>GE12CR0000009412673601</t>
  </si>
  <si>
    <t>ქორიძე ვახტანგი</t>
  </si>
  <si>
    <t>01009007612</t>
  </si>
  <si>
    <t>GE13CR0000009412653601</t>
  </si>
  <si>
    <t>გიორგაძე რევაზ</t>
  </si>
  <si>
    <t>01031004574</t>
  </si>
  <si>
    <t>GE60CR0000009412683601</t>
  </si>
  <si>
    <t>06/08/2016</t>
  </si>
  <si>
    <t>ბექა კეტაშვილი</t>
  </si>
  <si>
    <t>01019063162</t>
  </si>
  <si>
    <t>GE48CR0000009412923601</t>
  </si>
  <si>
    <t>გიორგი კეტაშვილი</t>
  </si>
  <si>
    <t>01019021328</t>
  </si>
  <si>
    <t>GE96CR0000009412933601</t>
  </si>
  <si>
    <t>დათო რურუა</t>
  </si>
  <si>
    <t>01008007241</t>
  </si>
  <si>
    <t>GE17CR0000000932833601</t>
  </si>
  <si>
    <t>ზურაბ რურუა</t>
  </si>
  <si>
    <t>01008018043</t>
  </si>
  <si>
    <t>GE13CR0000000932913601</t>
  </si>
  <si>
    <t>გიორგი ტრიპოლსკი</t>
  </si>
  <si>
    <t>01024001112</t>
  </si>
  <si>
    <t>GE41CR0000000007943601</t>
  </si>
  <si>
    <t>კახაბერ ჩიხლაძე</t>
  </si>
  <si>
    <t>01006011154</t>
  </si>
  <si>
    <t>GE80CR0130006000253601</t>
  </si>
  <si>
    <t>06/09/2016</t>
  </si>
  <si>
    <t>გიორგი ნოზაძე</t>
  </si>
  <si>
    <t>01008002971</t>
  </si>
  <si>
    <t>GE69CR0000000025813601</t>
  </si>
  <si>
    <t>ირინა მუსერიძე</t>
  </si>
  <si>
    <t>01017007408</t>
  </si>
  <si>
    <t>GE45CR0000000042783601</t>
  </si>
  <si>
    <t>06/10/2016</t>
  </si>
  <si>
    <t>ბექა კაპანაძე</t>
  </si>
  <si>
    <t>01008057691</t>
  </si>
  <si>
    <t>GE37CR0000009413143601</t>
  </si>
  <si>
    <t>კონსტანტინე გეგელაშვილი</t>
  </si>
  <si>
    <t>01031003387</t>
  </si>
  <si>
    <t>GE62CR0000000932903601</t>
  </si>
  <si>
    <t>ალექსანდრე რუსიშვილი</t>
  </si>
  <si>
    <t>01008028032</t>
  </si>
  <si>
    <t>GE85CR0000009413153601</t>
  </si>
  <si>
    <t>გიორგი ძამუკაშვილი</t>
  </si>
  <si>
    <t>01026001044</t>
  </si>
  <si>
    <t>GE84CR0000009413173601</t>
  </si>
  <si>
    <t>მადონა მამაცაშვილი - გაგნიძე</t>
  </si>
  <si>
    <t>01003009674</t>
  </si>
  <si>
    <t>GE42CR0000000036053601</t>
  </si>
  <si>
    <t>თამარ გამგონეიშვილი</t>
  </si>
  <si>
    <t>01024065723</t>
  </si>
  <si>
    <t>GE69CR0000000047153601</t>
  </si>
  <si>
    <t>06/15/2016</t>
  </si>
  <si>
    <t>თენგიზ დემეტრაშვილი</t>
  </si>
  <si>
    <t>01025010418</t>
  </si>
  <si>
    <t>GE96CR0000000063103601</t>
  </si>
  <si>
    <t>ირაკლი კიკალიშვილი</t>
  </si>
  <si>
    <t>01008001477</t>
  </si>
  <si>
    <t>GE18CR0000009413523601</t>
  </si>
  <si>
    <t>ზვიად ფერაძე</t>
  </si>
  <si>
    <t>01010003936</t>
  </si>
  <si>
    <t>GE67CR0000009413513601</t>
  </si>
  <si>
    <t>გიზო ცქიტიშვილი</t>
  </si>
  <si>
    <t>09001000459</t>
  </si>
  <si>
    <t>GE66CR0000009413533601</t>
  </si>
  <si>
    <t>ლევან ბერიშვილი</t>
  </si>
  <si>
    <t>01009008095</t>
  </si>
  <si>
    <t>GE16CR0000000932853601</t>
  </si>
  <si>
    <t>თამარ ნადირაშვილი</t>
  </si>
  <si>
    <t>01009009054</t>
  </si>
  <si>
    <t>GE16CR0000009413563601</t>
  </si>
  <si>
    <t>რამაზ ბატატუნაშვილი</t>
  </si>
  <si>
    <t>01008018732</t>
  </si>
  <si>
    <t>GE17CR0000009413543601</t>
  </si>
  <si>
    <t>ჯონდო გიორგაძე</t>
  </si>
  <si>
    <t>01008014616</t>
  </si>
  <si>
    <t>GE65CR0000009413553601</t>
  </si>
  <si>
    <t>გოჩა ანთელავა</t>
  </si>
  <si>
    <t>01008031149</t>
  </si>
  <si>
    <t>GE71CR0000000852213601</t>
  </si>
  <si>
    <t>06/17/2016</t>
  </si>
  <si>
    <t>ნინო კუპრაშვილი</t>
  </si>
  <si>
    <t>60001019736</t>
  </si>
  <si>
    <t>GE55CR0000009413753601</t>
  </si>
  <si>
    <t>ვლადიმერ ისელიძე</t>
  </si>
  <si>
    <t>01008002169</t>
  </si>
  <si>
    <t>GE06CR0000009413763601</t>
  </si>
  <si>
    <t>გელა ტუკვაძე</t>
  </si>
  <si>
    <t>01009001604</t>
  </si>
  <si>
    <t>GE54CR0000009413773601</t>
  </si>
  <si>
    <t>თამარ გოგელია</t>
  </si>
  <si>
    <t>01005000251</t>
  </si>
  <si>
    <t>GE72CR0000000037393601</t>
  </si>
  <si>
    <t>06/20/2016</t>
  </si>
  <si>
    <t>ვაჟა მამაცაშვილი</t>
  </si>
  <si>
    <t>01003012466</t>
  </si>
  <si>
    <t>GE96CR0000000935133601</t>
  </si>
  <si>
    <t>შავლეგი სხირტლაძე</t>
  </si>
  <si>
    <t>38001009209</t>
  </si>
  <si>
    <t>GE63CR0000000892143601</t>
  </si>
  <si>
    <t>06/21/2016</t>
  </si>
  <si>
    <t>გიორგი თეთრაძე</t>
  </si>
  <si>
    <t>01010009722</t>
  </si>
  <si>
    <t>GE91CR0000009414003601</t>
  </si>
  <si>
    <t>ლევან ნიკოლაძე</t>
  </si>
  <si>
    <t>01019009957</t>
  </si>
  <si>
    <t>GE42CR0000009414013601</t>
  </si>
  <si>
    <t>06/22/2016</t>
  </si>
  <si>
    <t>გიორგი იორამაშვილი</t>
  </si>
  <si>
    <t>01025008734</t>
  </si>
  <si>
    <t>GE04CR0000000041663601</t>
  </si>
  <si>
    <t>ნანა ცარციძე</t>
  </si>
  <si>
    <t>01017021116</t>
  </si>
  <si>
    <t>GE83CR0000009414163601</t>
  </si>
  <si>
    <t>ალექსანდრე მეტრეველი</t>
  </si>
  <si>
    <t>01008005298</t>
  </si>
  <si>
    <t>GE82CR0000009414183601</t>
  </si>
  <si>
    <t>06/24/2016</t>
  </si>
  <si>
    <t>ირაკლი ბაქრაძე</t>
  </si>
  <si>
    <t>01003000227</t>
  </si>
  <si>
    <t>GE25CR0000009414353601</t>
  </si>
  <si>
    <t>01008001868</t>
  </si>
  <si>
    <t>GE73CR0000009414363601</t>
  </si>
  <si>
    <t>გიორგი ჯაბიძე</t>
  </si>
  <si>
    <t>01005005400</t>
  </si>
  <si>
    <t>GE24CR0000009414373601</t>
  </si>
  <si>
    <t>ნათია ცუკილაშვილი</t>
  </si>
  <si>
    <t>45001003653</t>
  </si>
  <si>
    <t>GE72CR0000009414383601</t>
  </si>
  <si>
    <t>თეა გოგატიშვილი</t>
  </si>
  <si>
    <t>01005007537</t>
  </si>
  <si>
    <t>GE23CR0000009414393601</t>
  </si>
  <si>
    <t>მარგალიტა ჩახნაშვილი</t>
  </si>
  <si>
    <t>01031000359</t>
  </si>
  <si>
    <t>GE71CR0000009414403601</t>
  </si>
  <si>
    <t>ზურაბი კორძაია</t>
  </si>
  <si>
    <t>01030020080</t>
  </si>
  <si>
    <t>GE33CR0000000056603601</t>
  </si>
  <si>
    <t>ნინო ნადირაშვილი</t>
  </si>
  <si>
    <t>01024004785</t>
  </si>
  <si>
    <t>GE68CR0000009414463601</t>
  </si>
  <si>
    <t>შ.პ.ს. კახური ტრადიციული მეღვინეობა</t>
  </si>
  <si>
    <t>200075113</t>
  </si>
  <si>
    <t>GE56BG0000000827888400</t>
  </si>
  <si>
    <t>06/28/2016</t>
  </si>
  <si>
    <t>ზურაბ ფოცხვერაშვილი</t>
  </si>
  <si>
    <t>01010000872</t>
  </si>
  <si>
    <t>GE40CR0000000049673601</t>
  </si>
  <si>
    <t>მერი ისკანდერაშვილი-ნანავა</t>
  </si>
  <si>
    <t>35001002503</t>
  </si>
  <si>
    <t>GE19CR0000000023903601</t>
  </si>
  <si>
    <t>თეა გაჩეჩილაძე</t>
  </si>
  <si>
    <t>01021013879</t>
  </si>
  <si>
    <t>GE96CR0120007036233601</t>
  </si>
  <si>
    <t>სოფიო ჯანიაშვილი</t>
  </si>
  <si>
    <t>22001007248</t>
  </si>
  <si>
    <t>GE84CR0000000066253601</t>
  </si>
  <si>
    <t>ავთანდილ ჭელიშვილი</t>
  </si>
  <si>
    <t>01007006983</t>
  </si>
  <si>
    <t>GE34CR0000000893693601</t>
  </si>
  <si>
    <t>ალექსანდრე თოფურია</t>
  </si>
  <si>
    <t>01008020971</t>
  </si>
  <si>
    <t>GE54CR0000000064913601</t>
  </si>
  <si>
    <t>ნოდარ გოგოლაშვილი</t>
  </si>
  <si>
    <t>01024035705</t>
  </si>
  <si>
    <t>GE66CR0000000892083601</t>
  </si>
  <si>
    <t>ზაზა ლამაზოშვილი</t>
  </si>
  <si>
    <t>01017023133</t>
  </si>
  <si>
    <t>GE63CR0000009414563601</t>
  </si>
  <si>
    <t>დემურ გაბისონია</t>
  </si>
  <si>
    <t>62001009075</t>
  </si>
  <si>
    <t>GE46CR0000000049553601</t>
  </si>
  <si>
    <t>გიორგი ასანიძე</t>
  </si>
  <si>
    <t>01017004357</t>
  </si>
  <si>
    <t>GE66CR0000000036543601</t>
  </si>
  <si>
    <t>06/29/2016</t>
  </si>
  <si>
    <t>გრიგოლ ნიკურაძე</t>
  </si>
  <si>
    <t>01028002117</t>
  </si>
  <si>
    <t>GE11CR0000009414633601</t>
  </si>
  <si>
    <t>ქეთევან ლობჟანიძე</t>
  </si>
  <si>
    <t>01024055087</t>
  </si>
  <si>
    <t>GE62CR0000000930963601</t>
  </si>
  <si>
    <t>მარინა ერქვანია</t>
  </si>
  <si>
    <t>01004001561</t>
  </si>
  <si>
    <t>GE93CR0000000891543601</t>
  </si>
  <si>
    <t>მოსე გოგატიშვილი</t>
  </si>
  <si>
    <t>54001008143</t>
  </si>
  <si>
    <t>GE47CR0000000893433601</t>
  </si>
  <si>
    <t>ქეთევან მუმლაური</t>
  </si>
  <si>
    <t>01009014731</t>
  </si>
  <si>
    <t>GE95CR0000000894413601</t>
  </si>
  <si>
    <t>ზურაბ კაპანაძე</t>
  </si>
  <si>
    <t>54001009275</t>
  </si>
  <si>
    <t>GE10CR0000009414653601</t>
  </si>
  <si>
    <t>ლუდუკი ხასია</t>
  </si>
  <si>
    <t>19001009230</t>
  </si>
  <si>
    <t>GE58CR0000009414663601</t>
  </si>
  <si>
    <t>ზურაბ შარეიძე</t>
  </si>
  <si>
    <t>01024004784</t>
  </si>
  <si>
    <t>GE56CR0000009414703601</t>
  </si>
  <si>
    <t>ვაჟა კვარაცხელია</t>
  </si>
  <si>
    <t>62001019533</t>
  </si>
  <si>
    <t>GE07CR0000009414713601</t>
  </si>
  <si>
    <t>ოთარი ქოიავა</t>
  </si>
  <si>
    <t>01005009886</t>
  </si>
  <si>
    <t>GE55CR0000009414723601</t>
  </si>
  <si>
    <t>მიხეილ მშვილდაძე</t>
  </si>
  <si>
    <t>01008042147</t>
  </si>
  <si>
    <t>GE70CR0000000892003601</t>
  </si>
  <si>
    <t>ჯემალ გოგიჩაძე</t>
  </si>
  <si>
    <t>01008002072</t>
  </si>
  <si>
    <t>GE06CR0000009414733601</t>
  </si>
  <si>
    <t>ნინო დაუშვილი</t>
  </si>
  <si>
    <t>01008001081</t>
  </si>
  <si>
    <t>GE05CR0000009414753601</t>
  </si>
  <si>
    <t>ხათუნა პერტაია</t>
  </si>
  <si>
    <t>19001017504</t>
  </si>
  <si>
    <t>GE74CR0000000907443601</t>
  </si>
  <si>
    <t>ნაზი ბუწაშვილი</t>
  </si>
  <si>
    <t>01030002252</t>
  </si>
  <si>
    <t>GE41CR0000000912953601</t>
  </si>
  <si>
    <t>ლილი ფხალაძე</t>
  </si>
  <si>
    <t>01015015828</t>
  </si>
  <si>
    <t>GE24CR0000000907473601</t>
  </si>
  <si>
    <t>ლია ხოსიაშვილი</t>
  </si>
  <si>
    <t>31001001962</t>
  </si>
  <si>
    <t>GE75CR0000000907423601</t>
  </si>
  <si>
    <t>06/30/2016</t>
  </si>
  <si>
    <t>ჯირაშვილი თათია</t>
  </si>
  <si>
    <t>01002021106</t>
  </si>
  <si>
    <t>GE73CR0000000909403601</t>
  </si>
  <si>
    <t>ნიკა ვადაჭკორია</t>
  </si>
  <si>
    <t>01030046836</t>
  </si>
  <si>
    <t>GE02CR0000009414813601</t>
  </si>
  <si>
    <t>გიორგი ხვედელიძე</t>
  </si>
  <si>
    <t>01003000933</t>
  </si>
  <si>
    <t>GE83CR0000000892713601</t>
  </si>
  <si>
    <t>თამარ გველესიანი</t>
  </si>
  <si>
    <t>01011020381</t>
  </si>
  <si>
    <t>GE72CR0000000907483601</t>
  </si>
  <si>
    <t>რამაზ ჯაფარიძე</t>
  </si>
  <si>
    <t>01010004804</t>
  </si>
  <si>
    <t>GE68CR0000000907563601</t>
  </si>
  <si>
    <t>ნანა ნასარიძე</t>
  </si>
  <si>
    <t>38001003038</t>
  </si>
  <si>
    <t>GE34CR0000000889813601</t>
  </si>
  <si>
    <t>თამარ დვალი</t>
  </si>
  <si>
    <t>01017013670</t>
  </si>
  <si>
    <t>GE14CR0000000069593601</t>
  </si>
  <si>
    <t>ნინო მემანიშვილი</t>
  </si>
  <si>
    <t>01013024637</t>
  </si>
  <si>
    <t>GE28CR0000002007373601</t>
  </si>
  <si>
    <t>გვანცა ცხვედიანი</t>
  </si>
  <si>
    <t>34001000686</t>
  </si>
  <si>
    <t>GE31CR0000000931583601</t>
  </si>
  <si>
    <t>ილია მოქერია</t>
  </si>
  <si>
    <t>01008016443</t>
  </si>
  <si>
    <t>GE79CR0000000892793601</t>
  </si>
  <si>
    <t>ია თოიძე</t>
  </si>
  <si>
    <t>01027016069</t>
  </si>
  <si>
    <t>GE25CR0000000907453601</t>
  </si>
  <si>
    <t>მანანა ხელაშვილი</t>
  </si>
  <si>
    <t>01004009020</t>
  </si>
  <si>
    <t>GE27CR0000000907413601</t>
  </si>
  <si>
    <t>ნინო ბეგიაშვილი</t>
  </si>
  <si>
    <t>01027019835</t>
  </si>
  <si>
    <t>GE26CR0000000907433601</t>
  </si>
  <si>
    <t>თინათინ კვირკველია</t>
  </si>
  <si>
    <t>01001011380</t>
  </si>
  <si>
    <t>GE04CR0000000931153601</t>
  </si>
  <si>
    <t>ბორის მელნიკოვი</t>
  </si>
  <si>
    <t>01022004905</t>
  </si>
  <si>
    <t>GE41CR0000000892583601</t>
  </si>
  <si>
    <t>ნანული აღნიაშვილი</t>
  </si>
  <si>
    <t>01020009353</t>
  </si>
  <si>
    <t>GE95CR0000009414893601</t>
  </si>
  <si>
    <t>07/01/2016</t>
  </si>
  <si>
    <t>აკაკი კოკაია</t>
  </si>
  <si>
    <t>01033004782</t>
  </si>
  <si>
    <t>GE46CR0000009414903601</t>
  </si>
  <si>
    <t>ნინო ჩარკვიანი</t>
  </si>
  <si>
    <t>01010012370</t>
  </si>
  <si>
    <t>GE63CR0000000930943601</t>
  </si>
  <si>
    <t>ზაზა ხოფერია</t>
  </si>
  <si>
    <t>01010004953</t>
  </si>
  <si>
    <t>GE76CR0000000931653601</t>
  </si>
  <si>
    <t>ლევან დოლიძე</t>
  </si>
  <si>
    <t>01033001664</t>
  </si>
  <si>
    <t>GE78CR0000000921913601</t>
  </si>
  <si>
    <t>ეკა იაკობიძე</t>
  </si>
  <si>
    <t>01023011932</t>
  </si>
  <si>
    <t>GE95CR0000000893443601</t>
  </si>
  <si>
    <t>იოსებ ახალკაცი</t>
  </si>
  <si>
    <t>59001008043</t>
  </si>
  <si>
    <t>GE45CR0000009414923601</t>
  </si>
  <si>
    <t>რევაზ არველაძე</t>
  </si>
  <si>
    <t>01008001427</t>
  </si>
  <si>
    <t>GE81CR0000000925733601</t>
  </si>
  <si>
    <t>ანზორ ახვლედიანი</t>
  </si>
  <si>
    <t>01008008958</t>
  </si>
  <si>
    <t>GE44CR0000009414943601</t>
  </si>
  <si>
    <t>07/04/2016</t>
  </si>
  <si>
    <t>ალექსანდრე ივანაშვილი</t>
  </si>
  <si>
    <t>38001002519</t>
  </si>
  <si>
    <t>GE65CR0000000892103601</t>
  </si>
  <si>
    <t>მაია ხუჭუა</t>
  </si>
  <si>
    <t>01008040725</t>
  </si>
  <si>
    <t>GE53CR0000000931143601</t>
  </si>
  <si>
    <t>დავით ფოცხვერაშვილი</t>
  </si>
  <si>
    <t>01025012012</t>
  </si>
  <si>
    <t>GE18CR0000000892073601</t>
  </si>
  <si>
    <t>გოჩა კოღუაშვილი</t>
  </si>
  <si>
    <t>53001008081</t>
  </si>
  <si>
    <t>GE15CR0050008713483601</t>
  </si>
  <si>
    <t>07/05/2016</t>
  </si>
  <si>
    <t>ზურაბ დარახველიძე</t>
  </si>
  <si>
    <t>01014003102</t>
  </si>
  <si>
    <t>GE84CR0000009415113601</t>
  </si>
  <si>
    <t>გიორგი ნადირაძე</t>
  </si>
  <si>
    <t>01024016165</t>
  </si>
  <si>
    <t>GE35CR0000009415123601</t>
  </si>
  <si>
    <t>თეონა ჩაგელიშვილი</t>
  </si>
  <si>
    <t>01030025626</t>
  </si>
  <si>
    <t>GE73CR0000000907463601</t>
  </si>
  <si>
    <t>ვანო მიქელაძე</t>
  </si>
  <si>
    <t>01023009044</t>
  </si>
  <si>
    <t>GE45CR0000000068003601</t>
  </si>
  <si>
    <t>ოთარ ჭაბუკიანი</t>
  </si>
  <si>
    <t>01024000636</t>
  </si>
  <si>
    <t>GE68CR0000000892043601</t>
  </si>
  <si>
    <t>ეთერი ქართველიშვილი</t>
  </si>
  <si>
    <t>01016005980</t>
  </si>
  <si>
    <t>GE52CR0000000055253601</t>
  </si>
  <si>
    <t>დავით ჯიბლაძე</t>
  </si>
  <si>
    <t>01004006356</t>
  </si>
  <si>
    <t>GE47CR0000000931263601</t>
  </si>
  <si>
    <t>ნინო ხიდეშელი</t>
  </si>
  <si>
    <t>01009002854</t>
  </si>
  <si>
    <t>GE39CR0000000918813601</t>
  </si>
  <si>
    <t>ვაჟა ნაჭყებია</t>
  </si>
  <si>
    <t>01024049301</t>
  </si>
  <si>
    <t>GE81CR0000009415173601</t>
  </si>
  <si>
    <t>გიორგი რობაქიძე</t>
  </si>
  <si>
    <t>01002003945</t>
  </si>
  <si>
    <t>GE80CR0000009415193601</t>
  </si>
  <si>
    <t>ალექსანდრე სულაბერიძე</t>
  </si>
  <si>
    <t>01013013107</t>
  </si>
  <si>
    <t>GE31CR0000009415203601</t>
  </si>
  <si>
    <t>07/06/2016</t>
  </si>
  <si>
    <t>ნაირა შარვაშიძე</t>
  </si>
  <si>
    <t>35001028612</t>
  </si>
  <si>
    <t>GE78CR0000000913183601</t>
  </si>
  <si>
    <t>მურთაზ ყობიაშვილი</t>
  </si>
  <si>
    <t>54001007869</t>
  </si>
  <si>
    <t>GE65CR0000000049173601</t>
  </si>
  <si>
    <t>მერი გვასალია</t>
  </si>
  <si>
    <t>01030030795</t>
  </si>
  <si>
    <t>GE29CR0000009415243601</t>
  </si>
  <si>
    <t>ირაკლი ბარამიძე</t>
  </si>
  <si>
    <t>01020007792</t>
  </si>
  <si>
    <t>GE77CR0000009415253601</t>
  </si>
  <si>
    <t>ჯუმბერი გვაზავა</t>
  </si>
  <si>
    <t>02001003520</t>
  </si>
  <si>
    <t>GE28CR0000009415263601</t>
  </si>
  <si>
    <t>ვლადიმერ შენგელაია</t>
  </si>
  <si>
    <t>01009001488</t>
  </si>
  <si>
    <t>GE31CR0000000857863601</t>
  </si>
  <si>
    <t>მიხეილ მუყასაშვილი</t>
  </si>
  <si>
    <t>01010003602</t>
  </si>
  <si>
    <t>GE73CR0000009415333601</t>
  </si>
  <si>
    <t>07/07/2016</t>
  </si>
  <si>
    <t>მარგო ქებულაძე</t>
  </si>
  <si>
    <t>01024043918</t>
  </si>
  <si>
    <t>GE88CR0000000908133601</t>
  </si>
  <si>
    <t>გია ბაქანიძე</t>
  </si>
  <si>
    <t>33001025926</t>
  </si>
  <si>
    <t>GE72CR0000009415353601</t>
  </si>
  <si>
    <t>ჯემალი ღონღაძე</t>
  </si>
  <si>
    <t>35001033829</t>
  </si>
  <si>
    <t>GE23CR0000009415363601</t>
  </si>
  <si>
    <t>ნაილი ლონდარიძე</t>
  </si>
  <si>
    <t>01009018849</t>
  </si>
  <si>
    <t>GE35CR0000000016793601</t>
  </si>
  <si>
    <t>დავით ახალაძე</t>
  </si>
  <si>
    <t>01012011353</t>
  </si>
  <si>
    <t>GE70CR0000009415393601</t>
  </si>
  <si>
    <t>07/08/2016</t>
  </si>
  <si>
    <t>ციური ჭოხონელიძე</t>
  </si>
  <si>
    <t>01026008776</t>
  </si>
  <si>
    <t>GE63CR0000009415533601</t>
  </si>
  <si>
    <t>ნინო გამეზარდაშვილი</t>
  </si>
  <si>
    <t>54001014884</t>
  </si>
  <si>
    <t>GE14CR0000009415543601</t>
  </si>
  <si>
    <t>07/11/2016</t>
  </si>
  <si>
    <t>ირა ძინძიბაძე</t>
  </si>
  <si>
    <t>38001033999</t>
  </si>
  <si>
    <t>GE84CR0000000931493601</t>
  </si>
  <si>
    <t>ნუგზარ ხუციშვილი</t>
  </si>
  <si>
    <t>01030025947</t>
  </si>
  <si>
    <t>GE30CR0000000889893601</t>
  </si>
  <si>
    <t>კახაბერ წერეთელი</t>
  </si>
  <si>
    <t>54001013547</t>
  </si>
  <si>
    <t>GE03CR0000000931173601</t>
  </si>
  <si>
    <t>ჯონი ახობაძე</t>
  </si>
  <si>
    <t>01025002293</t>
  </si>
  <si>
    <t>GE58CR0000000917463601</t>
  </si>
  <si>
    <t>ალექსანდრე უგულავა</t>
  </si>
  <si>
    <t>01023009842</t>
  </si>
  <si>
    <t>GE54CR0000009415713601</t>
  </si>
  <si>
    <t>მამუკა ბერიძე</t>
  </si>
  <si>
    <t>61001018966</t>
  </si>
  <si>
    <t>GE03CR0000009415763601</t>
  </si>
  <si>
    <t>სერგო გოგოლაძე</t>
  </si>
  <si>
    <t>10001000314</t>
  </si>
  <si>
    <t>GE51CR0000009415773601</t>
  </si>
  <si>
    <t>07/12/2016</t>
  </si>
  <si>
    <t>როინ დარბაიძე</t>
  </si>
  <si>
    <t>54001010001</t>
  </si>
  <si>
    <t>GE92CR0000000893503601</t>
  </si>
  <si>
    <t>კობა კაპანაძე</t>
  </si>
  <si>
    <t>38001009336</t>
  </si>
  <si>
    <t>GE46CR0000000054403601</t>
  </si>
  <si>
    <t>გურამი მამაცაშვილი</t>
  </si>
  <si>
    <t>54001026630</t>
  </si>
  <si>
    <t>GE02CR0000009415783601</t>
  </si>
  <si>
    <t>თენგიზ ბიბილეიშვილი</t>
  </si>
  <si>
    <t>01025014065</t>
  </si>
  <si>
    <t>GE50CR0000009415793601</t>
  </si>
  <si>
    <t>ხვიჩა კვარაცხელია</t>
  </si>
  <si>
    <t>62001026860</t>
  </si>
  <si>
    <t>GE98CR0000009415803601</t>
  </si>
  <si>
    <t>ირაკლი ბურძენიძე</t>
  </si>
  <si>
    <t>54001007948</t>
  </si>
  <si>
    <t>GE02CR0000000914703601</t>
  </si>
  <si>
    <t>დავით არსენიძე</t>
  </si>
  <si>
    <t>01025002748</t>
  </si>
  <si>
    <t>GE92CR0000000914843601</t>
  </si>
  <si>
    <t>ზაზა გიქოშვილი</t>
  </si>
  <si>
    <t>03001002997</t>
  </si>
  <si>
    <t>GE97CR0000009415823601</t>
  </si>
  <si>
    <t>ლერი კაპანაძე</t>
  </si>
  <si>
    <t>54001007156</t>
  </si>
  <si>
    <t>GE07CR0000000892293601</t>
  </si>
  <si>
    <t>გოჩა ციბაძე</t>
  </si>
  <si>
    <t>01011012906</t>
  </si>
  <si>
    <t>GE48CR0000009415833601</t>
  </si>
  <si>
    <t>კობა გაფრინდაშვილი</t>
  </si>
  <si>
    <t>01011003699</t>
  </si>
  <si>
    <t>GE96CR0000009415843601</t>
  </si>
  <si>
    <t>გიორგი ქანთარია</t>
  </si>
  <si>
    <t>01019010463</t>
  </si>
  <si>
    <t>GE46CR0000009415873601</t>
  </si>
  <si>
    <t>გრიგოლ ჯაში</t>
  </si>
  <si>
    <t>01024041733</t>
  </si>
  <si>
    <t>GE07CR0000000914603601</t>
  </si>
  <si>
    <t>რუსუდან გაფრინდაშვილი</t>
  </si>
  <si>
    <t>01006021503</t>
  </si>
  <si>
    <t>GE34CR0000002011133601</t>
  </si>
  <si>
    <t>მალხაზი კომლაძე</t>
  </si>
  <si>
    <t>35001058311</t>
  </si>
  <si>
    <t>GE45CR0000009415893601</t>
  </si>
  <si>
    <t>ალექსანდრე გრანოვსკი</t>
  </si>
  <si>
    <t>01029012457</t>
  </si>
  <si>
    <t>GE93CR0000009415903601</t>
  </si>
  <si>
    <t>07/14/2016</t>
  </si>
  <si>
    <t>კალაძე კახა</t>
  </si>
  <si>
    <t>01010001112</t>
  </si>
  <si>
    <t>ქ. სამტრედია რუსთაველის ქ. #23. ს.კ. 34,08,19,121,01,506. სართ. 1,-93,9კვ.მ ფართით უსასყიდლოდ სარგებლობა 123 დღით</t>
  </si>
  <si>
    <t>07/15/2016</t>
  </si>
  <si>
    <t>ჩქარეული დიმიტრი</t>
  </si>
  <si>
    <t>07/13/2016</t>
  </si>
  <si>
    <t>სოფიო ცხვარაძე</t>
  </si>
  <si>
    <t>01021006631</t>
  </si>
  <si>
    <t>GE39CR0000000066183601</t>
  </si>
  <si>
    <t>ზურაბ არჩვაძე</t>
  </si>
  <si>
    <t>01008031811</t>
  </si>
  <si>
    <t>GE44CR0000000908043601</t>
  </si>
  <si>
    <t>გივი გელაშვილი</t>
  </si>
  <si>
    <t>35001048400</t>
  </si>
  <si>
    <t>GE90CR0000009415963601</t>
  </si>
  <si>
    <t>ზურაბ თევზაძე</t>
  </si>
  <si>
    <t>01026004598</t>
  </si>
  <si>
    <t>GE37CR0000000890723601</t>
  </si>
  <si>
    <t>გერასიმე გრიგალაშვილი</t>
  </si>
  <si>
    <t>35001079227</t>
  </si>
  <si>
    <t>GE41CR0000009415973601</t>
  </si>
  <si>
    <t>ოთარ სამადაშვილი</t>
  </si>
  <si>
    <t>01027043462</t>
  </si>
  <si>
    <t>GE89CR0000009415983601</t>
  </si>
  <si>
    <t>ზურაბ აფხაზავა</t>
  </si>
  <si>
    <t>42001029730</t>
  </si>
  <si>
    <t>GE40CR0000009415993601</t>
  </si>
  <si>
    <t>ვლადიმერ გოგოლაური</t>
  </si>
  <si>
    <t>01034005137</t>
  </si>
  <si>
    <t>GE88CR0000009416003601</t>
  </si>
  <si>
    <t>მადონა ვასაძე</t>
  </si>
  <si>
    <t>01017037661</t>
  </si>
  <si>
    <t>GE38CR0000009416033601</t>
  </si>
  <si>
    <t>მაგდანა შენგელია</t>
  </si>
  <si>
    <t>48001001423</t>
  </si>
  <si>
    <t>GE86CR0000009416043601</t>
  </si>
  <si>
    <t>ზურაბ სართანია</t>
  </si>
  <si>
    <t>62001003117</t>
  </si>
  <si>
    <t>GE37CR0000009416053601</t>
  </si>
  <si>
    <t>გიორგი გოგოსაშვილი</t>
  </si>
  <si>
    <t>01029006107</t>
  </si>
  <si>
    <t>GE46CR0000000914793601</t>
  </si>
  <si>
    <t>ნოდარ კამკამიძე</t>
  </si>
  <si>
    <t>35001045720</t>
  </si>
  <si>
    <t>GE85CR0000009416063601</t>
  </si>
  <si>
    <t>დავით რაზმაძე</t>
  </si>
  <si>
    <t>54001034119</t>
  </si>
  <si>
    <t>GE18CR0000000907593601</t>
  </si>
  <si>
    <t>ვახტანგ ბიბილაშვილი</t>
  </si>
  <si>
    <t>01013001146</t>
  </si>
  <si>
    <t>GE84CR0000009416083601</t>
  </si>
  <si>
    <t>მერაბ კაპანაძე</t>
  </si>
  <si>
    <t>54001001957</t>
  </si>
  <si>
    <t>GE32CR0000009416153601</t>
  </si>
  <si>
    <t>გიზო ახვლედიანი</t>
  </si>
  <si>
    <t>35001081497</t>
  </si>
  <si>
    <t>GE78CR0000009416203601</t>
  </si>
  <si>
    <t>ივანე შუშიაშვილი</t>
  </si>
  <si>
    <t>35001013300</t>
  </si>
  <si>
    <t>GE77CR0000009416223601</t>
  </si>
  <si>
    <t>ვახტანგ დოლიძე</t>
  </si>
  <si>
    <t>59002003428</t>
  </si>
  <si>
    <t>GE48CR0000000914753601</t>
  </si>
  <si>
    <t>ნუგზარ მიშველაძე</t>
  </si>
  <si>
    <t>01021004894</t>
  </si>
  <si>
    <t>GE42CR0000009415953601</t>
  </si>
  <si>
    <t>ზაზა ოსიპიდის</t>
  </si>
  <si>
    <t>01601134272</t>
  </si>
  <si>
    <t>GE76CR0000009416243601</t>
  </si>
  <si>
    <t>ნათია ბერიანიძე</t>
  </si>
  <si>
    <t>01025017124</t>
  </si>
  <si>
    <t>GE70CR0000009416363601</t>
  </si>
  <si>
    <t>თეა შალიკაშვილი</t>
  </si>
  <si>
    <t>20001005233</t>
  </si>
  <si>
    <t>GE21CR0000009416373601</t>
  </si>
  <si>
    <t>ლელა ლუტიძე</t>
  </si>
  <si>
    <t>35001041835</t>
  </si>
  <si>
    <t>GE69CR0000009416383601</t>
  </si>
  <si>
    <t>თინათინ სანიკიძე</t>
  </si>
  <si>
    <t>01013015316</t>
  </si>
  <si>
    <t>GE20CR0000009416393601</t>
  </si>
  <si>
    <t>ეთერი ქურციკიძე</t>
  </si>
  <si>
    <t>01027014634</t>
  </si>
  <si>
    <t>GE70CR0000000891033601</t>
  </si>
  <si>
    <t>07/18/2016</t>
  </si>
  <si>
    <t>პავლე დობაძიშვილი</t>
  </si>
  <si>
    <t>01001040268</t>
  </si>
  <si>
    <t>GE75CR0000000058673601</t>
  </si>
  <si>
    <t>ნუგზარ გოგალაძე</t>
  </si>
  <si>
    <t>35001090219</t>
  </si>
  <si>
    <t>GE18CR0000000931843601</t>
  </si>
  <si>
    <t>ნიკო ყავრელიშვილი</t>
  </si>
  <si>
    <t>01023007031</t>
  </si>
  <si>
    <t>GE69CR0000000908513601</t>
  </si>
  <si>
    <t>ნიკოლოზ კამკამიძე</t>
  </si>
  <si>
    <t>01017025763</t>
  </si>
  <si>
    <t>GE89CR0000000908113601</t>
  </si>
  <si>
    <t>მუხრან კაპანაძე</t>
  </si>
  <si>
    <t>01003012416</t>
  </si>
  <si>
    <t>GE37CR0000000931463601</t>
  </si>
  <si>
    <t>ცისანა დოლიძე</t>
  </si>
  <si>
    <t>50001001534</t>
  </si>
  <si>
    <t>GE65CR0000009416463601</t>
  </si>
  <si>
    <t>გრიგოლ თავდუმაძე</t>
  </si>
  <si>
    <t>33001003288</t>
  </si>
  <si>
    <t>GE88CR0000000931413601</t>
  </si>
  <si>
    <t>სერგო გეგეჭკორი</t>
  </si>
  <si>
    <t>62001005472</t>
  </si>
  <si>
    <t>GE80CR0000000931573601</t>
  </si>
  <si>
    <t>ზურაბ ჩხიკვაძე</t>
  </si>
  <si>
    <t>01019003860</t>
  </si>
  <si>
    <t>GE87CR0000008009523601</t>
  </si>
  <si>
    <t>მერაბ თოლორდავა</t>
  </si>
  <si>
    <t>01002005382</t>
  </si>
  <si>
    <t>GE92CR0000000931333601</t>
  </si>
  <si>
    <t>ლევან ბერბერაშვილი</t>
  </si>
  <si>
    <t>01009011478</t>
  </si>
  <si>
    <t>GE43CR0000000931343601</t>
  </si>
  <si>
    <t>07/19/2016</t>
  </si>
  <si>
    <t>ლევან არჩუაძე</t>
  </si>
  <si>
    <t>01011018833</t>
  </si>
  <si>
    <t>GE87CR0000000931433601</t>
  </si>
  <si>
    <t>სოფიკო მეგრელიშვილი</t>
  </si>
  <si>
    <t>54001015725</t>
  </si>
  <si>
    <t>GE89CR0000000931393601</t>
  </si>
  <si>
    <t>თეა მარჯანიშვილი</t>
  </si>
  <si>
    <t>55001001650</t>
  </si>
  <si>
    <t>GE12CR0000009416553601</t>
  </si>
  <si>
    <t>უშანგი სომხიშვილი</t>
  </si>
  <si>
    <t>01008015784</t>
  </si>
  <si>
    <t>GE11CR0000009416573601</t>
  </si>
  <si>
    <t>გურამი გვენეტაძე</t>
  </si>
  <si>
    <t>46001003559</t>
  </si>
  <si>
    <t>GE85CR0030086131373601</t>
  </si>
  <si>
    <t>ილიკო მეგრელიშვილი</t>
  </si>
  <si>
    <t>54001051938</t>
  </si>
  <si>
    <t>GE59CR0000009416583601</t>
  </si>
  <si>
    <t>რემი დეკანოიძე</t>
  </si>
  <si>
    <t>54001010228</t>
  </si>
  <si>
    <t>GE10CR0000009416593601</t>
  </si>
  <si>
    <t>რამაზი იაკობაშვილი</t>
  </si>
  <si>
    <t>38001006394</t>
  </si>
  <si>
    <t>GE44CR0000000931323601</t>
  </si>
  <si>
    <t>გივი კურდღელაშვილი</t>
  </si>
  <si>
    <t>01024032016</t>
  </si>
  <si>
    <t>GE58CR0000009416603601</t>
  </si>
  <si>
    <t>ალექსანდრე ჯაფარიძე</t>
  </si>
  <si>
    <t>25001007189</t>
  </si>
  <si>
    <t>GE95CR0000000914783601</t>
  </si>
  <si>
    <t>გოჩა მაჭავარიანი</t>
  </si>
  <si>
    <t>01011067481</t>
  </si>
  <si>
    <t>GE09CR0120007029243601</t>
  </si>
  <si>
    <t>გელა ჭიღლაძე</t>
  </si>
  <si>
    <t>01011071967</t>
  </si>
  <si>
    <t>GE91CR0000000931353601</t>
  </si>
  <si>
    <t>ნოდარ კოლუზიანი</t>
  </si>
  <si>
    <t>01011023272</t>
  </si>
  <si>
    <t>GE61CR000000060893601</t>
  </si>
  <si>
    <t>გიორგი აფციაური</t>
  </si>
  <si>
    <t>01030028920</t>
  </si>
  <si>
    <t>GE57CR0000009416623601</t>
  </si>
  <si>
    <t>კახაბერ მოდებაძე</t>
  </si>
  <si>
    <t>54001004078</t>
  </si>
  <si>
    <t>GE56CR0000009416643601</t>
  </si>
  <si>
    <t>ლევან ჭურჭელაური</t>
  </si>
  <si>
    <t>23001000256</t>
  </si>
  <si>
    <t>GE07CR0000009416653601</t>
  </si>
  <si>
    <t>თემური ნოზაძე</t>
  </si>
  <si>
    <t>54001034131</t>
  </si>
  <si>
    <t>GE55CR0000009416663601</t>
  </si>
  <si>
    <t>დავით ნოზაძე</t>
  </si>
  <si>
    <t>01006011907</t>
  </si>
  <si>
    <t>GE93CR0000000914823601</t>
  </si>
  <si>
    <t>გიორგი მარხვაშვილი</t>
  </si>
  <si>
    <t>35001055274</t>
  </si>
  <si>
    <t>GE90CR0000000914883601</t>
  </si>
  <si>
    <t>ივანე აბაშიძე</t>
  </si>
  <si>
    <t>01026002955</t>
  </si>
  <si>
    <t>GE04CR0000000914663601</t>
  </si>
  <si>
    <t>ერეკლე ლორთქიფანიძე</t>
  </si>
  <si>
    <t>35001117268</t>
  </si>
  <si>
    <t>GE05CR0000009416693601</t>
  </si>
  <si>
    <t>შ.პ.ს. ალფა</t>
  </si>
  <si>
    <t>401943929</t>
  </si>
  <si>
    <t>GE15CR0120007000453602</t>
  </si>
  <si>
    <t>07/20/2016</t>
  </si>
  <si>
    <t>ნიკოლოზ ბოკუჩავა</t>
  </si>
  <si>
    <t>01024002319</t>
  </si>
  <si>
    <t>GE50CR0000009416763601</t>
  </si>
  <si>
    <t>ედიშერ კოპალეიშვილი</t>
  </si>
  <si>
    <t>37001012705</t>
  </si>
  <si>
    <t>GE98CR0000009416773601</t>
  </si>
  <si>
    <t>დავით ფილაური</t>
  </si>
  <si>
    <t>01026001116</t>
  </si>
  <si>
    <t>GE48CR0000009416803601</t>
  </si>
  <si>
    <t>შოთა გვაზავა</t>
  </si>
  <si>
    <t>62001037091</t>
  </si>
  <si>
    <t>GE03CR0000000914683601</t>
  </si>
  <si>
    <t>გელა მარხვაშვილი</t>
  </si>
  <si>
    <t>35001047899</t>
  </si>
  <si>
    <t>GE06CR0000000914623601</t>
  </si>
  <si>
    <t>სერაფიონ ნოზაძე</t>
  </si>
  <si>
    <t>01003007266</t>
  </si>
  <si>
    <t>GE49CR0000000914733601</t>
  </si>
  <si>
    <t>07/21/2016</t>
  </si>
  <si>
    <t>გიორგი ლომიძე</t>
  </si>
  <si>
    <t>38001009255</t>
  </si>
  <si>
    <t>GE43CR0000009416903601</t>
  </si>
  <si>
    <t>პაატა სულაბერიძე</t>
  </si>
  <si>
    <t>17001005377</t>
  </si>
  <si>
    <t>GE91CR0000009416913601</t>
  </si>
  <si>
    <t>რომან ზანგალაძე</t>
  </si>
  <si>
    <t>59001014414</t>
  </si>
  <si>
    <t>GE42CR0000009416923601</t>
  </si>
  <si>
    <t>07/22/2016</t>
  </si>
  <si>
    <t>ლევან ნიშნიანიძე</t>
  </si>
  <si>
    <t>60002013060</t>
  </si>
  <si>
    <t>GE41CR0000009416943601</t>
  </si>
  <si>
    <t>ლაშა წიგნაძე</t>
  </si>
  <si>
    <t>38001003881</t>
  </si>
  <si>
    <t>GE89CR0000009416953601</t>
  </si>
  <si>
    <t>კახაბერ კილასონია</t>
  </si>
  <si>
    <t>01029011648</t>
  </si>
  <si>
    <t>GE33CR0030086122713601</t>
  </si>
  <si>
    <t>კონსტანტინე ბრეგვაძე</t>
  </si>
  <si>
    <t>01019010596</t>
  </si>
  <si>
    <t>GE40CR0000009416963601</t>
  </si>
  <si>
    <t>გოგია ჯაბანიშვილი</t>
  </si>
  <si>
    <t>08001022882</t>
  </si>
  <si>
    <t>GE88CR0000009416973601</t>
  </si>
  <si>
    <t>07/25/2016</t>
  </si>
  <si>
    <t>ნინო ღვინიაშვილი</t>
  </si>
  <si>
    <t>40001023324</t>
  </si>
  <si>
    <t>GE81CR0000009417113601</t>
  </si>
  <si>
    <t>ნაზი მამაჯანოვი</t>
  </si>
  <si>
    <t>01001050134</t>
  </si>
  <si>
    <t>GE32CR0000009417123601</t>
  </si>
  <si>
    <t>მაია მერაბიშვილი</t>
  </si>
  <si>
    <t>01008038444</t>
  </si>
  <si>
    <t>GE80CR0000009417133601</t>
  </si>
  <si>
    <t>ნაზილა იბრაგიმოვი</t>
  </si>
  <si>
    <t>01001022262</t>
  </si>
  <si>
    <t>GE31CR0000009417143601</t>
  </si>
  <si>
    <t>ნატალია კარაბლინა</t>
  </si>
  <si>
    <t>01005018615</t>
  </si>
  <si>
    <t>GE79CR0000009417153601</t>
  </si>
  <si>
    <t>ვლადიმერ ჭყოიძე</t>
  </si>
  <si>
    <t>38001000093</t>
  </si>
  <si>
    <t>GE30CR0000009417163601</t>
  </si>
  <si>
    <t>გიორგი სულხანიშვილი</t>
  </si>
  <si>
    <t>40001026028</t>
  </si>
  <si>
    <t>GE78CR0000009417173601</t>
  </si>
  <si>
    <t>მარეხი გვარლიანი</t>
  </si>
  <si>
    <t>30001005464</t>
  </si>
  <si>
    <t>GE50CR0130009417193601</t>
  </si>
  <si>
    <t>07/26/2016</t>
  </si>
  <si>
    <t>არჩილ მაზიაშვილი</t>
  </si>
  <si>
    <t>01030006482</t>
  </si>
  <si>
    <t>GE23CR0000009417303601</t>
  </si>
  <si>
    <t>ელდარ მილდიანი</t>
  </si>
  <si>
    <t>01010001939</t>
  </si>
  <si>
    <t>GE72CR0000009417293601</t>
  </si>
  <si>
    <t>ლევან დვალი</t>
  </si>
  <si>
    <t>01008013708</t>
  </si>
  <si>
    <t>GE71CR0000009417313601</t>
  </si>
  <si>
    <t>გელა გოლოძე</t>
  </si>
  <si>
    <t>01026010721</t>
  </si>
  <si>
    <t>GE22CR0000009417323601</t>
  </si>
  <si>
    <t>დავით დავითაშვილი</t>
  </si>
  <si>
    <t>01001017835</t>
  </si>
  <si>
    <t>GE21CR0000009417343601</t>
  </si>
  <si>
    <t>დავით ასიტაშვილი</t>
  </si>
  <si>
    <t>01008051095</t>
  </si>
  <si>
    <t>GE69CR0000009417353601</t>
  </si>
  <si>
    <t>სერგო კელენჯერიძე</t>
  </si>
  <si>
    <t>35001044525</t>
  </si>
  <si>
    <t>GE71CR0000000891983601</t>
  </si>
  <si>
    <t>ემზარ ნოზაძე</t>
  </si>
  <si>
    <t>01024040401</t>
  </si>
  <si>
    <t>GE74CR0000000019893601</t>
  </si>
  <si>
    <t>07/28/2016</t>
  </si>
  <si>
    <t>შ.პ.ს. ჯი-ემ-პი</t>
  </si>
  <si>
    <t>211385268</t>
  </si>
  <si>
    <t>GE61CR0001004670923602</t>
  </si>
  <si>
    <t>07/27/2016</t>
  </si>
  <si>
    <t>კობა გამცემლიძე</t>
  </si>
  <si>
    <t>01011067056</t>
  </si>
  <si>
    <t>GE13CR0000009417503601</t>
  </si>
  <si>
    <t>ვაჟა ჭიღიტაშვილი</t>
  </si>
  <si>
    <t>01003002958</t>
  </si>
  <si>
    <t>GE61CR0000009417513601</t>
  </si>
  <si>
    <t>გიორგი ელისაშვილი</t>
  </si>
  <si>
    <t>01025017470</t>
  </si>
  <si>
    <t>GE60CR0120007029193601</t>
  </si>
  <si>
    <t>ლევან უჯმაჯურიძე</t>
  </si>
  <si>
    <t>01019005165</t>
  </si>
  <si>
    <t>GE94CR0000000017553601</t>
  </si>
  <si>
    <t>ზვიად ბრეგვაძე</t>
  </si>
  <si>
    <t>01001006444</t>
  </si>
  <si>
    <t>GE32CR0000000923803601</t>
  </si>
  <si>
    <t>თამაზ ბუტიკაშვილი</t>
  </si>
  <si>
    <t>01004005361</t>
  </si>
  <si>
    <t>GE08CR0000000931073601</t>
  </si>
  <si>
    <t>კონსტანტინე მურადაშვილი</t>
  </si>
  <si>
    <t>01003004171</t>
  </si>
  <si>
    <t>GE06CR0000000906863601</t>
  </si>
  <si>
    <t>არჩილ მამაცაშვილი</t>
  </si>
  <si>
    <t>01003010997</t>
  </si>
  <si>
    <t>GE16CR0000000025903601</t>
  </si>
  <si>
    <t>ზურაბ სადუნაშვილი</t>
  </si>
  <si>
    <t>01008020923</t>
  </si>
  <si>
    <t>GE56CR0000000931083601</t>
  </si>
  <si>
    <t>ზაზა ბერულავა</t>
  </si>
  <si>
    <t>01008009042</t>
  </si>
  <si>
    <t>GE15CR0000000059873601</t>
  </si>
  <si>
    <t>თენგიზ გვაზავა</t>
  </si>
  <si>
    <t>62001031044</t>
  </si>
  <si>
    <t>GE96CR0000000914763601</t>
  </si>
  <si>
    <t>ლევან ხიზანიშვილი</t>
  </si>
  <si>
    <t>01017009406</t>
  </si>
  <si>
    <t>GE69CR0000000929853601</t>
  </si>
  <si>
    <t>ლევან ებიტაშვილი</t>
  </si>
  <si>
    <t>01002018849</t>
  </si>
  <si>
    <t>GE08CR0000009417603601</t>
  </si>
  <si>
    <t>31001005382</t>
  </si>
  <si>
    <t>GE57CR0000009417593601</t>
  </si>
  <si>
    <t>ბესიკი გორგაძე</t>
  </si>
  <si>
    <t>35001001314</t>
  </si>
  <si>
    <t>GE56CR0000009417613601</t>
  </si>
  <si>
    <t>მარინე ტომარაძე</t>
  </si>
  <si>
    <t>01022008586</t>
  </si>
  <si>
    <t>GE06CR0000009417643601</t>
  </si>
  <si>
    <t>შალვა მარგალიტაძე</t>
  </si>
  <si>
    <t>35001021541</t>
  </si>
  <si>
    <t>GE55CR0000009417633601</t>
  </si>
  <si>
    <t>ანა კიკნაძე</t>
  </si>
  <si>
    <t>01002030615</t>
  </si>
  <si>
    <t>GE54CR0000009417653601</t>
  </si>
  <si>
    <t>ნიკოლოზ ჯმუხაძე</t>
  </si>
  <si>
    <t>01001071730</t>
  </si>
  <si>
    <t>GE53CR0000009417673601</t>
  </si>
  <si>
    <t>დომენტი კობახიძე</t>
  </si>
  <si>
    <t>01019019229</t>
  </si>
  <si>
    <t>GE05CR0000000914643601</t>
  </si>
  <si>
    <t>იური ნოზაძე</t>
  </si>
  <si>
    <t>38001001235</t>
  </si>
  <si>
    <t>GE45CR0000000007863601</t>
  </si>
  <si>
    <t>გოჩა ცოფურაშვილი</t>
  </si>
  <si>
    <t>01011008151</t>
  </si>
  <si>
    <t>GE02CR0000009417723601</t>
  </si>
  <si>
    <t>07/29/2016</t>
  </si>
  <si>
    <t>გიორგი კილაძე</t>
  </si>
  <si>
    <t>01030009769</t>
  </si>
  <si>
    <t>GE02CR0000000057223601</t>
  </si>
  <si>
    <t>თეიმურაზ ღონღაძე</t>
  </si>
  <si>
    <t>01009002017</t>
  </si>
  <si>
    <t>GE98CR0000009417743601</t>
  </si>
  <si>
    <t>სალომე მაჩიტიძე</t>
  </si>
  <si>
    <t>01001024888</t>
  </si>
  <si>
    <t>GE49CR0000009417753601</t>
  </si>
  <si>
    <t>არტურ აკოპიან</t>
  </si>
  <si>
    <t>01026006040</t>
  </si>
  <si>
    <t>GE39CR0000000931423601</t>
  </si>
  <si>
    <t>გიგა ჯანეზაშვილი</t>
  </si>
  <si>
    <t>01001027165</t>
  </si>
  <si>
    <t>GE97CR0000009417763601</t>
  </si>
  <si>
    <t>თეა ბოლქვაძე</t>
  </si>
  <si>
    <t>33001010970</t>
  </si>
  <si>
    <t>GE76CR0000000022763601</t>
  </si>
  <si>
    <t>შალვა ცხვარაძე</t>
  </si>
  <si>
    <t>01001075263</t>
  </si>
  <si>
    <t>GE48CR0000009417773601</t>
  </si>
  <si>
    <t>გოჩა ენუქიძე</t>
  </si>
  <si>
    <t>01019000860</t>
  </si>
  <si>
    <t>GE45CR0000009417833601</t>
  </si>
  <si>
    <t>კობა ნარჩემაშვილი</t>
  </si>
  <si>
    <t>01022004394</t>
  </si>
  <si>
    <t>GE93CR0000009417843601</t>
  </si>
  <si>
    <t>გენადი მარგველაშვილი</t>
  </si>
  <si>
    <t>60001040401</t>
  </si>
  <si>
    <t>GE44CR0000009417853601</t>
  </si>
  <si>
    <t>ელგუჯა გოცირიძე</t>
  </si>
  <si>
    <t>01024017545</t>
  </si>
  <si>
    <t>GE43CR0000009417873601</t>
  </si>
  <si>
    <t>გრიგოლ ლილუაშვილი</t>
  </si>
  <si>
    <t>60003007236</t>
  </si>
  <si>
    <t>GE06CR0000000891343601</t>
  </si>
  <si>
    <t>დავითი ფარქოსაძე</t>
  </si>
  <si>
    <t>01024000906</t>
  </si>
  <si>
    <t>GE91CR0000009417883601</t>
  </si>
  <si>
    <t>თამაზ დემინაშვილი</t>
  </si>
  <si>
    <t>01014002767</t>
  </si>
  <si>
    <t>GE42CR0000009417893601</t>
  </si>
  <si>
    <t>გულიკო ბრეგვაძე</t>
  </si>
  <si>
    <t>01005006226</t>
  </si>
  <si>
    <t>GE90CR0000009417903601</t>
  </si>
  <si>
    <t>მიხეილ ჯაფარიძე</t>
  </si>
  <si>
    <t>01024001505</t>
  </si>
  <si>
    <t>GE51CR0000000057213601</t>
  </si>
  <si>
    <t>ალექსანდრე ქოქიაშვილი</t>
  </si>
  <si>
    <t>40001002731</t>
  </si>
  <si>
    <t>GE34CR0000000931523601</t>
  </si>
  <si>
    <t>ალექსანდრე ტოგონიძე</t>
  </si>
  <si>
    <t>01024044237</t>
  </si>
  <si>
    <t>GE40CR0000009417933601</t>
  </si>
  <si>
    <t>რამაზი სოხაძე</t>
  </si>
  <si>
    <t>58001003351</t>
  </si>
  <si>
    <t>GE88CR0000009417943601</t>
  </si>
  <si>
    <t>ავთანდილ დიასამიძე</t>
  </si>
  <si>
    <t>01029006522</t>
  </si>
  <si>
    <t>GE87CR0000009417963601</t>
  </si>
  <si>
    <t>გიორგი გაბუნია</t>
  </si>
  <si>
    <t>01007002214</t>
  </si>
  <si>
    <t>GE38CR0000009417973601</t>
  </si>
  <si>
    <t>ანდრო გოგავა</t>
  </si>
  <si>
    <t>01011013561</t>
  </si>
  <si>
    <t>GE86CR0000009417983601</t>
  </si>
  <si>
    <t>ზაზა ქაფიანიძე</t>
  </si>
  <si>
    <t>01007005610</t>
  </si>
  <si>
    <t>GE37CR0000009417993601</t>
  </si>
  <si>
    <t>არჩილი სილაქაძე</t>
  </si>
  <si>
    <t>60001029029</t>
  </si>
  <si>
    <t>GE36CR0000009418013601</t>
  </si>
  <si>
    <t>მირიანი მარგიანი</t>
  </si>
  <si>
    <t>01006021842</t>
  </si>
  <si>
    <t>GE85CR0000009418003601</t>
  </si>
  <si>
    <t>გიორგი ქვათაძე</t>
  </si>
  <si>
    <t>01025006534</t>
  </si>
  <si>
    <t>GE35CR0000009418033601</t>
  </si>
  <si>
    <t>ზურაბ ჩაჩხიანი</t>
  </si>
  <si>
    <t>01030041039</t>
  </si>
  <si>
    <t>GE14CR0000000907673601</t>
  </si>
  <si>
    <t>08/01/2016</t>
  </si>
  <si>
    <t>შ.პ.ს. GEORGIAN TRAVEL GROUP</t>
  </si>
  <si>
    <t>404920939</t>
  </si>
  <si>
    <t>GE18TB7647236080100002</t>
  </si>
  <si>
    <t>თიბისი</t>
  </si>
  <si>
    <t>გრიგოლ მიქელაძე</t>
  </si>
  <si>
    <t>01008000952</t>
  </si>
  <si>
    <t>GE81CR0000000440733601</t>
  </si>
  <si>
    <t>ივანე ნიკოლაიშვილი</t>
  </si>
  <si>
    <t>01027012259</t>
  </si>
  <si>
    <t>GE79CR0000009418123601</t>
  </si>
  <si>
    <t>ვასილ კაჟაშვილი</t>
  </si>
  <si>
    <t>59004001380</t>
  </si>
  <si>
    <t>GE97CR0030086133073601</t>
  </si>
  <si>
    <t>ნანა გორგოძე</t>
  </si>
  <si>
    <t>01002004590</t>
  </si>
  <si>
    <t>GE28CR0000009418173601</t>
  </si>
  <si>
    <t>მამუკა კვირიკაშვილი</t>
  </si>
  <si>
    <t>01016003023</t>
  </si>
  <si>
    <t>GE76CR0000009418183601</t>
  </si>
  <si>
    <t>მარიანა მორგოშია</t>
  </si>
  <si>
    <t>01024023424</t>
  </si>
  <si>
    <t>GE27CR0000009418193601</t>
  </si>
  <si>
    <t>ალექსანდრე ნასარიძე</t>
  </si>
  <si>
    <t>01030002223</t>
  </si>
  <si>
    <t>GE75CR0000009418203601</t>
  </si>
  <si>
    <t>ლევან აროშიძე</t>
  </si>
  <si>
    <t>01009018224</t>
  </si>
  <si>
    <t>GE74CR0000009418223601</t>
  </si>
  <si>
    <t>გიორგი ტალახაძე</t>
  </si>
  <si>
    <t>35001127324</t>
  </si>
  <si>
    <t>GE73CR0000009418243601</t>
  </si>
  <si>
    <t>სოფიო ბოჭორიშვილი</t>
  </si>
  <si>
    <t>37001011100</t>
  </si>
  <si>
    <t>GE25CR0000009418233601</t>
  </si>
  <si>
    <t>ქეთევან ზაქარეიშვილი</t>
  </si>
  <si>
    <t>62001007752</t>
  </si>
  <si>
    <t>GE24CR0000009418253601</t>
  </si>
  <si>
    <t>თენგიზ კალანდაძე</t>
  </si>
  <si>
    <t>01009020355</t>
  </si>
  <si>
    <t>GE72CR0000009418263601</t>
  </si>
  <si>
    <t>ირაკლი ნინუა</t>
  </si>
  <si>
    <t>61001021035</t>
  </si>
  <si>
    <t>GE23CR0000009418273601</t>
  </si>
  <si>
    <t>გიორგი გამგონეიშვილი</t>
  </si>
  <si>
    <t>01010018610</t>
  </si>
  <si>
    <t>GE70CR0000009418303601</t>
  </si>
  <si>
    <t>ბექა კიკალეიშვილი</t>
  </si>
  <si>
    <t>01009014841</t>
  </si>
  <si>
    <t>GE69CR0000009418323601</t>
  </si>
  <si>
    <t>08/02/2016</t>
  </si>
  <si>
    <t>დიმიტრი ზაალიშვილი</t>
  </si>
  <si>
    <t>01003009749</t>
  </si>
  <si>
    <t>GE22CR0000000908483601</t>
  </si>
  <si>
    <t>ივანე პრავდა</t>
  </si>
  <si>
    <t>01009006554</t>
  </si>
  <si>
    <t>GE59CR0000000935873601</t>
  </si>
  <si>
    <t>დავით ჭედია</t>
  </si>
  <si>
    <t>01024040405</t>
  </si>
  <si>
    <t>GE66CR0000009418383601</t>
  </si>
  <si>
    <t>ზურაბ შიშმანაშვილი</t>
  </si>
  <si>
    <t>01030020538</t>
  </si>
  <si>
    <t>GE17CR0000009418393601</t>
  </si>
  <si>
    <t>მიხეილ ჭყონია</t>
  </si>
  <si>
    <t>26001004993</t>
  </si>
  <si>
    <t>GE65CR0000009418403601</t>
  </si>
  <si>
    <t>ოთარი კიკალიშვილი</t>
  </si>
  <si>
    <t>01025004302</t>
  </si>
  <si>
    <t>GE56CR0000000062933601</t>
  </si>
  <si>
    <t>ალექსანდრე გოგაძე</t>
  </si>
  <si>
    <t>01008012272</t>
  </si>
  <si>
    <t>GE64CR0000009418423601</t>
  </si>
  <si>
    <t>რატი რატიანი</t>
  </si>
  <si>
    <t>01024009539</t>
  </si>
  <si>
    <t>GE15CR0000009418433601</t>
  </si>
  <si>
    <t>დავით თენეიშვილი</t>
  </si>
  <si>
    <t>01017012609</t>
  </si>
  <si>
    <t>GE35CR0000000051713601</t>
  </si>
  <si>
    <t>57001019843</t>
  </si>
  <si>
    <t>GE62CR0000009418463601</t>
  </si>
  <si>
    <t>ნინო შარმაზანაშვილი</t>
  </si>
  <si>
    <t>01011074568</t>
  </si>
  <si>
    <t>GE14CR0000009418453601</t>
  </si>
  <si>
    <t>ავთანდილი კოჩაძე</t>
  </si>
  <si>
    <t>21001003059</t>
  </si>
  <si>
    <t>GE13CR0000009418473601</t>
  </si>
  <si>
    <t>ნიკოლოზი გრძელიძე</t>
  </si>
  <si>
    <t>01017025120</t>
  </si>
  <si>
    <t>GE12CR0000009418493601</t>
  </si>
  <si>
    <t>რაინდი უნგიაძე</t>
  </si>
  <si>
    <t>01001047949</t>
  </si>
  <si>
    <t>GE11CR0000009418513601</t>
  </si>
  <si>
    <t>ავთანდილ გაზდელიანი</t>
  </si>
  <si>
    <t>01025000648</t>
  </si>
  <si>
    <t>GE10CR0000009418533601</t>
  </si>
  <si>
    <t>დავით ტაბატაძე</t>
  </si>
  <si>
    <t>01011002326</t>
  </si>
  <si>
    <t>GE58CR0000009418543601</t>
  </si>
  <si>
    <t>ივანე მაღლაკელიძე</t>
  </si>
  <si>
    <t>01002000903</t>
  </si>
  <si>
    <t>GE59CR0000009418523601</t>
  </si>
  <si>
    <t>08/03/2016</t>
  </si>
  <si>
    <t>თორნიკე ჩხეიძე</t>
  </si>
  <si>
    <t>01008020503</t>
  </si>
  <si>
    <t>GE09CR0000009418553601</t>
  </si>
  <si>
    <t>ალექსანდრე ბითაძე</t>
  </si>
  <si>
    <t>13001006231</t>
  </si>
  <si>
    <t>GE55CR0000009418603601</t>
  </si>
  <si>
    <t>დავით გაბეჩავა</t>
  </si>
  <si>
    <t>33001016519</t>
  </si>
  <si>
    <t>GE06CR0000009418613601</t>
  </si>
  <si>
    <t>ჰამლეტ ონიანი</t>
  </si>
  <si>
    <t>01025000831</t>
  </si>
  <si>
    <t>GE54CR0000009418623601</t>
  </si>
  <si>
    <t>ლიანა გოშუა</t>
  </si>
  <si>
    <t>01005020364</t>
  </si>
  <si>
    <t>GE53CR0000009418643601</t>
  </si>
  <si>
    <t>შოთა ხახვიაშვილი</t>
  </si>
  <si>
    <t>01024044489</t>
  </si>
  <si>
    <t>GE04CR0000009418653601</t>
  </si>
  <si>
    <t>მიხეილ ლაბაური</t>
  </si>
  <si>
    <t>01025017459</t>
  </si>
  <si>
    <t>GE52CR0000009418663601</t>
  </si>
  <si>
    <t>მიხეილ ქართლელიშვილი</t>
  </si>
  <si>
    <t>13001005191</t>
  </si>
  <si>
    <t>GE03CR0000009418673601</t>
  </si>
  <si>
    <t>ბიძინა წაქაძე</t>
  </si>
  <si>
    <t>18031006506</t>
  </si>
  <si>
    <t>GE02CR0000009418693601</t>
  </si>
  <si>
    <t>ნოდარ ტოტოღაშვილი</t>
  </si>
  <si>
    <t>01013006941</t>
  </si>
  <si>
    <t>GE50CR0000009418703601</t>
  </si>
  <si>
    <t>ონისე საბიაშვილი</t>
  </si>
  <si>
    <t>35001028785</t>
  </si>
  <si>
    <t>GE98CR0000009418713601</t>
  </si>
  <si>
    <t>ნუგზარ აბალაკი</t>
  </si>
  <si>
    <t>59001023356</t>
  </si>
  <si>
    <t>GE49CR0000009418723601</t>
  </si>
  <si>
    <t>08/05/2016</t>
  </si>
  <si>
    <t>თენგიზ ღლონტი</t>
  </si>
  <si>
    <t>33001007852</t>
  </si>
  <si>
    <t>GE25CR0000000059673601</t>
  </si>
  <si>
    <t>კახაბერ თაქთაქიშვილი</t>
  </si>
  <si>
    <t>01002009429</t>
  </si>
  <si>
    <t>GE92CR0000009418833601</t>
  </si>
  <si>
    <t>გივი იორდანიშვილი</t>
  </si>
  <si>
    <t>20001006448</t>
  </si>
  <si>
    <t>GE43CR0000009418843601</t>
  </si>
  <si>
    <t>გიგა ცხელიშვილი</t>
  </si>
  <si>
    <t>21001009597</t>
  </si>
  <si>
    <t>GE91CR0000009418853601</t>
  </si>
  <si>
    <t>08/08/2016</t>
  </si>
  <si>
    <t>ირმა კაჭიური</t>
  </si>
  <si>
    <t>24001001418</t>
  </si>
  <si>
    <t>GE86CR0000009418953601</t>
  </si>
  <si>
    <t>გიორგი თავბერიძე</t>
  </si>
  <si>
    <t>01026012964</t>
  </si>
  <si>
    <t>GE37CR0000009418963601</t>
  </si>
  <si>
    <t>თამარი კეპულაძე</t>
  </si>
  <si>
    <t>60001036419</t>
  </si>
  <si>
    <t>GE36CR0000009418983601</t>
  </si>
  <si>
    <t>მარიამ ხოსროშვილი</t>
  </si>
  <si>
    <t>01006003966</t>
  </si>
  <si>
    <t>GE84CR0000009418993601</t>
  </si>
  <si>
    <t>ვახტანგ შელია</t>
  </si>
  <si>
    <t>51001006305</t>
  </si>
  <si>
    <t>GE34CR0000009419023601</t>
  </si>
  <si>
    <t>თამარ გვალია</t>
  </si>
  <si>
    <t>01010004444</t>
  </si>
  <si>
    <t>GE79CR0000009419093601</t>
  </si>
  <si>
    <t>მარინა ბარათაშვილი</t>
  </si>
  <si>
    <t>01030027453</t>
  </si>
  <si>
    <t>GE30CR0000009419103601</t>
  </si>
  <si>
    <t>იოსებ ბრეგვაძე</t>
  </si>
  <si>
    <t>01008009199</t>
  </si>
  <si>
    <t>GE78CR0000009419113601</t>
  </si>
  <si>
    <t>ლარისა მელია</t>
  </si>
  <si>
    <t>62001018905</t>
  </si>
  <si>
    <t>GE29CR0000009419123601</t>
  </si>
  <si>
    <t>რევაზ სულუხია</t>
  </si>
  <si>
    <t>62001001789</t>
  </si>
  <si>
    <t>GE77CR0000009419133601</t>
  </si>
  <si>
    <t>08/09/2016</t>
  </si>
  <si>
    <t>ლევან თავბერიძე</t>
  </si>
  <si>
    <t>01008008827</t>
  </si>
  <si>
    <t>GE26CR0000009419183601</t>
  </si>
  <si>
    <t>ხათუნა ბერიძე</t>
  </si>
  <si>
    <t>01011040424</t>
  </si>
  <si>
    <t>GE74CR0000009419193601</t>
  </si>
  <si>
    <t>ნატალია ფირცხალავა</t>
  </si>
  <si>
    <t>01012018658</t>
  </si>
  <si>
    <t>GE24CR0000009419223601</t>
  </si>
  <si>
    <t>შორენა ჭანკვეტაძე</t>
  </si>
  <si>
    <t>01015003084</t>
  </si>
  <si>
    <t>GE72CR0000009419233601</t>
  </si>
  <si>
    <t>ვასილ აბულაძე</t>
  </si>
  <si>
    <t>01015002286</t>
  </si>
  <si>
    <t>GE68CR0000009419313601</t>
  </si>
  <si>
    <t>კახა ხელაძე</t>
  </si>
  <si>
    <t>01024003438</t>
  </si>
  <si>
    <t>GE19CR0000009419323601</t>
  </si>
  <si>
    <t>მარიკა ზარდიაშვილი</t>
  </si>
  <si>
    <t>01008024985</t>
  </si>
  <si>
    <t>GE67CR0000009419333601</t>
  </si>
  <si>
    <t>ალინა ჩხაიძე</t>
  </si>
  <si>
    <t>01020004854</t>
  </si>
  <si>
    <t>GE18CR0000009419343601</t>
  </si>
  <si>
    <t>თამარ ქაჩიბაია</t>
  </si>
  <si>
    <t>01005003574</t>
  </si>
  <si>
    <t>GE17CR0000009419363601</t>
  </si>
  <si>
    <t>მანანა ელისაშვილი</t>
  </si>
  <si>
    <t>01024061740</t>
  </si>
  <si>
    <t>GE66CR0000009419353601</t>
  </si>
  <si>
    <t>ნიკოლოზ ქარცივაძე</t>
  </si>
  <si>
    <t>01017019046</t>
  </si>
  <si>
    <t>GE65CR0000009419373601</t>
  </si>
  <si>
    <t>შ.პ.ს. გაგრა +</t>
  </si>
  <si>
    <t>250724284</t>
  </si>
  <si>
    <t>GE08BG0000000152515900</t>
  </si>
  <si>
    <t>08/10/2016</t>
  </si>
  <si>
    <t>მარინა ჯორბენაძე</t>
  </si>
  <si>
    <t>26001007523</t>
  </si>
  <si>
    <t>GE64CR0000009419393601</t>
  </si>
  <si>
    <t>მარინა ტოკლიკიშვილი</t>
  </si>
  <si>
    <t>01017002930</t>
  </si>
  <si>
    <t>GE15CR0000009419403601</t>
  </si>
  <si>
    <t>დავით ჭრელაშვილი</t>
  </si>
  <si>
    <t>14001002314</t>
  </si>
  <si>
    <t>GE62CR0000009419433601</t>
  </si>
  <si>
    <t>ნანა გელოვანი</t>
  </si>
  <si>
    <t>01010014207</t>
  </si>
  <si>
    <t>GE12CR0000009419463601</t>
  </si>
  <si>
    <t>თემურ კუჭუხიძე</t>
  </si>
  <si>
    <t>01010000254</t>
  </si>
  <si>
    <t>GE61CR0000009419453601</t>
  </si>
  <si>
    <t>მერაბი ნიშნიანიძე</t>
  </si>
  <si>
    <t>01014000164</t>
  </si>
  <si>
    <t>GE60CR0000009419473601</t>
  </si>
  <si>
    <t>მერაბი ზუმბაძე</t>
  </si>
  <si>
    <t>01024028709</t>
  </si>
  <si>
    <t>GE11CR0000009419483601</t>
  </si>
  <si>
    <t>შორენა კიკვაძე</t>
  </si>
  <si>
    <t>01029004658</t>
  </si>
  <si>
    <t>GE59CR0000009419493601</t>
  </si>
  <si>
    <t>მარინე არჩვაძე</t>
  </si>
  <si>
    <t>01005017990</t>
  </si>
  <si>
    <t>GE10CR0000009419503601</t>
  </si>
  <si>
    <t>ლიზა გოდერძიშვილი</t>
  </si>
  <si>
    <t>01030023053</t>
  </si>
  <si>
    <t>GE58CR0000009419513601</t>
  </si>
  <si>
    <t>08/11/2016</t>
  </si>
  <si>
    <t>ლელა ბრეგაძე</t>
  </si>
  <si>
    <t>01009002231</t>
  </si>
  <si>
    <t>GE55CR0000009419573601</t>
  </si>
  <si>
    <t>ელისო თურქაძე</t>
  </si>
  <si>
    <t>01019010161</t>
  </si>
  <si>
    <t>GE06CR0000009419583601</t>
  </si>
  <si>
    <t>ჯემალ ჭუმბურიძე</t>
  </si>
  <si>
    <t>01024000639</t>
  </si>
  <si>
    <t>GE52CR0000009419633601</t>
  </si>
  <si>
    <t>კახაბერ დვალიშვილი</t>
  </si>
  <si>
    <t>01017016465</t>
  </si>
  <si>
    <t>GE03CR0000009419643601</t>
  </si>
  <si>
    <t>ირინა კიკნაძე</t>
  </si>
  <si>
    <t>11001020569</t>
  </si>
  <si>
    <t>GE94CR0000009419763601</t>
  </si>
  <si>
    <t>ლიკა ჯაჯანიძე</t>
  </si>
  <si>
    <t>54001007358</t>
  </si>
  <si>
    <t>GE93CR0000009419783601</t>
  </si>
  <si>
    <t>08/12/2016</t>
  </si>
  <si>
    <t>გიორგი გეგია</t>
  </si>
  <si>
    <t>55001002672</t>
  </si>
  <si>
    <t>GE91CR0000009419823601</t>
  </si>
  <si>
    <t>ლელა ჩხიკვაძე</t>
  </si>
  <si>
    <t>01007006836</t>
  </si>
  <si>
    <t>GE41CR0000009419853601</t>
  </si>
  <si>
    <t>ზაზა ნარაკიძე</t>
  </si>
  <si>
    <t>61006020278</t>
  </si>
  <si>
    <t>GE88CR0000009419883601</t>
  </si>
  <si>
    <t>ანრი ზოიძე</t>
  </si>
  <si>
    <t>61001034595</t>
  </si>
  <si>
    <t>GE40CR0000009419873601</t>
  </si>
  <si>
    <t>კახაბერ კაპანაძე</t>
  </si>
  <si>
    <t>01010009080</t>
  </si>
  <si>
    <t>GE39CR0000009419893601</t>
  </si>
  <si>
    <t>შორენა კიწმარიშვილი</t>
  </si>
  <si>
    <t>37001001408</t>
  </si>
  <si>
    <t>GE87CR0000009419903601</t>
  </si>
  <si>
    <t>გელა კაპანაძე</t>
  </si>
  <si>
    <t>01010003858</t>
  </si>
  <si>
    <t>GE35CR0140005000743601</t>
  </si>
  <si>
    <t>ნიკოლოზ ჯაჯანიძე</t>
  </si>
  <si>
    <t>54001001448</t>
  </si>
  <si>
    <t>GE38CR0000009419913601</t>
  </si>
  <si>
    <t>დავით წითური</t>
  </si>
  <si>
    <t>01011027427</t>
  </si>
  <si>
    <t>GE86CR0000009419923601</t>
  </si>
  <si>
    <t>მარიანა ტყემალაძე</t>
  </si>
  <si>
    <t>11001007199</t>
  </si>
  <si>
    <t>GE37CR0000009419933601</t>
  </si>
  <si>
    <t>არკადი კიშკო</t>
  </si>
  <si>
    <t>59001010520</t>
  </si>
  <si>
    <t>GE36CR0000009419953601</t>
  </si>
  <si>
    <t>08/15/2016</t>
  </si>
  <si>
    <t>ინგა გრიგორიანი</t>
  </si>
  <si>
    <t>01002011595</t>
  </si>
  <si>
    <t>GE79CR0000009420063601</t>
  </si>
  <si>
    <t>გიორგი დანელია</t>
  </si>
  <si>
    <t>01005004214</t>
  </si>
  <si>
    <t>GE30CR0000009420073601</t>
  </si>
  <si>
    <t>კონსტანტინე რაზმაზიშვილი</t>
  </si>
  <si>
    <t>01017026380</t>
  </si>
  <si>
    <t>GE78CR0000009420083601</t>
  </si>
  <si>
    <t>გიორგი ბერიაშვილი</t>
  </si>
  <si>
    <t>01017024594</t>
  </si>
  <si>
    <t>GE29CR0000009420093601</t>
  </si>
  <si>
    <t>გიორგი ბერიანიძე</t>
  </si>
  <si>
    <t>01003013531</t>
  </si>
  <si>
    <t>GE28CR0000009420113601</t>
  </si>
  <si>
    <t>შ.პ.ს. მისო ლიდერ კრედიტი</t>
  </si>
  <si>
    <t>406045649</t>
  </si>
  <si>
    <t>GE43TB7146836020100002</t>
  </si>
  <si>
    <t>08/16/2016</t>
  </si>
  <si>
    <t>ნინო რობაქიძე</t>
  </si>
  <si>
    <t>01011073540</t>
  </si>
  <si>
    <t>GE24CR0000009420193601</t>
  </si>
  <si>
    <t>ნატო ცანკაშვილი</t>
  </si>
  <si>
    <t>35001049202</t>
  </si>
  <si>
    <t>GE72CR0000009420203601</t>
  </si>
  <si>
    <t>დავითი ნანეტაშვილი</t>
  </si>
  <si>
    <t>35001060600</t>
  </si>
  <si>
    <t>GE23CR0000009420213601</t>
  </si>
  <si>
    <t>ვალერი დავითაშვილი</t>
  </si>
  <si>
    <t>01029011777</t>
  </si>
  <si>
    <t>GE71CR0000009420223601</t>
  </si>
  <si>
    <t>ირენა კუჭავა</t>
  </si>
  <si>
    <t>01009002046</t>
  </si>
  <si>
    <t>GE22CR0000009420233601</t>
  </si>
  <si>
    <t>ლაშა კორძაძე</t>
  </si>
  <si>
    <t>17001029272</t>
  </si>
  <si>
    <t>GE70CR0000009420243601</t>
  </si>
  <si>
    <t>ვაჟა ნებიერიძე</t>
  </si>
  <si>
    <t>18001012849</t>
  </si>
  <si>
    <t>GE20CR0000009420273601</t>
  </si>
  <si>
    <t>თემურ რურუა</t>
  </si>
  <si>
    <t>62001039236</t>
  </si>
  <si>
    <t>GE68CR0000009420283601</t>
  </si>
  <si>
    <t>ორენჩი მირზოევი</t>
  </si>
  <si>
    <t>01001014105</t>
  </si>
  <si>
    <t>GE69CR0000009420263601</t>
  </si>
  <si>
    <t>ვალერი მამულაძე</t>
  </si>
  <si>
    <t>61010016427</t>
  </si>
  <si>
    <t>GE67CR0000009420303601</t>
  </si>
  <si>
    <t>მალხაზ კაპანაძე</t>
  </si>
  <si>
    <t>01010009081</t>
  </si>
  <si>
    <t>GE18CR0000009420313601</t>
  </si>
  <si>
    <t>ნათია ჭაბაშვილი</t>
  </si>
  <si>
    <t>35001095318</t>
  </si>
  <si>
    <t>GE17CR0000009420333601</t>
  </si>
  <si>
    <t>ლიკა ქუმელაშვილი</t>
  </si>
  <si>
    <t>01030033289</t>
  </si>
  <si>
    <t>GE16CR0000009420353601</t>
  </si>
  <si>
    <t>ალექსი პავლიაშვილი</t>
  </si>
  <si>
    <t>08001008382</t>
  </si>
  <si>
    <t>GE64CR0000009420363601</t>
  </si>
  <si>
    <t>როვშან მურადოვი</t>
  </si>
  <si>
    <t>35001116982</t>
  </si>
  <si>
    <t>GE15CR0000009420373601</t>
  </si>
  <si>
    <t>ნოდარ ჯაფარიძე</t>
  </si>
  <si>
    <t>01019000031</t>
  </si>
  <si>
    <t>GE14CR0000009420393601</t>
  </si>
  <si>
    <t>08/17/2016</t>
  </si>
  <si>
    <t>ალექსანდრე წულაია</t>
  </si>
  <si>
    <t>42001006741</t>
  </si>
  <si>
    <t>GE71CR0050009420463601</t>
  </si>
  <si>
    <t>ალექსანდრე ხეთერელი</t>
  </si>
  <si>
    <t>01024030608</t>
  </si>
  <si>
    <t>GE58CR0000009420483601</t>
  </si>
  <si>
    <t>გიორგი შელია</t>
  </si>
  <si>
    <t>19001002656</t>
  </si>
  <si>
    <t>GE22CR0050009420473601</t>
  </si>
  <si>
    <t>რამაზ გუჯაბიძე</t>
  </si>
  <si>
    <t>42001006202</t>
  </si>
  <si>
    <t>GE21CR0050009420493601</t>
  </si>
  <si>
    <t>დავით წიწილაშვილი</t>
  </si>
  <si>
    <t>42001000009</t>
  </si>
  <si>
    <t>GE23CR0050009420453601</t>
  </si>
  <si>
    <t>ზაზა ფრუიძე</t>
  </si>
  <si>
    <t>12002000186</t>
  </si>
  <si>
    <t>GE08CR0000009420513601</t>
  </si>
  <si>
    <t>თენგიზ სარიშვილი</t>
  </si>
  <si>
    <t>42001000800</t>
  </si>
  <si>
    <t>GE68CR0050009420523601</t>
  </si>
  <si>
    <t>მარინა ესებუა</t>
  </si>
  <si>
    <t>42001000964</t>
  </si>
  <si>
    <t>GE67CR0050009420543601</t>
  </si>
  <si>
    <t>კახაბერი ლატარეა</t>
  </si>
  <si>
    <t>42001006386</t>
  </si>
  <si>
    <t>GE18CR0050009420553601</t>
  </si>
  <si>
    <t>გურამი წიწილაშვილი</t>
  </si>
  <si>
    <t>42001000194</t>
  </si>
  <si>
    <t>GE17CR0050009420573601</t>
  </si>
  <si>
    <t>ქეთევან ახალკაციშვილი</t>
  </si>
  <si>
    <t>01010011349</t>
  </si>
  <si>
    <t>GE53CR0000009420583601</t>
  </si>
  <si>
    <t>ელენე შვანგირაძე</t>
  </si>
  <si>
    <t>01025013440</t>
  </si>
  <si>
    <t>GE04CR0000009420593601</t>
  </si>
  <si>
    <t>მაია ფოფხაძე</t>
  </si>
  <si>
    <t>01003006771</t>
  </si>
  <si>
    <t>GE52CR0000009420603601</t>
  </si>
  <si>
    <t>სილვა მარკოსოვი</t>
  </si>
  <si>
    <t>01015014442</t>
  </si>
  <si>
    <t>GE03CR0000009420613601</t>
  </si>
  <si>
    <t>ალბერტ ამიროვი</t>
  </si>
  <si>
    <t>01027007593</t>
  </si>
  <si>
    <t>GE51CR0000009420623601</t>
  </si>
  <si>
    <t>გიორგი ყენია</t>
  </si>
  <si>
    <t>01019049492</t>
  </si>
  <si>
    <t>GE98CR0000009420653601</t>
  </si>
  <si>
    <t>ირაკლი გოდელაძე</t>
  </si>
  <si>
    <t>43001038638</t>
  </si>
  <si>
    <t>GE97CR0000009420673601</t>
  </si>
  <si>
    <t>არჩილ ზუმბულიძე</t>
  </si>
  <si>
    <t>01030000718</t>
  </si>
  <si>
    <t>GE49CR0000009420663601</t>
  </si>
  <si>
    <t>გიორგი კაციტაძე</t>
  </si>
  <si>
    <t>01010010221</t>
  </si>
  <si>
    <t>GE48CR0000009420683601</t>
  </si>
  <si>
    <t>მალხაზ ჩარკვიანი</t>
  </si>
  <si>
    <t>01024028375</t>
  </si>
  <si>
    <t>GE41CR0140000502733601</t>
  </si>
  <si>
    <t>08/18/2016</t>
  </si>
  <si>
    <t>ეკატერინე ჯაში</t>
  </si>
  <si>
    <t>01030017634</t>
  </si>
  <si>
    <t>GE09CR0000000901953601</t>
  </si>
  <si>
    <t>გიორგი არტაზიანი</t>
  </si>
  <si>
    <t>01001047905</t>
  </si>
  <si>
    <t>GE47CR0000009420703601</t>
  </si>
  <si>
    <t>გიორგი გარიშვილი</t>
  </si>
  <si>
    <t>01001062794</t>
  </si>
  <si>
    <t>GE95CR0000009420713601</t>
  </si>
  <si>
    <t>ზურაბი ლიპარტელიანი</t>
  </si>
  <si>
    <t>01019088313</t>
  </si>
  <si>
    <t>GE46CR0000009420723601</t>
  </si>
  <si>
    <t>კარლო უნდილაშვილი</t>
  </si>
  <si>
    <t>31001049218</t>
  </si>
  <si>
    <t>GE94CR0000009420733601</t>
  </si>
  <si>
    <t>ნიკა ჯავახიშვილი</t>
  </si>
  <si>
    <t>01010011396</t>
  </si>
  <si>
    <t>GE92CR0000009420773601</t>
  </si>
  <si>
    <t>გრიგოლ ხანდულიანი</t>
  </si>
  <si>
    <t>01011032199</t>
  </si>
  <si>
    <t>GE43CR0000009420783601</t>
  </si>
  <si>
    <t>სოფიო გაბრიჩიძე</t>
  </si>
  <si>
    <t>60001079871</t>
  </si>
  <si>
    <t>GE90CR0000009420813601</t>
  </si>
  <si>
    <t>ნატალია ცივაძე</t>
  </si>
  <si>
    <t>61001027406</t>
  </si>
  <si>
    <t>GE41CR0000009420823601</t>
  </si>
  <si>
    <t>ეკატერინე ხურცია</t>
  </si>
  <si>
    <t>42001000801</t>
  </si>
  <si>
    <t>GE19CR0050009420533601</t>
  </si>
  <si>
    <t>ლაშა-გიორგი მურადაშვილი</t>
  </si>
  <si>
    <t>01027081849</t>
  </si>
  <si>
    <t>GE45CR0000009420743601</t>
  </si>
  <si>
    <t>შ.პ.ს. პრაიმი</t>
  </si>
  <si>
    <t>406059955</t>
  </si>
  <si>
    <t>GE20PC0133400100000073</t>
  </si>
  <si>
    <t>პროკრედიტ ბანკი</t>
  </si>
  <si>
    <t>შ.პ.ს. DAR BUILDING</t>
  </si>
  <si>
    <t>445420875</t>
  </si>
  <si>
    <t>GE35BG0000000710482500</t>
  </si>
  <si>
    <t>შ.პ.ს. გეოგრანდ ბეთ</t>
  </si>
  <si>
    <t>445465005</t>
  </si>
  <si>
    <t>GE46PG0000001095551268</t>
  </si>
  <si>
    <t>პროგრეს ბანკი</t>
  </si>
  <si>
    <t>08/19/2016</t>
  </si>
  <si>
    <t>სტანისლავ კლანიანი</t>
  </si>
  <si>
    <t>01008022291</t>
  </si>
  <si>
    <t>GE38CR0000009420883601</t>
  </si>
  <si>
    <t>მამე რაიკი</t>
  </si>
  <si>
    <t>01001005746</t>
  </si>
  <si>
    <t>GE86CR0000009420893601</t>
  </si>
  <si>
    <t>ალექსანდრე ხარებავა</t>
  </si>
  <si>
    <t>01024020426</t>
  </si>
  <si>
    <t>GE84CR0000000042973601</t>
  </si>
  <si>
    <t>ჯაბა კიკვიძე</t>
  </si>
  <si>
    <t>01007013756</t>
  </si>
  <si>
    <t>GE36CR0000009420923601</t>
  </si>
  <si>
    <t>08/22/2016</t>
  </si>
  <si>
    <t>ნიკოლოზ ჯავაშვილი</t>
  </si>
  <si>
    <t>01010014880</t>
  </si>
  <si>
    <t>GE32CR0000009421003601</t>
  </si>
  <si>
    <t>ქეთევან მაისურაძე</t>
  </si>
  <si>
    <t>01003015337</t>
  </si>
  <si>
    <t>GE80CR0000009421013601</t>
  </si>
  <si>
    <t>გულჩინა ამოევა</t>
  </si>
  <si>
    <t>01017034474</t>
  </si>
  <si>
    <t>GE91CR0030086115733601</t>
  </si>
  <si>
    <t>08/23/2016</t>
  </si>
  <si>
    <t>შოთა ხაბარელი</t>
  </si>
  <si>
    <t>01008007860</t>
  </si>
  <si>
    <t>GE18CR0000000919233601</t>
  </si>
  <si>
    <t>ზაზა პაპუაშვილი</t>
  </si>
  <si>
    <t>01005005658</t>
  </si>
  <si>
    <t>GE74CR0000009421133601</t>
  </si>
  <si>
    <t>გიორგი მოსიძე</t>
  </si>
  <si>
    <t>01017006891</t>
  </si>
  <si>
    <t>GE73CR0000009421153601</t>
  </si>
  <si>
    <t>რამაზ ცეცხლაძე</t>
  </si>
  <si>
    <t>61009000583</t>
  </si>
  <si>
    <t>GE23CR0000009421183601</t>
  </si>
  <si>
    <t>08/24/2016</t>
  </si>
  <si>
    <t>გიორგი კოპაძე</t>
  </si>
  <si>
    <t>47001000002</t>
  </si>
  <si>
    <t>GE69CR0000009421233601</t>
  </si>
  <si>
    <t>ლევან გოგსაძე</t>
  </si>
  <si>
    <t>01024009478</t>
  </si>
  <si>
    <t>GE68CR0000009421253601</t>
  </si>
  <si>
    <t>ირაკლი სესიაშვილი</t>
  </si>
  <si>
    <t>01026002941</t>
  </si>
  <si>
    <t>GE59CR0000000065783601</t>
  </si>
  <si>
    <t>ბექა ოდიშარია</t>
  </si>
  <si>
    <t>01008017236</t>
  </si>
  <si>
    <t>GE64CR0030086103663601</t>
  </si>
  <si>
    <t>ირაკლი მენთეშაშვილი</t>
  </si>
  <si>
    <t>01011009687</t>
  </si>
  <si>
    <t>GE08CR0000000919433601</t>
  </si>
  <si>
    <t>თენგიზი ხუბულური</t>
  </si>
  <si>
    <t>59001003754</t>
  </si>
  <si>
    <t>GE66CR0000009421293601</t>
  </si>
  <si>
    <t>კობა კობალაძე</t>
  </si>
  <si>
    <t>01019002803</t>
  </si>
  <si>
    <t>GE18CR0000009421283601</t>
  </si>
  <si>
    <t>გოგი მეშველიანი</t>
  </si>
  <si>
    <t>10001008188</t>
  </si>
  <si>
    <t>GE65CR0000009421313601</t>
  </si>
  <si>
    <t>პაატა კვიჟინაძე</t>
  </si>
  <si>
    <t>65002005319</t>
  </si>
  <si>
    <t>GE69CR0000000931793601</t>
  </si>
  <si>
    <t>08/25/2016</t>
  </si>
  <si>
    <t>ავთანდილ კიპაროიძე</t>
  </si>
  <si>
    <t>01015007571</t>
  </si>
  <si>
    <t>GE63CR0000009421353601</t>
  </si>
  <si>
    <t>ზაური სირაძე</t>
  </si>
  <si>
    <t>01017013040</t>
  </si>
  <si>
    <t>GE92CR0000000120413601</t>
  </si>
  <si>
    <t>გიორგი ყანადაშვილი</t>
  </si>
  <si>
    <t>01611111685</t>
  </si>
  <si>
    <t>GE62CR0000009421373601</t>
  </si>
  <si>
    <t>მიხეილ გვარამაძე</t>
  </si>
  <si>
    <t>01008023171</t>
  </si>
  <si>
    <t>GE96CR0000000406483601</t>
  </si>
  <si>
    <t>თეიმურაზ ჭკუასელი</t>
  </si>
  <si>
    <t>01007001321</t>
  </si>
  <si>
    <t>GE74CR0000000000493601</t>
  </si>
  <si>
    <t>დიმიტრი ადამია</t>
  </si>
  <si>
    <t>01024028596</t>
  </si>
  <si>
    <t>GE62CR0000000914473601</t>
  </si>
  <si>
    <t>გიორგი ვოლსკი</t>
  </si>
  <si>
    <t>65007000020</t>
  </si>
  <si>
    <t>GE29CR0000000863723601</t>
  </si>
  <si>
    <t>08/26/2016</t>
  </si>
  <si>
    <t>ნინო ქუთათელაძე</t>
  </si>
  <si>
    <t>60001025655</t>
  </si>
  <si>
    <t>GE10CR0000009421443601</t>
  </si>
  <si>
    <t>თეონა მოხევიშვილი</t>
  </si>
  <si>
    <t>01003015890</t>
  </si>
  <si>
    <t>GE58CR0000009421453601</t>
  </si>
  <si>
    <t>ლევანი ჩიკვაიძე</t>
  </si>
  <si>
    <t>01023004761</t>
  </si>
  <si>
    <t>GE58CR0000000919403601</t>
  </si>
  <si>
    <t>არჩილ თოფურია</t>
  </si>
  <si>
    <t>01024023953</t>
  </si>
  <si>
    <t>GE08CR0000009421483601</t>
  </si>
  <si>
    <t>მინდია ნიქაბაძე</t>
  </si>
  <si>
    <t>60001041448</t>
  </si>
  <si>
    <t>GE56CR0000009421493601</t>
  </si>
  <si>
    <t>გოგა გულორდავა</t>
  </si>
  <si>
    <t>51001000028</t>
  </si>
  <si>
    <t>GE07CR0000009421503601</t>
  </si>
  <si>
    <t>ბექა ნაცვლიშვილი</t>
  </si>
  <si>
    <t>01015000606</t>
  </si>
  <si>
    <t>GE55CR0000009421513601</t>
  </si>
  <si>
    <t>ივლიანე წულაია</t>
  </si>
  <si>
    <t>37001007207</t>
  </si>
  <si>
    <t>GE54CR0000009421533601</t>
  </si>
  <si>
    <t>ირაკლი ქაფიანიძე</t>
  </si>
  <si>
    <t>01011008250</t>
  </si>
  <si>
    <t>GE05CR0000009421543601</t>
  </si>
  <si>
    <t>ირაკლი ბერაია</t>
  </si>
  <si>
    <t>39001000356</t>
  </si>
  <si>
    <t>GE53CR0000009421553601</t>
  </si>
  <si>
    <t>ზაური ცხადაძე</t>
  </si>
  <si>
    <t>01019001384</t>
  </si>
  <si>
    <t>GE44CR0000000937143601</t>
  </si>
  <si>
    <t>ზურაბი ჩხიტუნიძე</t>
  </si>
  <si>
    <t>38001000962</t>
  </si>
  <si>
    <t>GE04CR0000009421563601</t>
  </si>
  <si>
    <t>გიორგი სვანიშვილი</t>
  </si>
  <si>
    <t>01002009002</t>
  </si>
  <si>
    <t>GE03CR0000009421583601</t>
  </si>
  <si>
    <t>08/29/2016</t>
  </si>
  <si>
    <t>შ.პ.ს. კოკა-კოლა ბოთლერს ჯორჯია</t>
  </si>
  <si>
    <t>201948063</t>
  </si>
  <si>
    <t>GE03BG0000000886624600</t>
  </si>
  <si>
    <t>შ.პ.ს. თ.რ დისტრიბუშენ აჭარა</t>
  </si>
  <si>
    <t>245629468</t>
  </si>
  <si>
    <t>GE82BG0000000874238800</t>
  </si>
  <si>
    <t>შ.პ.ს. თ და რ დისტრიბუშენ</t>
  </si>
  <si>
    <t>202311738</t>
  </si>
  <si>
    <t>GE54BG0000000179978100</t>
  </si>
  <si>
    <t>შ.პ.ს. თ.რ დისტრიბუშენ იმერეთი</t>
  </si>
  <si>
    <t>212921622</t>
  </si>
  <si>
    <t>GE84BG0000000872103600</t>
  </si>
  <si>
    <t>გიორგი შარაშიძე</t>
  </si>
  <si>
    <t>01008033329</t>
  </si>
  <si>
    <t>GE92CR0000000065123601</t>
  </si>
  <si>
    <t>ბიძინა გეგიძე</t>
  </si>
  <si>
    <t>01009001594</t>
  </si>
  <si>
    <t>GE47CR0000009421673601</t>
  </si>
  <si>
    <t>ნათია ნარაკიძე</t>
  </si>
  <si>
    <t>61006030187</t>
  </si>
  <si>
    <t>GE46CR0000009421693601</t>
  </si>
  <si>
    <t>08/30/2016</t>
  </si>
  <si>
    <t>გრიგოლ მატუაშვილი</t>
  </si>
  <si>
    <t>01010000248</t>
  </si>
  <si>
    <t>GE84CR0000000892693601</t>
  </si>
  <si>
    <t>ავთანდილ პაპოშვილი</t>
  </si>
  <si>
    <t>01027039092</t>
  </si>
  <si>
    <t>GE48CR0000000929303601</t>
  </si>
  <si>
    <t>ირაკლი დალაქიშვილი</t>
  </si>
  <si>
    <t>35001048259</t>
  </si>
  <si>
    <t>GE89CR0000009421803601</t>
  </si>
  <si>
    <t>მირონ ჩიგოგიძე</t>
  </si>
  <si>
    <t>01024001186</t>
  </si>
  <si>
    <t>GE40CR0000009421813601</t>
  </si>
  <si>
    <t>ვახტანგ მაკარიძე</t>
  </si>
  <si>
    <t>01024022110</t>
  </si>
  <si>
    <t>GE88CR0000009421823601</t>
  </si>
  <si>
    <t>ნიკოლოზ კვეზერელი</t>
  </si>
  <si>
    <t>01017017790</t>
  </si>
  <si>
    <t>GE39CR0000009421833601</t>
  </si>
  <si>
    <t>08/31/2016</t>
  </si>
  <si>
    <t>ლევან სამუშია</t>
  </si>
  <si>
    <t>01005023950</t>
  </si>
  <si>
    <t>GE84CR0000009421903601</t>
  </si>
  <si>
    <t>გიორგი ქაჯაია</t>
  </si>
  <si>
    <t>01006008287</t>
  </si>
  <si>
    <t>GE36CR0000009421893601</t>
  </si>
  <si>
    <t>რომან დალაქიშვილი</t>
  </si>
  <si>
    <t>22001000001</t>
  </si>
  <si>
    <t>GE19CR0000000913393601</t>
  </si>
  <si>
    <t>ირაკლი ჩიქავა</t>
  </si>
  <si>
    <t>01010002822</t>
  </si>
  <si>
    <t>GE35CR0000009421913601</t>
  </si>
  <si>
    <t>მედეა ერაძე</t>
  </si>
  <si>
    <t>01015012289</t>
  </si>
  <si>
    <t>GE36CR0000000065273601</t>
  </si>
  <si>
    <t>ირაკლი აბუსერიძე</t>
  </si>
  <si>
    <t>01024000929</t>
  </si>
  <si>
    <t>GE82CR0000009421943601</t>
  </si>
  <si>
    <t>ბეჟანი ანუაშვილი</t>
  </si>
  <si>
    <t>01017003114</t>
  </si>
  <si>
    <t>GE33CR0000009421953601</t>
  </si>
  <si>
    <t>ვაჟა ციგროშვილი</t>
  </si>
  <si>
    <t>36001040181</t>
  </si>
  <si>
    <t>GE32CR0000009421973601</t>
  </si>
  <si>
    <t>დიმიტრი მხეიძე</t>
  </si>
  <si>
    <t>53001004932</t>
  </si>
  <si>
    <t>GE92CR0050009421983601</t>
  </si>
  <si>
    <t>შ.პ.ს. ვი-აი-პი +</t>
  </si>
  <si>
    <t>216429577</t>
  </si>
  <si>
    <t>GE71TB0200000360867040</t>
  </si>
  <si>
    <t>შ.პ.ს. ნიუ ჯორჯია-555</t>
  </si>
  <si>
    <t>404381101</t>
  </si>
  <si>
    <t>GE03TB0893636080100004</t>
  </si>
  <si>
    <t>09/01/2016</t>
  </si>
  <si>
    <t>ნერუ ჩანქსელიანი</t>
  </si>
  <si>
    <t>62004007315</t>
  </si>
  <si>
    <t>GE27CR0030009422023601</t>
  </si>
  <si>
    <t>ნოდარ ჩხაპელია</t>
  </si>
  <si>
    <t>19001006827</t>
  </si>
  <si>
    <t>GE89CR0050009422043601</t>
  </si>
  <si>
    <t>ლევან ქუჩულორია</t>
  </si>
  <si>
    <t>19001013000</t>
  </si>
  <si>
    <t>GE40CR0050009422053601</t>
  </si>
  <si>
    <t>გოჩა კურდღელია</t>
  </si>
  <si>
    <t>42001005705</t>
  </si>
  <si>
    <t>GE39CR0050009422073601</t>
  </si>
  <si>
    <t>ალექსანდრე მეგუთნიშვილი</t>
  </si>
  <si>
    <t>20001004786</t>
  </si>
  <si>
    <t>GE04CR0000000192983601</t>
  </si>
  <si>
    <t>მათე გაბუნია</t>
  </si>
  <si>
    <t>53001006812</t>
  </si>
  <si>
    <t>GE87CR0050009422083601</t>
  </si>
  <si>
    <t>ამირან სილაგაძე</t>
  </si>
  <si>
    <t>49001000683</t>
  </si>
  <si>
    <t>GE86CR0050009422103601</t>
  </si>
  <si>
    <t>თეიმურაზ ბურჯალიანი</t>
  </si>
  <si>
    <t>60001022867</t>
  </si>
  <si>
    <t>GE38CR0050009422093601</t>
  </si>
  <si>
    <t>დავითი გოტიაშვილი</t>
  </si>
  <si>
    <t>60001084286</t>
  </si>
  <si>
    <t>GE85CR0050009422123601</t>
  </si>
  <si>
    <t>მანანა მახარაძე</t>
  </si>
  <si>
    <t>01027019353</t>
  </si>
  <si>
    <t>GE72CR0000009422143601</t>
  </si>
  <si>
    <t>ზაზა იჩქიტიძე</t>
  </si>
  <si>
    <t>01015007932</t>
  </si>
  <si>
    <t>GE71CR0000009422163601</t>
  </si>
  <si>
    <t>ირაკლი დარახველიძე</t>
  </si>
  <si>
    <t>01024029617</t>
  </si>
  <si>
    <t>GE22CR0000009422173601</t>
  </si>
  <si>
    <t>09/02/2016</t>
  </si>
  <si>
    <t>ანზორ ბოლქვაძე</t>
  </si>
  <si>
    <t>61002007898</t>
  </si>
  <si>
    <t>GE09CR0150009422183601</t>
  </si>
  <si>
    <t>კობა ნაკაიძე</t>
  </si>
  <si>
    <t>61004000594</t>
  </si>
  <si>
    <t>GE57CR0150009422193601</t>
  </si>
  <si>
    <t>ფატი ხალვაში</t>
  </si>
  <si>
    <t>61001035660</t>
  </si>
  <si>
    <t>GE48CR0150009208973601</t>
  </si>
  <si>
    <t>ლევან ბეჟანიძე</t>
  </si>
  <si>
    <t>61001004647</t>
  </si>
  <si>
    <t>GE07CR0150009422223601</t>
  </si>
  <si>
    <t>მუხრან ვახტანგაძე</t>
  </si>
  <si>
    <t>61001004845</t>
  </si>
  <si>
    <t>GE55CR0150009422233601</t>
  </si>
  <si>
    <t>გიორგი ქოიავა</t>
  </si>
  <si>
    <t>01008002173</t>
  </si>
  <si>
    <t>GE67CR0000009422243601</t>
  </si>
  <si>
    <t>ვასილ ხახულაშვილი</t>
  </si>
  <si>
    <t>28001004179</t>
  </si>
  <si>
    <t>GE18CR0000009422253601</t>
  </si>
  <si>
    <t>ვაჟა ქირიკაშვილი</t>
  </si>
  <si>
    <t>01024035340</t>
  </si>
  <si>
    <t>GE63CR0000009422323601</t>
  </si>
  <si>
    <t>ილია ნაკაშიძე</t>
  </si>
  <si>
    <t>61002004821</t>
  </si>
  <si>
    <t>GE50CR0150009422333601</t>
  </si>
  <si>
    <t>რომანი ჩეჩელაშვილი</t>
  </si>
  <si>
    <t>60001013122</t>
  </si>
  <si>
    <t>GE24CR0050009422373601</t>
  </si>
  <si>
    <t>09/05/2016</t>
  </si>
  <si>
    <t>გელა ბაზაძე</t>
  </si>
  <si>
    <t>60001000029</t>
  </si>
  <si>
    <t>GE16CR0000000923153601</t>
  </si>
  <si>
    <t>თეიმურაზ ტვილდიანი</t>
  </si>
  <si>
    <t>01027017535</t>
  </si>
  <si>
    <t>GE38CR0000000922713601</t>
  </si>
  <si>
    <t>გრიგოლ კვიჟინაძე</t>
  </si>
  <si>
    <t>01024004967</t>
  </si>
  <si>
    <t>GE86CR0000000922723601</t>
  </si>
  <si>
    <t>ნიკოლოზ ფანცალაშვილი</t>
  </si>
  <si>
    <t>01017020446</t>
  </si>
  <si>
    <t>GE59CR0000009422403601</t>
  </si>
  <si>
    <t>პაატა შეყელაძე</t>
  </si>
  <si>
    <t>01020010128</t>
  </si>
  <si>
    <t>GE57CR0000009422443601</t>
  </si>
  <si>
    <t>დიმიტრი ასათიანი</t>
  </si>
  <si>
    <t>53001012252</t>
  </si>
  <si>
    <t>GE66CR0050009422503601</t>
  </si>
  <si>
    <t>თამთა ყურაშვილი</t>
  </si>
  <si>
    <t>60001074605</t>
  </si>
  <si>
    <t>GE17CR0050009422513601</t>
  </si>
  <si>
    <t>მირზა წინწკალაძე</t>
  </si>
  <si>
    <t>03001002578</t>
  </si>
  <si>
    <t>GE65CR0050009422523601</t>
  </si>
  <si>
    <t>ერიკო ხურცილავა</t>
  </si>
  <si>
    <t>09001005025</t>
  </si>
  <si>
    <t>GE16CR0050009422533601</t>
  </si>
  <si>
    <t>თამარ ჭავჭანიძე</t>
  </si>
  <si>
    <t>62001035879</t>
  </si>
  <si>
    <t>GE03CR0000009422553601</t>
  </si>
  <si>
    <t>იური ბედინეიშვილი</t>
  </si>
  <si>
    <t>35001006197</t>
  </si>
  <si>
    <t>GE77BG0000000740042300</t>
  </si>
  <si>
    <t>გიორგი სიხარულიძე</t>
  </si>
  <si>
    <t>01017020021</t>
  </si>
  <si>
    <t>GE51CR0000009422563601</t>
  </si>
  <si>
    <t>ოლია ყლატეიშვილი</t>
  </si>
  <si>
    <t>01024045123</t>
  </si>
  <si>
    <t>GE02CR0000009422573601</t>
  </si>
  <si>
    <t>დავით გელაშვილი</t>
  </si>
  <si>
    <t>01019000093</t>
  </si>
  <si>
    <t>GE50CR0000009422583601</t>
  </si>
  <si>
    <t>ბეჟან მოლაშხია</t>
  </si>
  <si>
    <t>62001002699</t>
  </si>
  <si>
    <t>GE98CR0000009422593601</t>
  </si>
  <si>
    <t>ლავრენტი თუთბერიძე</t>
  </si>
  <si>
    <t>60001003576</t>
  </si>
  <si>
    <t>GE43CR0000009422723601</t>
  </si>
  <si>
    <t>09/07/2016</t>
  </si>
  <si>
    <t>დავით ალიბეგაშვილი</t>
  </si>
  <si>
    <t>01011034473</t>
  </si>
  <si>
    <t>GE89CR0000009422773601</t>
  </si>
  <si>
    <t>სიმონი გეგელაშვილი</t>
  </si>
  <si>
    <t>01032000071</t>
  </si>
  <si>
    <t>GE40CR0000009422783601</t>
  </si>
  <si>
    <t>გოჩა ჩოკოშვილი</t>
  </si>
  <si>
    <t>01013006513</t>
  </si>
  <si>
    <t>GE88CR0000009422793601</t>
  </si>
  <si>
    <t>ირაკლი პეტრიაშვილი</t>
  </si>
  <si>
    <t>01008016572</t>
  </si>
  <si>
    <t>GE39CR0000009422803601</t>
  </si>
  <si>
    <t>გედევან ფოფხაძე</t>
  </si>
  <si>
    <t>01017006761</t>
  </si>
  <si>
    <t>GE38CR0000009422823601</t>
  </si>
  <si>
    <t>გიორგი გველესიანი</t>
  </si>
  <si>
    <t>61001004135</t>
  </si>
  <si>
    <t>GE37CR0000009422843601</t>
  </si>
  <si>
    <t>ნიკოლოზ შატბერაშვილი</t>
  </si>
  <si>
    <t>11001003843</t>
  </si>
  <si>
    <t>GE85CR0000009422853601</t>
  </si>
  <si>
    <t>დავით ბალანჩივაძე</t>
  </si>
  <si>
    <t>01024019227</t>
  </si>
  <si>
    <t>GE36CR0000009422863601</t>
  </si>
  <si>
    <t>შალვა მეფარიშვილი</t>
  </si>
  <si>
    <t>01024002154</t>
  </si>
  <si>
    <t>GE84CR0000009422873601</t>
  </si>
  <si>
    <t>ვახტანგ ბეთლემიძე</t>
  </si>
  <si>
    <t>01008003946</t>
  </si>
  <si>
    <t>GE35CR0000009422883601</t>
  </si>
  <si>
    <t>ვახტანგ ფარესიშვილი</t>
  </si>
  <si>
    <t>01030002760</t>
  </si>
  <si>
    <t>GE83CR0000009422893601</t>
  </si>
  <si>
    <t>ნიკოლოზ კარიჭაშვილი</t>
  </si>
  <si>
    <t>01008008164</t>
  </si>
  <si>
    <t>GE82CR0000009422913601</t>
  </si>
  <si>
    <t>ანზორ ნაგერვაძე</t>
  </si>
  <si>
    <t>61007002403</t>
  </si>
  <si>
    <t>GE70CR0150009422903601</t>
  </si>
  <si>
    <t>ირაკლი მგელაძე</t>
  </si>
  <si>
    <t>61001010560</t>
  </si>
  <si>
    <t>GE69CR0150009422923601</t>
  </si>
  <si>
    <t>მამუკა მოწყობილი</t>
  </si>
  <si>
    <t>61004008230</t>
  </si>
  <si>
    <t>GE20CR0150009422933601</t>
  </si>
  <si>
    <t>ლევან რეხვიაშვილი</t>
  </si>
  <si>
    <t>01008008908</t>
  </si>
  <si>
    <t>GE80CR0000009422953601</t>
  </si>
  <si>
    <t>რომანი მუჩიაშვილი</t>
  </si>
  <si>
    <t>01024031392</t>
  </si>
  <si>
    <t>GE30CR0000009422983601</t>
  </si>
  <si>
    <t>იოსებ მაკრახიძე</t>
  </si>
  <si>
    <t>59001005148</t>
  </si>
  <si>
    <t>GE78CR0000009422993601</t>
  </si>
  <si>
    <t>მარიამ ჯაში</t>
  </si>
  <si>
    <t>01015005227</t>
  </si>
  <si>
    <t>GE29CR0000009423003601</t>
  </si>
  <si>
    <t>ივანე ბაქრაძე</t>
  </si>
  <si>
    <t>01016001933</t>
  </si>
  <si>
    <t>GE93CR0000002007043601</t>
  </si>
  <si>
    <t>ლაშა კვაჭაძე</t>
  </si>
  <si>
    <t>01006009881</t>
  </si>
  <si>
    <t>GE77CR0000009423013601</t>
  </si>
  <si>
    <t>თემურ უსტიაშვილი</t>
  </si>
  <si>
    <t>61001007309</t>
  </si>
  <si>
    <t>GE28CR0000009423023601</t>
  </si>
  <si>
    <t>09/08/2016</t>
  </si>
  <si>
    <t>დავით გოგორიშვილი</t>
  </si>
  <si>
    <t>01007011349</t>
  </si>
  <si>
    <t>GE88TB0865745164322335</t>
  </si>
  <si>
    <t>ბორის საყვარელიძე</t>
  </si>
  <si>
    <t>01008004273</t>
  </si>
  <si>
    <t>GE68CR0000000933753601</t>
  </si>
  <si>
    <t>მიხეილ კვარაცხელია</t>
  </si>
  <si>
    <t>01008009562</t>
  </si>
  <si>
    <t>GE25CR0000009423083601</t>
  </si>
  <si>
    <t>ლევან გრძელიძე</t>
  </si>
  <si>
    <t>61004000406</t>
  </si>
  <si>
    <t>GE60CR0150009423103601</t>
  </si>
  <si>
    <t>ბესიკ ბაჯელიძე</t>
  </si>
  <si>
    <t>61004004417</t>
  </si>
  <si>
    <t>GE11CR0150009423113601</t>
  </si>
  <si>
    <t>თენგიზ წულაია</t>
  </si>
  <si>
    <t>37001018394</t>
  </si>
  <si>
    <t>GE21CR0000009423163601</t>
  </si>
  <si>
    <t>დავით ჯაში</t>
  </si>
  <si>
    <t>01024028193</t>
  </si>
  <si>
    <t>GE69CR0000009423173601</t>
  </si>
  <si>
    <t>გიორგი ჭყონია</t>
  </si>
  <si>
    <t>61001002082</t>
  </si>
  <si>
    <t>GE39CR0150009108273601</t>
  </si>
  <si>
    <t>სულიკო ჭყონია</t>
  </si>
  <si>
    <t>61001041533</t>
  </si>
  <si>
    <t>GE56CR0150009423183601</t>
  </si>
  <si>
    <t>მალხაზ დუმბაძე</t>
  </si>
  <si>
    <t>61004021584</t>
  </si>
  <si>
    <t>GE41CR0150009108233601</t>
  </si>
  <si>
    <t>ბესიკ დავითაძე</t>
  </si>
  <si>
    <t>61002009697</t>
  </si>
  <si>
    <t>GE07CR0150009423193601</t>
  </si>
  <si>
    <t>სერგო გალუსტიანი</t>
  </si>
  <si>
    <t>11001010388</t>
  </si>
  <si>
    <t>GE67CR0000009423213601</t>
  </si>
  <si>
    <t>ალექსანდრე ბაღათურია</t>
  </si>
  <si>
    <t>61001008658</t>
  </si>
  <si>
    <t>GE54CR0150009423223601</t>
  </si>
  <si>
    <t>09/09/2016</t>
  </si>
  <si>
    <t>ინგა ზურაბიანი</t>
  </si>
  <si>
    <t>53001006989</t>
  </si>
  <si>
    <t>GE17CR0000009423243601</t>
  </si>
  <si>
    <t>ანდრო მესხორაძე</t>
  </si>
  <si>
    <t>01022008616</t>
  </si>
  <si>
    <t>GE15CR0000009423283601</t>
  </si>
  <si>
    <t>ეკატერინე ფუტკარაძე</t>
  </si>
  <si>
    <t>62005013116</t>
  </si>
  <si>
    <t>GE14CR0000009423303601</t>
  </si>
  <si>
    <t>ნიაზ ხალვაში</t>
  </si>
  <si>
    <t>61005001300</t>
  </si>
  <si>
    <t>GE09CR0150009221393601</t>
  </si>
  <si>
    <t>დავით ყიფიანი</t>
  </si>
  <si>
    <t>01024011694</t>
  </si>
  <si>
    <t>GE89CR0000009418893601</t>
  </si>
  <si>
    <t>მაკა შამუგია</t>
  </si>
  <si>
    <t>19001022836</t>
  </si>
  <si>
    <t>GE51CR0000000436483601</t>
  </si>
  <si>
    <t>ნინო გოგუაძე</t>
  </si>
  <si>
    <t>01024020898</t>
  </si>
  <si>
    <t>GE63CR0000000931913601</t>
  </si>
  <si>
    <t>09/12/2016</t>
  </si>
  <si>
    <t>ვიტალი ონიანი</t>
  </si>
  <si>
    <t>53001003486</t>
  </si>
  <si>
    <t>GE70CR0050009423393601</t>
  </si>
  <si>
    <t>დავით ნიჟარაძე</t>
  </si>
  <si>
    <t>53001004264</t>
  </si>
  <si>
    <t>GE09CR0000009423403601</t>
  </si>
  <si>
    <t>დიმიტრი ბერიძე</t>
  </si>
  <si>
    <t>11001003344</t>
  </si>
  <si>
    <t>GE07CR0000009423443601</t>
  </si>
  <si>
    <t>დავით გათენაშვილი</t>
  </si>
  <si>
    <t>01013012626</t>
  </si>
  <si>
    <t>GE56CR0000009423433601</t>
  </si>
  <si>
    <t>გიორგი ტოგონიძე</t>
  </si>
  <si>
    <t>01008003082</t>
  </si>
  <si>
    <t>GE55CR0000009423453601</t>
  </si>
  <si>
    <t>ქეთევან ჯოხაძე</t>
  </si>
  <si>
    <t>01024025687</t>
  </si>
  <si>
    <t>GE80TB7432645066300002</t>
  </si>
  <si>
    <t>დავით ყიფშიძე</t>
  </si>
  <si>
    <t>01030030470</t>
  </si>
  <si>
    <t>GE53CR0000009423493601</t>
  </si>
  <si>
    <t>ირაკლი პატარიძე</t>
  </si>
  <si>
    <t>61001018206</t>
  </si>
  <si>
    <t>GE29CR0150009220023601</t>
  </si>
  <si>
    <t>ლაშა ჩავლეშვილი</t>
  </si>
  <si>
    <t>33001010630</t>
  </si>
  <si>
    <t>GE37CR0150009423563601</t>
  </si>
  <si>
    <t>ელგუჯა ანდრიაძე</t>
  </si>
  <si>
    <t>61001016923</t>
  </si>
  <si>
    <t>GE36CR0150009423583601</t>
  </si>
  <si>
    <t>09/13/2016</t>
  </si>
  <si>
    <t>გია ჟორჟოლიანი</t>
  </si>
  <si>
    <t>01024011352</t>
  </si>
  <si>
    <t>GE71CR0000000932723601</t>
  </si>
  <si>
    <t>გიორგი გაჩეჩილაძე</t>
  </si>
  <si>
    <t>01008019538</t>
  </si>
  <si>
    <t>GE81CR0000000920883601</t>
  </si>
  <si>
    <t>კახა კალაძე</t>
  </si>
  <si>
    <t>GE35CR0000000890763601</t>
  </si>
  <si>
    <t>ირაკლი კობახიძე</t>
  </si>
  <si>
    <t>01009010293</t>
  </si>
  <si>
    <t>GE96CR0000009423603601</t>
  </si>
  <si>
    <t>ნიკო მალაზონია</t>
  </si>
  <si>
    <t>01024018128</t>
  </si>
  <si>
    <t>GE47CR0000009423613601</t>
  </si>
  <si>
    <t>აკაკი ზოიძე</t>
  </si>
  <si>
    <t>01008008072</t>
  </si>
  <si>
    <t>GE95CR0000009423623601</t>
  </si>
  <si>
    <t>კახაბერ კუჭავა</t>
  </si>
  <si>
    <t>01024013697</t>
  </si>
  <si>
    <t>GE94CR0000009423643601</t>
  </si>
  <si>
    <t>მანანა კობახიძე</t>
  </si>
  <si>
    <t>01008000293</t>
  </si>
  <si>
    <t>GE87CR0000000893603601</t>
  </si>
  <si>
    <t>ეკა ბესელია</t>
  </si>
  <si>
    <t>01009008554</t>
  </si>
  <si>
    <t>GE39CR0000000076853601</t>
  </si>
  <si>
    <t>გოჩა ძნელაძე</t>
  </si>
  <si>
    <t>01025000233</t>
  </si>
  <si>
    <t>GE54CR0000000041633601</t>
  </si>
  <si>
    <t>პლატონი რატიანი</t>
  </si>
  <si>
    <t>01029004169</t>
  </si>
  <si>
    <t>GE91CR0000009423703601</t>
  </si>
  <si>
    <t>თორნიკე როხვაძე</t>
  </si>
  <si>
    <t>17031006907</t>
  </si>
  <si>
    <t>GE42CR0000009423713601</t>
  </si>
  <si>
    <t>ზვიად კვაჭანტირაძე</t>
  </si>
  <si>
    <t>33001002423</t>
  </si>
  <si>
    <t>GE90CR0000009423723601</t>
  </si>
  <si>
    <t>გიორგი მახათაძე</t>
  </si>
  <si>
    <t>01015012844</t>
  </si>
  <si>
    <t>GE89CR0000009423743601</t>
  </si>
  <si>
    <t>09/14/2016</t>
  </si>
  <si>
    <t>ანი გოლოშვილი</t>
  </si>
  <si>
    <t>59001027900</t>
  </si>
  <si>
    <t>GE85CR0000009423823601</t>
  </si>
  <si>
    <t>დიმიტრი მორალიშვილი</t>
  </si>
  <si>
    <t>21001005854</t>
  </si>
  <si>
    <t>GE36CR0000009423833601</t>
  </si>
  <si>
    <t>თეიმურაზ ყარამანოვი</t>
  </si>
  <si>
    <t>01030026715</t>
  </si>
  <si>
    <t>GE84CR0000009423843601</t>
  </si>
  <si>
    <t>სოფიო კილაძე</t>
  </si>
  <si>
    <t>60003011321</t>
  </si>
  <si>
    <t>GE35CR0000009423853601</t>
  </si>
  <si>
    <t>გელოდი კობალაძე</t>
  </si>
  <si>
    <t>61001001087</t>
  </si>
  <si>
    <t>GE83CR0000009423863601</t>
  </si>
  <si>
    <t>ერეკლე ტრიპოლსკი</t>
  </si>
  <si>
    <t>01008001087</t>
  </si>
  <si>
    <t>GE98CR0000027119273601</t>
  </si>
  <si>
    <t>სამველ მანუკიან</t>
  </si>
  <si>
    <t>07001006113</t>
  </si>
  <si>
    <t>GE34CR0000009423873601</t>
  </si>
  <si>
    <t>პაატა მხეიძე</t>
  </si>
  <si>
    <t>01017008044</t>
  </si>
  <si>
    <t>GE82CR0000009423883601</t>
  </si>
  <si>
    <t>არჩილ თალაკვაძე</t>
  </si>
  <si>
    <t>33001012606</t>
  </si>
  <si>
    <t>GE33CR0000009423893601</t>
  </si>
  <si>
    <t>რატი იონათამიშვილი</t>
  </si>
  <si>
    <t>01012008572</t>
  </si>
  <si>
    <t>GE32CR0000009423913601</t>
  </si>
  <si>
    <t>თეიმურაზ კოხრეიძე</t>
  </si>
  <si>
    <t>01006001972</t>
  </si>
  <si>
    <t>GE80CR0000009423923601</t>
  </si>
  <si>
    <t>ბენედიქტე ქაშაკაშვილი</t>
  </si>
  <si>
    <t>01030003021</t>
  </si>
  <si>
    <t>GE51TB1102636010100086</t>
  </si>
  <si>
    <t>09/15/2016</t>
  </si>
  <si>
    <t>ლერი ხაბელოვი</t>
  </si>
  <si>
    <t>01009008636</t>
  </si>
  <si>
    <t>GE74CR0000009424043601</t>
  </si>
  <si>
    <t>ინტიგამ ისმაილოვი</t>
  </si>
  <si>
    <t>28001003668</t>
  </si>
  <si>
    <t>GE81CR0000000933493601</t>
  </si>
  <si>
    <t>ბესიკ ჯობავა</t>
  </si>
  <si>
    <t>62006019532</t>
  </si>
  <si>
    <t>GE79CR0000000047923601</t>
  </si>
  <si>
    <t>თეონა ოთიაშვილი</t>
  </si>
  <si>
    <t>01006013600</t>
  </si>
  <si>
    <t>GE25CR0000009424053601</t>
  </si>
  <si>
    <t>ოთარ ჩართოლანი</t>
  </si>
  <si>
    <t>01024034833</t>
  </si>
  <si>
    <t>GE81CR0000000123543601</t>
  </si>
  <si>
    <t>მურად ჯობავა</t>
  </si>
  <si>
    <t>62006000322</t>
  </si>
  <si>
    <t>GE34CR0000000933463601</t>
  </si>
  <si>
    <t>ლელა ხარჩილავა</t>
  </si>
  <si>
    <t>62006048739</t>
  </si>
  <si>
    <t>GE73CR0000009424063601</t>
  </si>
  <si>
    <t>აკაკი ლეფონავა</t>
  </si>
  <si>
    <t>62005002900</t>
  </si>
  <si>
    <t>GE24CR0000009424073601</t>
  </si>
  <si>
    <t>ჯემალ გვარლიანი</t>
  </si>
  <si>
    <t>01011041387</t>
  </si>
  <si>
    <t>GE83CR0150009227673601</t>
  </si>
  <si>
    <t>ვიქტორ ჯაფარიძე</t>
  </si>
  <si>
    <t>01005003721</t>
  </si>
  <si>
    <t>GE68CR0000000908533601</t>
  </si>
  <si>
    <t>მაია ქანთარია</t>
  </si>
  <si>
    <t>01025008224</t>
  </si>
  <si>
    <t>GE22CR0000009424113601</t>
  </si>
  <si>
    <t>ზაალ დუგლაძე</t>
  </si>
  <si>
    <t>01024012661</t>
  </si>
  <si>
    <t>GE89CR0000000502653601</t>
  </si>
  <si>
    <t>გიორგი კვაჩიძე</t>
  </si>
  <si>
    <t>01024023743</t>
  </si>
  <si>
    <t>GE70CR0000009424123601</t>
  </si>
  <si>
    <t>ზურაბ სვანიძე</t>
  </si>
  <si>
    <t>01008018388</t>
  </si>
  <si>
    <t>GE21CR0000009424133601</t>
  </si>
  <si>
    <t>დავით კვერნაძე</t>
  </si>
  <si>
    <t>01008012924</t>
  </si>
  <si>
    <t>GE69CR0000009424143601</t>
  </si>
  <si>
    <t>ოთარ ჩრდილელი</t>
  </si>
  <si>
    <t>37001008818</t>
  </si>
  <si>
    <t>GE20CR0000009424153601</t>
  </si>
  <si>
    <t>ალექსანდრე ივანიშვილი</t>
  </si>
  <si>
    <t>01012000982</t>
  </si>
  <si>
    <t>GE17CR0000000021033601</t>
  </si>
  <si>
    <t>გიგა ბუკია</t>
  </si>
  <si>
    <t>58001003064</t>
  </si>
  <si>
    <t>GE90CR0000000915853601</t>
  </si>
  <si>
    <t>შ.პ.ს. ინვეკო</t>
  </si>
  <si>
    <t>404451918</t>
  </si>
  <si>
    <t>GE71TB7941836020100003</t>
  </si>
  <si>
    <t>09/16/2016</t>
  </si>
  <si>
    <t>დავით ხეჩუაშვილი</t>
  </si>
  <si>
    <t>01026009125</t>
  </si>
  <si>
    <t>GE63CR0000009424263601</t>
  </si>
  <si>
    <t>GE13CR0000009424293601</t>
  </si>
  <si>
    <t>მამუკა მდინარაძე</t>
  </si>
  <si>
    <t>21001000469</t>
  </si>
  <si>
    <t>GE61CR0000009424303601</t>
  </si>
  <si>
    <t>ზაზა გაბუნია</t>
  </si>
  <si>
    <t>01019061460</t>
  </si>
  <si>
    <t>GE11CR0000009424333601</t>
  </si>
  <si>
    <t>ჯუმბერ ბერაძე</t>
  </si>
  <si>
    <t>01024006490</t>
  </si>
  <si>
    <t>GE10CR0000009424353601</t>
  </si>
  <si>
    <t>09/19/2016</t>
  </si>
  <si>
    <t>ვალერი გელაშვილი</t>
  </si>
  <si>
    <t>01020005329</t>
  </si>
  <si>
    <t>GE48CR0000000925423601</t>
  </si>
  <si>
    <t>ნოდარ ევგენიძე</t>
  </si>
  <si>
    <t>61001002813</t>
  </si>
  <si>
    <t>GE61CR0150009219383601</t>
  </si>
  <si>
    <t>გელა სამხარაული</t>
  </si>
  <si>
    <t>01010000690</t>
  </si>
  <si>
    <t>GE26CR0000000914223601</t>
  </si>
  <si>
    <t>ზურაბ ყურაშვილი</t>
  </si>
  <si>
    <t>01001006778</t>
  </si>
  <si>
    <t>GE53CR0000000062993601</t>
  </si>
  <si>
    <t>კობა ჩაჩანიძე</t>
  </si>
  <si>
    <t>54001006083</t>
  </si>
  <si>
    <t>GE21CR0000000931783601</t>
  </si>
  <si>
    <t>კობა ლურსმანაშვილი</t>
  </si>
  <si>
    <t>56001002623</t>
  </si>
  <si>
    <t>GE98CR0000009424533601</t>
  </si>
  <si>
    <t>09/20/2016</t>
  </si>
  <si>
    <t>ზურაბი იაშვილი</t>
  </si>
  <si>
    <t>13001002901</t>
  </si>
  <si>
    <t>GE43CR0000000133033601</t>
  </si>
  <si>
    <t>ირაკლი დუმბაძე</t>
  </si>
  <si>
    <t>35001023342</t>
  </si>
  <si>
    <t>GE89CR0000009424713601</t>
  </si>
  <si>
    <t>ილია ზაქარიაძე</t>
  </si>
  <si>
    <t>01014001156</t>
  </si>
  <si>
    <t>GE29CR0130006025523601</t>
  </si>
  <si>
    <t>გიორგი გურული</t>
  </si>
  <si>
    <t>38001003847</t>
  </si>
  <si>
    <t>GE39CR0000009424743601</t>
  </si>
  <si>
    <t>შ.პ.ს. მტკვარწყალმშენი</t>
  </si>
  <si>
    <t>218062780</t>
  </si>
  <si>
    <t>GE21BG0000000867863700</t>
  </si>
  <si>
    <t>შ.პ.ს. იუნიგრეინ ჯორჯიან გრუპ</t>
  </si>
  <si>
    <t>204488937</t>
  </si>
  <si>
    <t>GE46CR0000000004393602</t>
  </si>
  <si>
    <t>შ.პ.ს. თ და კ რესტორნები</t>
  </si>
  <si>
    <t>204909180</t>
  </si>
  <si>
    <t>GE02TB1100000019467575</t>
  </si>
  <si>
    <t>შ.პ.ს. ფრეგო</t>
  </si>
  <si>
    <t>404440084</t>
  </si>
  <si>
    <t>ბენზინი 15000 ლიტრი კოდი 0270 ტალონები</t>
  </si>
  <si>
    <t>15000 ლიტრი</t>
  </si>
  <si>
    <t>09/17/2016</t>
  </si>
  <si>
    <t>შ.პ.ს. ჯი-თი მოტორს</t>
  </si>
  <si>
    <t>206276340</t>
  </si>
  <si>
    <t>ოთხი ერთეული ა/მ CC871GG KIA CERATO; CC679GG KIA CERATO; CC851GG KIA CERATO; CC677GG KIA CERATO უსასყიდლოდ სარგებლობა 24 დღე</t>
  </si>
  <si>
    <t>09/21/2016</t>
  </si>
  <si>
    <t>მამუკა ხაბარელი</t>
  </si>
  <si>
    <t>01008018551</t>
  </si>
  <si>
    <t>GE04CR0000000905933601</t>
  </si>
  <si>
    <t>დევი დუმბაძე</t>
  </si>
  <si>
    <t>01024012741</t>
  </si>
  <si>
    <t>GE36CR0000009424803601</t>
  </si>
  <si>
    <t>ჯონი ოთარაშვილი</t>
  </si>
  <si>
    <t>57001001012</t>
  </si>
  <si>
    <t>GE35CR0000009424823601</t>
  </si>
  <si>
    <t>მალხაზ ყანჩაველი</t>
  </si>
  <si>
    <t>01008001894</t>
  </si>
  <si>
    <t>GE05CR0000000049403601</t>
  </si>
  <si>
    <t>01005005563</t>
  </si>
  <si>
    <t>GE05CR0000000937923601</t>
  </si>
  <si>
    <t>ნათია ხანიშვილი</t>
  </si>
  <si>
    <t>43001003290</t>
  </si>
  <si>
    <t>GE82CR0000009424853601</t>
  </si>
  <si>
    <t>გიორგი დუგლაძე</t>
  </si>
  <si>
    <t>01023006635</t>
  </si>
  <si>
    <t>GE75CR0000000048973601</t>
  </si>
  <si>
    <t>ალექსანდრე სელიმაშვილი</t>
  </si>
  <si>
    <t>01012022604</t>
  </si>
  <si>
    <t>GE81CR0000009424873601</t>
  </si>
  <si>
    <t>ლევან ბადაგაძე</t>
  </si>
  <si>
    <t>16001005889</t>
  </si>
  <si>
    <t>GE58CR0000000929103601</t>
  </si>
  <si>
    <t>ნინო სუთიძე</t>
  </si>
  <si>
    <t>01030016617</t>
  </si>
  <si>
    <t>GE32CR0000009424883601</t>
  </si>
  <si>
    <t>ლევან მეგრელიძე</t>
  </si>
  <si>
    <t>61004003944</t>
  </si>
  <si>
    <t>GE19CR0150009424893601</t>
  </si>
  <si>
    <t>ბესიკ ბეჟაშვილი</t>
  </si>
  <si>
    <t>01010002963</t>
  </si>
  <si>
    <t>GE86CR0000002005243601</t>
  </si>
  <si>
    <t>გიორგი ღუღუნიშვილი</t>
  </si>
  <si>
    <t>01026007829</t>
  </si>
  <si>
    <t>GE31CR0000009424903601</t>
  </si>
  <si>
    <t>გიორგი წულუკიძე</t>
  </si>
  <si>
    <t>61006019363</t>
  </si>
  <si>
    <t>GE65CR0150009424943601</t>
  </si>
  <si>
    <t>09/22/2016</t>
  </si>
  <si>
    <t>სიფიო თამაზაშვილი</t>
  </si>
  <si>
    <t>61004002894</t>
  </si>
  <si>
    <t>GE73CR0000009425033601</t>
  </si>
  <si>
    <t>01002008143</t>
  </si>
  <si>
    <t>GE24CR0000009425043601</t>
  </si>
  <si>
    <t>გიორგი მარკოზაშვილი</t>
  </si>
  <si>
    <t>59001031493</t>
  </si>
  <si>
    <t>GE72CR0000009425053601</t>
  </si>
  <si>
    <t>მერაბ ბერიძე</t>
  </si>
  <si>
    <t>61010001388</t>
  </si>
  <si>
    <t>GE10CR0150009425073601</t>
  </si>
  <si>
    <t>ლევან კობიაშვილი</t>
  </si>
  <si>
    <t>01023000127</t>
  </si>
  <si>
    <t>GE68CR0000009425133601</t>
  </si>
  <si>
    <t>ლევან ენუქიძე</t>
  </si>
  <si>
    <t>01007011193</t>
  </si>
  <si>
    <t>GE19CR0000009425143601</t>
  </si>
  <si>
    <t>თამარ ყიფიანი</t>
  </si>
  <si>
    <t>01024011341</t>
  </si>
  <si>
    <t>GE18CR0000009425163601</t>
  </si>
  <si>
    <t>პალიკო კინტრაია</t>
  </si>
  <si>
    <t>01024017530</t>
  </si>
  <si>
    <t>GE66CR0000009425173601</t>
  </si>
  <si>
    <t>ირინე ქინქლაძე</t>
  </si>
  <si>
    <t>01030021619</t>
  </si>
  <si>
    <t>GE70CR0000000065563601</t>
  </si>
  <si>
    <t>გოჩა წიკლაური</t>
  </si>
  <si>
    <t>01029006624</t>
  </si>
  <si>
    <t>GE74CR0130006024623601</t>
  </si>
  <si>
    <t>ნიკოლოზ კინტრაია</t>
  </si>
  <si>
    <t>01024001500</t>
  </si>
  <si>
    <t>GE17CR0000009425183601</t>
  </si>
  <si>
    <t>თეა ჯოხაძე</t>
  </si>
  <si>
    <t>01009003088</t>
  </si>
  <si>
    <t>GE65CR0000009425193601</t>
  </si>
  <si>
    <t>ნიკოლოზ ქსნელაშვილი</t>
  </si>
  <si>
    <t>01005009778</t>
  </si>
  <si>
    <t>GE15CR0000009425223601</t>
  </si>
  <si>
    <t>მერი მაღრაძე</t>
  </si>
  <si>
    <t>56001004928</t>
  </si>
  <si>
    <t>GE63CR0000009425233601</t>
  </si>
  <si>
    <t>თამარ ვაშაძე</t>
  </si>
  <si>
    <t>01008023093</t>
  </si>
  <si>
    <t>GE14CR0000009425243601</t>
  </si>
  <si>
    <t>ლევან თადუმაძე</t>
  </si>
  <si>
    <t>01010004657</t>
  </si>
  <si>
    <t>GE13CR0000009425263601</t>
  </si>
  <si>
    <t>მარიამ გოცირიძე</t>
  </si>
  <si>
    <t>01025011925</t>
  </si>
  <si>
    <t>GE12CR0000009425283601</t>
  </si>
  <si>
    <t>კახაბერ ტატიშვილი</t>
  </si>
  <si>
    <t>01024010912</t>
  </si>
  <si>
    <t>GE60CR0000009425293601</t>
  </si>
  <si>
    <t>დავით დუგლაძე</t>
  </si>
  <si>
    <t>01008000661</t>
  </si>
  <si>
    <t>GE57CR0000000026053601</t>
  </si>
  <si>
    <t>ივერ ცინარიძე</t>
  </si>
  <si>
    <t>61010007179</t>
  </si>
  <si>
    <t>GE95CR0150009425313601</t>
  </si>
  <si>
    <t>გიორგი ყაველაშვილი</t>
  </si>
  <si>
    <t>26001006840</t>
  </si>
  <si>
    <t>GE46CR0150009425323601</t>
  </si>
  <si>
    <t>მამუკა შარაშიძე</t>
  </si>
  <si>
    <t>61003007685</t>
  </si>
  <si>
    <t>GE94CR0150009425333601</t>
  </si>
  <si>
    <t>გენადი ჯაფარიძე</t>
  </si>
  <si>
    <t>61003008865</t>
  </si>
  <si>
    <t>GE44CR0150009425363601</t>
  </si>
  <si>
    <t>მუხრან პაპიძე</t>
  </si>
  <si>
    <t>01017008312</t>
  </si>
  <si>
    <t>GE56CR0000009425373601</t>
  </si>
  <si>
    <t>09/23/2016</t>
  </si>
  <si>
    <t>თამარ ქოქიაშვილი</t>
  </si>
  <si>
    <t>01013023633</t>
  </si>
  <si>
    <t>GE53CR0000009425433601</t>
  </si>
  <si>
    <t>მერაბ ასათიანი</t>
  </si>
  <si>
    <t>01008002330</t>
  </si>
  <si>
    <t>GE04CR0000009425443601</t>
  </si>
  <si>
    <t>გიორგი მაჭავარიანი</t>
  </si>
  <si>
    <t>01018000913</t>
  </si>
  <si>
    <t>GE03CR0000009425463601</t>
  </si>
  <si>
    <t>შოთა ფაილაძე</t>
  </si>
  <si>
    <t>01002005633</t>
  </si>
  <si>
    <t>GE52CR0000009425453601</t>
  </si>
  <si>
    <t>ბადრი ბუთხუზი</t>
  </si>
  <si>
    <t>24001002643</t>
  </si>
  <si>
    <t>GE07CR0000000935943601</t>
  </si>
  <si>
    <t>გივი ქურხული</t>
  </si>
  <si>
    <t>01014003339</t>
  </si>
  <si>
    <t>GE46CR0000000370623601</t>
  </si>
  <si>
    <t>ლუხუმ ქართლოსიშვილი</t>
  </si>
  <si>
    <t>01027005959</t>
  </si>
  <si>
    <t>GE92CR0000009425623601</t>
  </si>
  <si>
    <t>თეიმურაზ მენაფირე</t>
  </si>
  <si>
    <t>35001050357</t>
  </si>
  <si>
    <t>GE71TB7687245064300001</t>
  </si>
  <si>
    <t>ნორაირ მკოიან</t>
  </si>
  <si>
    <t>32001003236</t>
  </si>
  <si>
    <t>GE69LB0711142413554000</t>
  </si>
  <si>
    <t>ლიბერთი</t>
  </si>
  <si>
    <t>09/26/2016</t>
  </si>
  <si>
    <t>გულივერ კუნჭულია</t>
  </si>
  <si>
    <t>01026002484</t>
  </si>
  <si>
    <t>GE88CR0000009425703601</t>
  </si>
  <si>
    <t>თამაზ ტყეშელაშვილი</t>
  </si>
  <si>
    <t>01015005090</t>
  </si>
  <si>
    <t>GE39CR0000009425713601</t>
  </si>
  <si>
    <t>ზაზა გუგუშვილი</t>
  </si>
  <si>
    <t>35001011294</t>
  </si>
  <si>
    <t>GE86CR0000009425743601</t>
  </si>
  <si>
    <t>დავით ტაბაღუა</t>
  </si>
  <si>
    <t>01010007042</t>
  </si>
  <si>
    <t>GE83CR0000009425803601</t>
  </si>
  <si>
    <t>დავით ღირსიაშვილი</t>
  </si>
  <si>
    <t>40001006806</t>
  </si>
  <si>
    <t>GE13CR0000000935823601</t>
  </si>
  <si>
    <t>გიორგი ჩაკვეტაძე</t>
  </si>
  <si>
    <t>62007006238</t>
  </si>
  <si>
    <t>GE32CR0000009425853601</t>
  </si>
  <si>
    <t>მიხეილ კოპაძე</t>
  </si>
  <si>
    <t>01009003998</t>
  </si>
  <si>
    <t>GE80CR0000009425863601</t>
  </si>
  <si>
    <t>ნონა აბუთიძე</t>
  </si>
  <si>
    <t>38001006545</t>
  </si>
  <si>
    <t>GE71CR0120007001813601</t>
  </si>
  <si>
    <t>ალექსი მოდებაძე</t>
  </si>
  <si>
    <t>01008003329</t>
  </si>
  <si>
    <t>GE28CR0000009425933601</t>
  </si>
  <si>
    <t>09/27/2016</t>
  </si>
  <si>
    <t>ნუგზარ წყაროზია</t>
  </si>
  <si>
    <t>62001000746</t>
  </si>
  <si>
    <t>GE23BR0000010719281146</t>
  </si>
  <si>
    <t>ბანკი რესპუბლიკა</t>
  </si>
  <si>
    <t>მამუკა ტყეშელაშვილი</t>
  </si>
  <si>
    <t>01017010469</t>
  </si>
  <si>
    <t>GE26CR0000009425973601</t>
  </si>
  <si>
    <t>იოსებ ბეჟაშვილი</t>
  </si>
  <si>
    <t>01001016600</t>
  </si>
  <si>
    <t>GE25CR0000009425993601</t>
  </si>
  <si>
    <t>ალექსანდრე წულუკიძე</t>
  </si>
  <si>
    <t>61004001258</t>
  </si>
  <si>
    <t>GE21CR0000009426073601</t>
  </si>
  <si>
    <t>ლევანი ჩაჩუა</t>
  </si>
  <si>
    <t>31031004673</t>
  </si>
  <si>
    <t>GE65BG0000000830055800</t>
  </si>
  <si>
    <t>ბესიკი წილოსანი</t>
  </si>
  <si>
    <t>01005006001</t>
  </si>
  <si>
    <t>GE34BS0000000001136197</t>
  </si>
  <si>
    <t>ბაზისბანკი</t>
  </si>
  <si>
    <t>09/28/2016</t>
  </si>
  <si>
    <t>მიხეილ სირაძე</t>
  </si>
  <si>
    <t>38001027887</t>
  </si>
  <si>
    <t>GE62CR0000009426223601</t>
  </si>
  <si>
    <t>ფარსადან თოდაძე</t>
  </si>
  <si>
    <t>38001000128</t>
  </si>
  <si>
    <t>GE14CR0000009426213601</t>
  </si>
  <si>
    <t>ანდრო ფარქოსაძე</t>
  </si>
  <si>
    <t>38001008734</t>
  </si>
  <si>
    <t>GE13CR0000009426233601</t>
  </si>
  <si>
    <t>დავით ქუჩულორია</t>
  </si>
  <si>
    <t>01009001215</t>
  </si>
  <si>
    <t>GE61CR0000009426243601</t>
  </si>
  <si>
    <t>ირაკლი გიორგიძე</t>
  </si>
  <si>
    <t>01007012036</t>
  </si>
  <si>
    <t>GE07TB7814545068100001</t>
  </si>
  <si>
    <t>ნუგზარ ხუცაიძე</t>
  </si>
  <si>
    <t>20001024996</t>
  </si>
  <si>
    <t>GE79CR0160009426263601</t>
  </si>
  <si>
    <t>09/29/2016</t>
  </si>
  <si>
    <t>კახაბერ მახათაძე</t>
  </si>
  <si>
    <t>01025007769</t>
  </si>
  <si>
    <t>GE10CR0000009426293601</t>
  </si>
  <si>
    <t>ლევან კობერიძე</t>
  </si>
  <si>
    <t>01010007728</t>
  </si>
  <si>
    <t>GE07CR0000009426353601</t>
  </si>
  <si>
    <t>09/30/2016</t>
  </si>
  <si>
    <t>ზურაბ შამუგია</t>
  </si>
  <si>
    <t>62003001574</t>
  </si>
  <si>
    <t>ქ.თბილისში უნივერსიტეტის ქუჩა #15ა ს.კ. 01,14,06,006,031 8252,70კვ.მ ფართის სარგებლობა უსასყიდლოდ ერთი დღით</t>
  </si>
  <si>
    <t>შ.პ.ს. სპეცავტომატიკა</t>
  </si>
  <si>
    <t>205026407</t>
  </si>
  <si>
    <t>GE88CR0000000000103603</t>
  </si>
  <si>
    <t>შ.პ.ს. BOLERO COMPANY</t>
  </si>
  <si>
    <t>404431726</t>
  </si>
  <si>
    <t>GE62BR0000010017147496</t>
  </si>
  <si>
    <t>შ.პ.ს. LION</t>
  </si>
  <si>
    <t>404430914</t>
  </si>
  <si>
    <t>GE13CR0000000014753602</t>
  </si>
  <si>
    <t>შ.პ.ს. სახლი ძველ ბათუმში</t>
  </si>
  <si>
    <t>445433610</t>
  </si>
  <si>
    <t>GE57BG0000000492723700</t>
  </si>
  <si>
    <t>შ.პ.ს. LIBERTY</t>
  </si>
  <si>
    <t>445403885</t>
  </si>
  <si>
    <t>GE29BG0000000590487400</t>
  </si>
  <si>
    <t>შ.პ.ს. LIZI AND ANRI</t>
  </si>
  <si>
    <t>445402387</t>
  </si>
  <si>
    <t>GE23KS0000000360204762</t>
  </si>
  <si>
    <t>კორ სტანდარტ ბანკი</t>
  </si>
  <si>
    <t>შ.პ.ს. თეზი</t>
  </si>
  <si>
    <t>205020378</t>
  </si>
  <si>
    <t>GE68TB1956036020100005</t>
  </si>
  <si>
    <t>შ.პ.ს. მედიმპორტი</t>
  </si>
  <si>
    <t>436035238</t>
  </si>
  <si>
    <t>GE85BG0000000853178300</t>
  </si>
  <si>
    <t>შ.პ.ს. ჯეო</t>
  </si>
  <si>
    <t>206204604</t>
  </si>
  <si>
    <t>GE78PC0043600100017681</t>
  </si>
  <si>
    <t>შ.პ.ს. გიორგი - 2004</t>
  </si>
  <si>
    <t>206143047</t>
  </si>
  <si>
    <t>GE71PC0023600100012114</t>
  </si>
  <si>
    <t>შ.პ.ს. აგროვეტსერვისი+</t>
  </si>
  <si>
    <t>406028864</t>
  </si>
  <si>
    <t>GE76PC0263600100012925</t>
  </si>
  <si>
    <t>შ.პ.ს. ნიუ მოლი 2011NEW MOLLY 2011</t>
  </si>
  <si>
    <t>404900559</t>
  </si>
  <si>
    <t>GE44BG0000000520560800</t>
  </si>
  <si>
    <t>შ.პ.ს. ეიემჯი პრინტინგ კომპანი</t>
  </si>
  <si>
    <t>400011900</t>
  </si>
  <si>
    <t>GE56PC0133600100063435</t>
  </si>
  <si>
    <t>შ.პ.ს. პლატინუმ ჯორჯია</t>
  </si>
  <si>
    <t>404505219</t>
  </si>
  <si>
    <t>GE77TB7825736080100006</t>
  </si>
  <si>
    <t>შ.პ.ს. კასპი 2011</t>
  </si>
  <si>
    <t>432539871</t>
  </si>
  <si>
    <t>GE91BG0000000543414900</t>
  </si>
  <si>
    <t>ოთხი ერთეული ა/მ CC855GG KIA CERATO; CC675GG KIA CERATO; CC678GG KIA CERATO; CC695GG KIA CERATO უსასყიდლოდ სარგებლობა 18დღე</t>
  </si>
  <si>
    <t>10/03/2016</t>
  </si>
  <si>
    <t>ირაკლი ზუბიტაშვილი</t>
  </si>
  <si>
    <t>01030004654</t>
  </si>
  <si>
    <t>GE93CR0000009426573601</t>
  </si>
  <si>
    <t>ლევან ლურსმანაშვილი</t>
  </si>
  <si>
    <t>35001001909</t>
  </si>
  <si>
    <t>GE92CR0000009426593601</t>
  </si>
  <si>
    <t>შოთა საღლიანი</t>
  </si>
  <si>
    <t>01011077052</t>
  </si>
  <si>
    <t>GE43CR0000009426603601</t>
  </si>
  <si>
    <t>ლაშა ჩხაიძე</t>
  </si>
  <si>
    <t>01036003764</t>
  </si>
  <si>
    <t>GE91CR0000009426613601</t>
  </si>
  <si>
    <t>ოთარ ლოლაშვილი</t>
  </si>
  <si>
    <t>01008028245</t>
  </si>
  <si>
    <t>GE42CR0000009426623601</t>
  </si>
  <si>
    <t>10/04/2016</t>
  </si>
  <si>
    <t>გიზო ჭურღულია</t>
  </si>
  <si>
    <t>19001003146</t>
  </si>
  <si>
    <t>GE76CR0150009426663601</t>
  </si>
  <si>
    <t>სერგო ლაშქარავა</t>
  </si>
  <si>
    <t>39001004775</t>
  </si>
  <si>
    <t>GE27CR0150009426673601</t>
  </si>
  <si>
    <t>მალხაზი ფოჩხუა</t>
  </si>
  <si>
    <t>42001006218</t>
  </si>
  <si>
    <t>GE26CR0150009426693601</t>
  </si>
  <si>
    <t>ელგუჯა კვეტენაძე</t>
  </si>
  <si>
    <t>01007002066</t>
  </si>
  <si>
    <t>GE98CR0050009426713601</t>
  </si>
  <si>
    <t>ნიკოლოზ ზუბიტაშვილი</t>
  </si>
  <si>
    <t>01030010816</t>
  </si>
  <si>
    <t>GE36CR0000009426743601</t>
  </si>
  <si>
    <t>გიორგი ხუციშვილი</t>
  </si>
  <si>
    <t>01030025911</t>
  </si>
  <si>
    <t>GE51CR0000000920513601</t>
  </si>
  <si>
    <t>ირმა ფოფხაძე</t>
  </si>
  <si>
    <t>62001017050</t>
  </si>
  <si>
    <t>GE34CR0000009426783601</t>
  </si>
  <si>
    <t>დავით ბრეგაძე</t>
  </si>
  <si>
    <t>60002017504</t>
  </si>
  <si>
    <t>GE82CR0000009426793601</t>
  </si>
  <si>
    <t>ჯიბო მელაშვილი</t>
  </si>
  <si>
    <t>62011000063</t>
  </si>
  <si>
    <t>GE33CR0000009426803601</t>
  </si>
  <si>
    <t>იოსებ სონღულაშვილი</t>
  </si>
  <si>
    <t>01027021511</t>
  </si>
  <si>
    <t>GE81CR0000009426813601</t>
  </si>
  <si>
    <t>ლევან ფხაკაძე</t>
  </si>
  <si>
    <t>01007007787</t>
  </si>
  <si>
    <t>GE07CR0000000916543601</t>
  </si>
  <si>
    <t>ნუკრი ლიპარტაშვილი</t>
  </si>
  <si>
    <t>13001001759</t>
  </si>
  <si>
    <t>GE04CR0000000131873601</t>
  </si>
  <si>
    <t>მიხეილ ჯანჯალია</t>
  </si>
  <si>
    <t>01015004679</t>
  </si>
  <si>
    <t>GE78CR0000009426873601</t>
  </si>
  <si>
    <t>10/05/2016</t>
  </si>
  <si>
    <t>არტემ ხონელიძე</t>
  </si>
  <si>
    <t>01011019504</t>
  </si>
  <si>
    <t>GE10CR0120009427063601</t>
  </si>
  <si>
    <t>დიანა კოპალეიშვილი</t>
  </si>
  <si>
    <t>01022003667</t>
  </si>
  <si>
    <t>GE22CR0000009427023601</t>
  </si>
  <si>
    <t>10/06/2016</t>
  </si>
  <si>
    <t>ბესარიონ ჩხაიძე</t>
  </si>
  <si>
    <t>01013001370</t>
  </si>
  <si>
    <t>GE30CR0000000922873601</t>
  </si>
  <si>
    <t>მურად აბაშიძე</t>
  </si>
  <si>
    <t>61001023005</t>
  </si>
  <si>
    <t>GE05CR0150009427113601</t>
  </si>
  <si>
    <t>მადონა ზაქარაძე</t>
  </si>
  <si>
    <t>61001000450</t>
  </si>
  <si>
    <t>GE53CR0150009427123601</t>
  </si>
  <si>
    <t>მალხაზ შუბალიძე</t>
  </si>
  <si>
    <t>61004001122</t>
  </si>
  <si>
    <t>GE53CR0150009223423601</t>
  </si>
  <si>
    <t>გიორგი ბალაძე</t>
  </si>
  <si>
    <t>61001032111</t>
  </si>
  <si>
    <t>GE51CR0150009229283601</t>
  </si>
  <si>
    <t>გიორგი აბაშიძე</t>
  </si>
  <si>
    <t>61001012393</t>
  </si>
  <si>
    <t>GE52CR0150009427143601</t>
  </si>
  <si>
    <t>ირაკლი აბაშიძე</t>
  </si>
  <si>
    <t>61001021235</t>
  </si>
  <si>
    <t>GE03CR0150009427153601</t>
  </si>
  <si>
    <t>ქიბარ ხალვაში</t>
  </si>
  <si>
    <t>61002000543</t>
  </si>
  <si>
    <t>GE15CR0000009414553601</t>
  </si>
  <si>
    <t>10/07/2016</t>
  </si>
  <si>
    <t>გიორგი ტაკიძე</t>
  </si>
  <si>
    <t>61001047032</t>
  </si>
  <si>
    <t>GE16TB1143545061622340</t>
  </si>
  <si>
    <t>მაკა რაზმაძე</t>
  </si>
  <si>
    <t>20001004577</t>
  </si>
  <si>
    <t>GE21TB7193145061600003</t>
  </si>
  <si>
    <t>გიორგი ტატიშვილი</t>
  </si>
  <si>
    <t>59001032972</t>
  </si>
  <si>
    <t>GE81TB7017145066300001</t>
  </si>
  <si>
    <t>შ.პ.ს. იბეროილი</t>
  </si>
  <si>
    <t>406079586</t>
  </si>
  <si>
    <t>GE20BR0000010741771329</t>
  </si>
  <si>
    <t xml:space="preserve">შ.პ.ს. გამსახურდიას 5 </t>
  </si>
  <si>
    <t>404882926</t>
  </si>
  <si>
    <t>GE40BG0000000887378400</t>
  </si>
  <si>
    <t>შ.პ.ს. გრანდ</t>
  </si>
  <si>
    <t>239867612</t>
  </si>
  <si>
    <t>GE37CR0150009426683606</t>
  </si>
  <si>
    <t>შ.პ.ს. ციტადელი</t>
  </si>
  <si>
    <t>208190367</t>
  </si>
  <si>
    <t>GE70CR0000000008763602</t>
  </si>
  <si>
    <t>10/12/2016</t>
  </si>
  <si>
    <t>ზვიად ბერიძიშვილი</t>
  </si>
  <si>
    <t>01017006881</t>
  </si>
  <si>
    <t>GE94CR0000009427523601</t>
  </si>
  <si>
    <t>10/13/2016</t>
  </si>
  <si>
    <t>მორის ხუციშვილი</t>
  </si>
  <si>
    <t>01027016242</t>
  </si>
  <si>
    <t>GE41CR0000009427613601</t>
  </si>
  <si>
    <t>ილია სეფიაშვილი</t>
  </si>
  <si>
    <t>01009004122</t>
  </si>
  <si>
    <t>GE18CR0000002003693601</t>
  </si>
  <si>
    <t>რევაზ ქარჩავა</t>
  </si>
  <si>
    <t>01010014149</t>
  </si>
  <si>
    <t>GE89CR0000009427623601</t>
  </si>
  <si>
    <t>ამირან ადეიშვილი</t>
  </si>
  <si>
    <t>01008017025</t>
  </si>
  <si>
    <t>GE40CR0000009427633601</t>
  </si>
  <si>
    <t>ავთანდილი მაღრაძე</t>
  </si>
  <si>
    <t>01009014395</t>
  </si>
  <si>
    <t>GE88CR0000009427643601</t>
  </si>
  <si>
    <t>დავითი ლაშქარავა</t>
  </si>
  <si>
    <t>39001000662</t>
  </si>
  <si>
    <t>GE87CR0000009427663601</t>
  </si>
  <si>
    <t>ზებურ დიასამიძე</t>
  </si>
  <si>
    <t>61008000623</t>
  </si>
  <si>
    <t>GE74CR0150009427673601</t>
  </si>
  <si>
    <t>ზურაბ ბერიშვილი</t>
  </si>
  <si>
    <t>01009002575</t>
  </si>
  <si>
    <t>GE86CR0000009427683601</t>
  </si>
  <si>
    <t>ავთანდილ მაისურაძე</t>
  </si>
  <si>
    <t>62001008629</t>
  </si>
  <si>
    <t>GE24CR0150009427703601</t>
  </si>
  <si>
    <t>ნუკრი აბალაკი</t>
  </si>
  <si>
    <t>59001002755</t>
  </si>
  <si>
    <t>GE36CR0000009427713601</t>
  </si>
  <si>
    <t>ლევან იოსებაშვილი</t>
  </si>
  <si>
    <t>59001030645</t>
  </si>
  <si>
    <t>GE37CR0000009427693601</t>
  </si>
  <si>
    <t>ვახტანგ ლუკავა</t>
  </si>
  <si>
    <t>19001044643</t>
  </si>
  <si>
    <t>GE71CR0150009427733601</t>
  </si>
  <si>
    <t>ვახტანგი კაპანაძე</t>
  </si>
  <si>
    <t>11001010175</t>
  </si>
  <si>
    <t>GE83CR0000009427743601</t>
  </si>
  <si>
    <t>კახა ჯაფარიძე</t>
  </si>
  <si>
    <t>61004021326</t>
  </si>
  <si>
    <t>GE70CR0150009427753601</t>
  </si>
  <si>
    <t>62001017920</t>
  </si>
  <si>
    <t>GE82CR0000009427763601</t>
  </si>
  <si>
    <t>ალექსანდრე ვაშაკიძე</t>
  </si>
  <si>
    <t>01031000236</t>
  </si>
  <si>
    <t>GE33CR0000009427773601</t>
  </si>
  <si>
    <t>გიორგი ჩეჩელაშვილი</t>
  </si>
  <si>
    <t>01025012159</t>
  </si>
  <si>
    <t>GE29CR0000009427853601</t>
  </si>
  <si>
    <t>დათო ადუაშვილი</t>
  </si>
  <si>
    <t>15001004125</t>
  </si>
  <si>
    <t>GE77CR0000009427863601</t>
  </si>
  <si>
    <t>10/18/2016</t>
  </si>
  <si>
    <t>GE14TB7473345063600033</t>
  </si>
  <si>
    <t>10/19/2016</t>
  </si>
  <si>
    <t>აკაკი ბურკიაშვილი</t>
  </si>
  <si>
    <t>01013009221</t>
  </si>
  <si>
    <t>GE04CR0000009428353601</t>
  </si>
  <si>
    <t>ვახტანგ ბურკიაშვილი</t>
  </si>
  <si>
    <t>01013014896</t>
  </si>
  <si>
    <t>GE53CR0000009428343601</t>
  </si>
  <si>
    <t>ირაკლი გიორგობიანი</t>
  </si>
  <si>
    <t>01024011857</t>
  </si>
  <si>
    <t>GE52CR0000009428363601</t>
  </si>
  <si>
    <t>ზვიად თოიძე</t>
  </si>
  <si>
    <t>01020001299</t>
  </si>
  <si>
    <t>GE03CR0000009428373601</t>
  </si>
  <si>
    <t>დავით ინაური</t>
  </si>
  <si>
    <t>01024024600</t>
  </si>
  <si>
    <t>GE80CR0000000915083601</t>
  </si>
  <si>
    <t>10/20/2016</t>
  </si>
  <si>
    <t>მინდია ჟოჟაძე</t>
  </si>
  <si>
    <t>61001017460</t>
  </si>
  <si>
    <t>GE32CR0150009428513601</t>
  </si>
  <si>
    <t>10/17/2016</t>
  </si>
  <si>
    <t>შ.პ.ს. TRANZIT N</t>
  </si>
  <si>
    <t>448387656</t>
  </si>
  <si>
    <t>GE48CR0150009427653602</t>
  </si>
  <si>
    <t>შ.პ.ს. ტექიმპექსი</t>
  </si>
  <si>
    <t>205280532</t>
  </si>
  <si>
    <t>GE02TB7791436050100001</t>
  </si>
  <si>
    <t>შ.პ.ს. T.N.T. 007</t>
  </si>
  <si>
    <t>445417317</t>
  </si>
  <si>
    <t>GE79CR0150009428003602</t>
  </si>
  <si>
    <t>შ.პ.ს. სი თი ენ ჯორჯია</t>
  </si>
  <si>
    <t>404869763</t>
  </si>
  <si>
    <t>GE83TB7621336020100001</t>
  </si>
  <si>
    <t>შ.პ.ს. საბა 2011</t>
  </si>
  <si>
    <t>445394127</t>
  </si>
  <si>
    <t>GE27CR0150009428073602</t>
  </si>
  <si>
    <t>შ.პ.ს. NTL Holding</t>
  </si>
  <si>
    <t>400054668</t>
  </si>
  <si>
    <t>GE90TB7080036080100003</t>
  </si>
  <si>
    <t>შ.პ.ს. ახალი ნათება</t>
  </si>
  <si>
    <t>202066156</t>
  </si>
  <si>
    <t>GE84BG000000146039200</t>
  </si>
  <si>
    <t>შ.პ.ს. არალ-პეტროლი</t>
  </si>
  <si>
    <t>222729527</t>
  </si>
  <si>
    <t>GE30TB7384336020100001</t>
  </si>
  <si>
    <t>შ.პ.ს. თბილისი რეფიერ კომპანი</t>
  </si>
  <si>
    <t>206271014</t>
  </si>
  <si>
    <t>GE62VT7000000002353602</t>
  </si>
  <si>
    <t>ვითიბი</t>
  </si>
  <si>
    <t>10/24/2016</t>
  </si>
  <si>
    <t>ბიძინა სონღულაშვილი</t>
  </si>
  <si>
    <t>01027011198</t>
  </si>
  <si>
    <t>GE91CR0000000125283601</t>
  </si>
  <si>
    <t>10/27/2016</t>
  </si>
  <si>
    <t>ანა ჭუჭულაშვილი</t>
  </si>
  <si>
    <t>01001070544</t>
  </si>
  <si>
    <t>GE09CR0120009429023601</t>
  </si>
  <si>
    <t>შ.პ.ს. საინვესტიციო-დეველოპერული კომპანია ათორი</t>
  </si>
  <si>
    <t>404955848</t>
  </si>
  <si>
    <t>GE44TB7264136050100002</t>
  </si>
  <si>
    <t>11/11/2016</t>
  </si>
  <si>
    <t>გიორგი ტუხაშვილი</t>
  </si>
  <si>
    <t>01026011027</t>
  </si>
  <si>
    <t>GE08CR0000009430213601</t>
  </si>
  <si>
    <t>თორნიკე ტოროშელიძე</t>
  </si>
  <si>
    <t>60001026517</t>
  </si>
  <si>
    <t>GE56CR0000009430223601</t>
  </si>
  <si>
    <t>დავით თედიაშვილი</t>
  </si>
  <si>
    <t>01010013871</t>
  </si>
  <si>
    <t>GE07CR0000009430233601</t>
  </si>
  <si>
    <t>დავით თათარიშვილი</t>
  </si>
  <si>
    <t>01026007213</t>
  </si>
  <si>
    <t>GE55CR0000009430243601</t>
  </si>
  <si>
    <t>11/14/2016</t>
  </si>
  <si>
    <t>ზაზა ხუციშვილი</t>
  </si>
  <si>
    <t>01027018549</t>
  </si>
  <si>
    <t>GE48CR0000009430383601</t>
  </si>
  <si>
    <t>11/15/2016</t>
  </si>
  <si>
    <t>11/16/2016</t>
  </si>
  <si>
    <t>შ.პ.ს. მაი ვოჩი</t>
  </si>
  <si>
    <t>404856893</t>
  </si>
  <si>
    <t>GE29TB1114536020100005</t>
  </si>
  <si>
    <t xml:space="preserve">
    თიბისი
</t>
  </si>
  <si>
    <t>11/18/2016</t>
  </si>
  <si>
    <t>ზაზა ავალიანი</t>
  </si>
  <si>
    <t>01024010151</t>
  </si>
  <si>
    <t>GE35CR0000009430643601</t>
  </si>
  <si>
    <t>სოსო ჩიქოვანი</t>
  </si>
  <si>
    <t>01001005619</t>
  </si>
  <si>
    <t>GE71CR0000000061663601</t>
  </si>
  <si>
    <t>თემურ გოცირიძე</t>
  </si>
  <si>
    <t>01011027382</t>
  </si>
  <si>
    <t>GE82CR0000009430673601</t>
  </si>
  <si>
    <t>დავით იაშაღაშვილი</t>
  </si>
  <si>
    <t>01021001520</t>
  </si>
  <si>
    <t>GE78CR0000009430753601</t>
  </si>
  <si>
    <t>გელა ბეგიაშვილი</t>
  </si>
  <si>
    <t>01011005995</t>
  </si>
  <si>
    <t>GE77CR0000009430773601</t>
  </si>
  <si>
    <t>11/24/2016</t>
  </si>
  <si>
    <t>კახა ხუციშვილი</t>
  </si>
  <si>
    <t>57001011786</t>
  </si>
  <si>
    <t>GE06CR0000009431223601</t>
  </si>
  <si>
    <t>გელა კობერიძე</t>
  </si>
  <si>
    <t>54001019101</t>
  </si>
  <si>
    <t>GE76CR0000000907403601</t>
  </si>
  <si>
    <t>მაია მაისურაძე</t>
  </si>
  <si>
    <t>01009004649</t>
  </si>
  <si>
    <t>GE06CR000000027073601</t>
  </si>
  <si>
    <t>ნინო კიკნაძე</t>
  </si>
  <si>
    <t>01001068091</t>
  </si>
  <si>
    <t>GE71CR0000000908473601</t>
  </si>
  <si>
    <t>მერაბ ბარბაქაძე</t>
  </si>
  <si>
    <t>01013009015</t>
  </si>
  <si>
    <t>GE20CR0000000065593601</t>
  </si>
  <si>
    <t>თამარ რატიანიძე</t>
  </si>
  <si>
    <t>01024028441</t>
  </si>
  <si>
    <t>GE17CR0000000054013601</t>
  </si>
  <si>
    <t>11/25/2016</t>
  </si>
  <si>
    <t>ვახტანგ სარალიძე</t>
  </si>
  <si>
    <t>01025008656</t>
  </si>
  <si>
    <t>GE49CR0000009431333601</t>
  </si>
  <si>
    <t>მერაბ ნათაძე</t>
  </si>
  <si>
    <t>01002016172</t>
  </si>
  <si>
    <t>GE72CR0000000021873601</t>
  </si>
  <si>
    <t>ბადრი ბარბაქაძე</t>
  </si>
  <si>
    <t>01006017117</t>
  </si>
  <si>
    <t>GE04CR0000000027113601</t>
  </si>
  <si>
    <t>სალომე ფედიჩკინა</t>
  </si>
  <si>
    <t>61001032216</t>
  </si>
  <si>
    <t>GE92CR0000000880893601</t>
  </si>
  <si>
    <t>დავით ნიკოლაიშვილი</t>
  </si>
  <si>
    <t>01024031943</t>
  </si>
  <si>
    <t>GE28CR0000000936493601</t>
  </si>
  <si>
    <t>დავით წულუკიძე</t>
  </si>
  <si>
    <t>01005002259</t>
  </si>
  <si>
    <t>GE50CR0000000027163601</t>
  </si>
  <si>
    <t>ლია ქურციკიძე</t>
  </si>
  <si>
    <t>01029015019</t>
  </si>
  <si>
    <t>GE46CR0000009431393601</t>
  </si>
  <si>
    <t>11/28/2016</t>
  </si>
  <si>
    <t>სალომე ყიფშიძე</t>
  </si>
  <si>
    <t>01008022636</t>
  </si>
  <si>
    <t>GE85CR0000000052653601</t>
  </si>
  <si>
    <t>ნაირა ექვთიმიშვილი</t>
  </si>
  <si>
    <t>01033005769</t>
  </si>
  <si>
    <t>GE34CR0030000028403601</t>
  </si>
  <si>
    <t>მაია მაჭავარიანი</t>
  </si>
  <si>
    <t>35001036721</t>
  </si>
  <si>
    <t>GE50CR0030000501443601</t>
  </si>
  <si>
    <t>11/29/2016</t>
  </si>
  <si>
    <t>გრიგოლ კურტანიძე</t>
  </si>
  <si>
    <t>01011005705</t>
  </si>
  <si>
    <t>GE19CR0000000060763601</t>
  </si>
  <si>
    <t>ირინა მეგრელიშვილი</t>
  </si>
  <si>
    <t>01019043676</t>
  </si>
  <si>
    <t>GE19CR0000000025843601</t>
  </si>
  <si>
    <t>აბელ ბუაჩიძე</t>
  </si>
  <si>
    <t>01024002083</t>
  </si>
  <si>
    <t>GE57CR0000000027023601</t>
  </si>
  <si>
    <t>ბექა ღამბაშიძე</t>
  </si>
  <si>
    <t>01019061491</t>
  </si>
  <si>
    <t>GE42CR0000000934273601</t>
  </si>
  <si>
    <t>გივი კაპანაძე</t>
  </si>
  <si>
    <t>01004008274</t>
  </si>
  <si>
    <t>GE85CR0000009431583601</t>
  </si>
  <si>
    <t>12/05/2016</t>
  </si>
  <si>
    <t>მაია სალიბეგაშვილი</t>
  </si>
  <si>
    <t>01017012747</t>
  </si>
  <si>
    <t>GE68CR0000009431923601</t>
  </si>
  <si>
    <t>მარიამ პიტავა</t>
  </si>
  <si>
    <t>01030030891</t>
  </si>
  <si>
    <t>GE05CR0000000060073601</t>
  </si>
  <si>
    <t>ნინო სილაგაძე</t>
  </si>
  <si>
    <t>60001026693</t>
  </si>
  <si>
    <t>GE05CR0000000926283601</t>
  </si>
  <si>
    <t>დიანა კაპანაძე</t>
  </si>
  <si>
    <t>21001007681</t>
  </si>
  <si>
    <t>GE84CR0000000924703601</t>
  </si>
  <si>
    <t>ნინო ცეცაძე</t>
  </si>
  <si>
    <t>34001000884</t>
  </si>
  <si>
    <t>GE50CR0000000010673601</t>
  </si>
  <si>
    <t>12/07/2016</t>
  </si>
  <si>
    <t>გიორგი ჩრდილელი</t>
  </si>
  <si>
    <t>01008018296</t>
  </si>
  <si>
    <t>GE74CR0000007117383601</t>
  </si>
  <si>
    <t>ალექსი მორჩილაძე</t>
  </si>
  <si>
    <t>01001024349</t>
  </si>
  <si>
    <t>GE56CR0000009432163601</t>
  </si>
  <si>
    <t>გოჩა იაკობაშვილი</t>
  </si>
  <si>
    <t>35001018843</t>
  </si>
  <si>
    <t>GE05CR0000000023213601</t>
  </si>
  <si>
    <t>რაფიელ სურამელაშვილი</t>
  </si>
  <si>
    <t>01018002946</t>
  </si>
  <si>
    <t>GE46CR0120007002313601</t>
  </si>
  <si>
    <t>ნიკა ზაუტაშვილი</t>
  </si>
  <si>
    <t>01026004714</t>
  </si>
  <si>
    <t>GE54CR0000009432203601</t>
  </si>
  <si>
    <t>ლევან ზაუტაშვილი</t>
  </si>
  <si>
    <t>01026001967</t>
  </si>
  <si>
    <t>GE05CR0000009432213601</t>
  </si>
  <si>
    <t>ზურაბ ბუბუტეიშვილი</t>
  </si>
  <si>
    <t>01018001201</t>
  </si>
  <si>
    <t>GE50CR0120007004173601</t>
  </si>
  <si>
    <t>ავთნდილ მაისურაძე</t>
  </si>
  <si>
    <t>01008006763</t>
  </si>
  <si>
    <t>GE35CR0000000927623601</t>
  </si>
  <si>
    <t>12/08/2016</t>
  </si>
  <si>
    <t>გრიგოლ მორჩილაძე</t>
  </si>
  <si>
    <t>01018002152</t>
  </si>
  <si>
    <t>GE03CR0000000026163601</t>
  </si>
  <si>
    <t>აკაკი პაიჭაძე</t>
  </si>
  <si>
    <t>01024010555</t>
  </si>
  <si>
    <t>GE51CR0000009432263601</t>
  </si>
  <si>
    <t>დიანა რაჭველიშვილი</t>
  </si>
  <si>
    <t>01030008270</t>
  </si>
  <si>
    <t>GE02CR0000009432273601</t>
  </si>
  <si>
    <t>ნოდარ საბანაძე</t>
  </si>
  <si>
    <t>01024036045</t>
  </si>
  <si>
    <t>GE97CR0000009432313601</t>
  </si>
  <si>
    <t>12/09/2016</t>
  </si>
  <si>
    <t>01008000150</t>
  </si>
  <si>
    <t>GE94CR0000009432373601</t>
  </si>
  <si>
    <t>ბეჟან გურგენიძე</t>
  </si>
  <si>
    <t>01029003377</t>
  </si>
  <si>
    <t>GE80CR0000000933513601</t>
  </si>
  <si>
    <t>თამაზ გელოვანი</t>
  </si>
  <si>
    <t>60003006331</t>
  </si>
  <si>
    <t>GE89CR0000009432473601</t>
  </si>
  <si>
    <t>გივი ბერელიძე</t>
  </si>
  <si>
    <t>01028001778</t>
  </si>
  <si>
    <t>GE40CR0000009432483601</t>
  </si>
  <si>
    <t>12/12/2016</t>
  </si>
  <si>
    <t>ეკატერინე თავთავაძე</t>
  </si>
  <si>
    <t>01010010835</t>
  </si>
  <si>
    <t>GE36CR0000000892683601</t>
  </si>
  <si>
    <t>ლალა ჯიქია</t>
  </si>
  <si>
    <t>01006021395</t>
  </si>
  <si>
    <t>GE76CR0000000439863601</t>
  </si>
  <si>
    <t>ირმა ლომაძე</t>
  </si>
  <si>
    <t>01024010822</t>
  </si>
  <si>
    <t>GE81CR0000009432633601</t>
  </si>
  <si>
    <t>12/13/2016</t>
  </si>
  <si>
    <t>მალხაზი ჯეირანაშვილი</t>
  </si>
  <si>
    <t>35001032712</t>
  </si>
  <si>
    <t>GE61CR0000000907703601</t>
  </si>
  <si>
    <t>12/14/2016</t>
  </si>
  <si>
    <t>თეიმურაზ არუნაშვილი</t>
  </si>
  <si>
    <t>01015003504</t>
  </si>
  <si>
    <t>GE62CR0000009433013601</t>
  </si>
  <si>
    <t>გოდერძი ნიკოლაშვილი</t>
  </si>
  <si>
    <t>33001021056</t>
  </si>
  <si>
    <t>GE37CR0000009432543601</t>
  </si>
  <si>
    <t>12/15/2016</t>
  </si>
  <si>
    <t>აბესალომ თავბერიძე</t>
  </si>
  <si>
    <t>01008013683</t>
  </si>
  <si>
    <t>GE12CR0000009433043601</t>
  </si>
  <si>
    <t>მამია ჯაში</t>
  </si>
  <si>
    <t>01024005877</t>
  </si>
  <si>
    <t>GE60CR0000009433053601</t>
  </si>
  <si>
    <t>ნატალია შარაშიძე</t>
  </si>
  <si>
    <t>01009000096</t>
  </si>
  <si>
    <t>GE11CR0000009433063601</t>
  </si>
  <si>
    <t>მინდია საბანაძე</t>
  </si>
  <si>
    <t>01023002458</t>
  </si>
  <si>
    <t>GE70CR0000000053923601</t>
  </si>
  <si>
    <t>ზურაბ ბურკაძე</t>
  </si>
  <si>
    <t>01026003883</t>
  </si>
  <si>
    <t>GE08CR0000009433123601</t>
  </si>
  <si>
    <t>12/16/2016</t>
  </si>
  <si>
    <t>დავით ძებნიაური</t>
  </si>
  <si>
    <t>01026002980</t>
  </si>
  <si>
    <t>GE17CR0000000914403601</t>
  </si>
  <si>
    <t>ეკა გველუკაშვილი</t>
  </si>
  <si>
    <t>13001010087</t>
  </si>
  <si>
    <t>GE18CR0000000926993601</t>
  </si>
  <si>
    <t>12/21/2016</t>
  </si>
  <si>
    <t>ჯემალ აბშილავა</t>
  </si>
  <si>
    <t>35001010860</t>
  </si>
  <si>
    <t>GE83CR0000000908233601</t>
  </si>
  <si>
    <t>ნინო ოდიშარია</t>
  </si>
  <si>
    <t>01006000157</t>
  </si>
  <si>
    <t>GE05CR0000000901063601</t>
  </si>
  <si>
    <t>GE65CR0000000894043601</t>
  </si>
  <si>
    <t>12/22/2016</t>
  </si>
  <si>
    <t>ეთერ კვანტალიანი</t>
  </si>
  <si>
    <t>01024033267</t>
  </si>
  <si>
    <t>GE31CR0000009433633601</t>
  </si>
  <si>
    <t>დავით კიღურაძე</t>
  </si>
  <si>
    <t>01005003998</t>
  </si>
  <si>
    <t>GE69CR0000000008353601</t>
  </si>
  <si>
    <t>ელგუჯა პაპიაშვილი</t>
  </si>
  <si>
    <t>01032000220</t>
  </si>
  <si>
    <t>GE79CR0000009433643601</t>
  </si>
  <si>
    <t>კობა ღურწკაია</t>
  </si>
  <si>
    <t>19001001822</t>
  </si>
  <si>
    <t>GE30CR0000009433653601</t>
  </si>
  <si>
    <t>ზურაბ უჯმაჯურიძე</t>
  </si>
  <si>
    <t>01019014580</t>
  </si>
  <si>
    <t>GE25CR0000009433753601</t>
  </si>
  <si>
    <t>12/23/2016</t>
  </si>
  <si>
    <t>ნიკოლოზი ნებულიშვილი</t>
  </si>
  <si>
    <t>01020006057</t>
  </si>
  <si>
    <t>GE19CR0000009433873601</t>
  </si>
  <si>
    <t>12/26/2016</t>
  </si>
  <si>
    <t>ნუგზარ მამუჭაძე</t>
  </si>
  <si>
    <t>61001013603</t>
  </si>
  <si>
    <t>GE38CR0000000028373601</t>
  </si>
  <si>
    <t>შოთა ხიზანიშვილი</t>
  </si>
  <si>
    <t>01030022440</t>
  </si>
  <si>
    <t>GE03CR0000000057203601</t>
  </si>
  <si>
    <t>ლევან ტაბუციძე</t>
  </si>
  <si>
    <t>01008010036</t>
  </si>
  <si>
    <t>GE38CR0000000437713601</t>
  </si>
  <si>
    <t>დავით ბეგაშვილი</t>
  </si>
  <si>
    <t>01019010522</t>
  </si>
  <si>
    <t>GE58CR0000009434063601</t>
  </si>
  <si>
    <t>თემური კობახიძე</t>
  </si>
  <si>
    <t>01011055455</t>
  </si>
  <si>
    <t>GE42CR0000000055453601</t>
  </si>
  <si>
    <t>12/27/2016</t>
  </si>
  <si>
    <t>გურამ მამუჭაძე</t>
  </si>
  <si>
    <t>61001001995</t>
  </si>
  <si>
    <t>GE90CR0150009434143601</t>
  </si>
  <si>
    <t>დავით ერაძე</t>
  </si>
  <si>
    <t>01024012567</t>
  </si>
  <si>
    <t>GE24CR0000000051933601</t>
  </si>
  <si>
    <t>ბაქარი კაპანაძე</t>
  </si>
  <si>
    <t>01010000403</t>
  </si>
  <si>
    <t>GE98CR0120007046863601</t>
  </si>
  <si>
    <t>12/28/2016</t>
  </si>
  <si>
    <t>ირაკლი კიღურაძე</t>
  </si>
  <si>
    <t>01031006516</t>
  </si>
  <si>
    <t>GE95CR0000009434293601</t>
  </si>
  <si>
    <t>12/29/2016</t>
  </si>
  <si>
    <t>ლამარა ჯანიაშვილი</t>
  </si>
  <si>
    <t>01012021739</t>
  </si>
  <si>
    <t>GE78CR0000000889903601</t>
  </si>
  <si>
    <t>ლილი თაბაგარი</t>
  </si>
  <si>
    <t>01024040439</t>
  </si>
  <si>
    <t>GE50CR0000000907923601</t>
  </si>
  <si>
    <t>კახა კობიაშვილი</t>
  </si>
  <si>
    <t>54001002613</t>
  </si>
  <si>
    <t>GE17CR0000000052073601</t>
  </si>
  <si>
    <t>ნუგზარ დეკანოიძე</t>
  </si>
  <si>
    <t>38001001532</t>
  </si>
  <si>
    <t>GE83CR0000000915993601</t>
  </si>
  <si>
    <t>ვახტანგ ცაგარელი</t>
  </si>
  <si>
    <t>01008003187</t>
  </si>
  <si>
    <t>GE89CR0000009434413601</t>
  </si>
  <si>
    <t>შ.პ.ს. ისანი ბილდინგ</t>
  </si>
  <si>
    <t>401962747</t>
  </si>
  <si>
    <t>GE63BS0000000046536040</t>
  </si>
  <si>
    <t xml:space="preserve">
    ბაზისბანკი
</t>
  </si>
  <si>
    <t>შ.პ.ს. ტორნადო+</t>
  </si>
  <si>
    <t>211338382</t>
  </si>
  <si>
    <t>GE96CR0000000002423602</t>
  </si>
  <si>
    <t xml:space="preserve">
    ბანკი ქართუ
</t>
  </si>
  <si>
    <t>შ.პ.ს. აქვა-ტერრა</t>
  </si>
  <si>
    <t>206118510</t>
  </si>
  <si>
    <t>GE47TB7351036020100002</t>
  </si>
  <si>
    <t>01.01-31.03</t>
  </si>
  <si>
    <t>01.04.-07.06.</t>
  </si>
  <si>
    <t>08.06-16.11</t>
  </si>
  <si>
    <t>17.11-31.12</t>
  </si>
  <si>
    <t>01.01.-31.03</t>
  </si>
  <si>
    <t>01.04-07.06</t>
  </si>
  <si>
    <t xml:space="preserve"> ბეჭდვითი ხარჯი  (ბანერი)</t>
  </si>
  <si>
    <t>ბიუჯეტში თანხის დაბრუნება (კომიისიის წარმომადგენლები)</t>
  </si>
  <si>
    <t>ა/ტ მომსახურეობა</t>
  </si>
  <si>
    <t>საწევრო გადასახადი</t>
  </si>
  <si>
    <t>ბანერის დემონტაჟი</t>
  </si>
  <si>
    <t>კვლევითი მომსახურეობა</t>
  </si>
  <si>
    <t>კომუნალური ხარჯი (ძველი დავალიანების დაფარვა)</t>
  </si>
  <si>
    <t>ავტო სადგომის საშვი</t>
  </si>
  <si>
    <t>სცენით მომსახურეობა</t>
  </si>
  <si>
    <t>ცეესკოში თანხის დაბრუნება</t>
  </si>
  <si>
    <t>წარმომადგენლები კომისიებში (აჭარა)</t>
  </si>
  <si>
    <t>ამწე კალათით მომსახურეობა</t>
  </si>
  <si>
    <t>სატელევიზიო რეიტინგების ანალიზი</t>
  </si>
  <si>
    <t>სესხის პროცენტი</t>
  </si>
  <si>
    <t>ვიდეო რგოლის დამზადება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</si>
  <si>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</si>
  <si>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</si>
  <si>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</si>
  <si>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</si>
  <si>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</si>
  <si>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</si>
  <si>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</si>
  <si>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</si>
  <si>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ანა</t>
  </si>
  <si>
    <t>გოჩაშვილი</t>
  </si>
  <si>
    <t>01025014293</t>
  </si>
  <si>
    <t>პრესსამსახურის უფროსი</t>
  </si>
  <si>
    <t>ნუგზარ</t>
  </si>
  <si>
    <t>ხუციშვილი</t>
  </si>
  <si>
    <t>საარჩევნო ფონდის მმართველი</t>
  </si>
  <si>
    <t xml:space="preserve">დიმიტრი </t>
  </si>
  <si>
    <t>ცქიტიშვილი</t>
  </si>
  <si>
    <t>01005004300</t>
  </si>
  <si>
    <t>სამუშაო ვიზიტი</t>
  </si>
  <si>
    <t>ალბანეთის რესპუბლიკა ქ. ტირანა</t>
  </si>
  <si>
    <t>ბენაშვილი</t>
  </si>
  <si>
    <t>35001114975</t>
  </si>
  <si>
    <t>შვედეთის სამეფო ქ. სტოკჰოლმი</t>
  </si>
  <si>
    <t>ზვიად</t>
  </si>
  <si>
    <t>კვაჭანტირაძე</t>
  </si>
  <si>
    <t xml:space="preserve">მანანა </t>
  </si>
  <si>
    <t>შ.პ.ს. ინფო 9</t>
  </si>
  <si>
    <t>405009146</t>
  </si>
  <si>
    <t>მ.პ.გ. ქართული ოცნება</t>
  </si>
  <si>
    <t>01.01.2017-31.12.2017</t>
  </si>
  <si>
    <t>120.00</t>
  </si>
  <si>
    <t>დამკვეთის ღონისძიებების ფოტო-გადაღება (თვეში არაუმეტეს 5-ჯერ)</t>
  </si>
  <si>
    <t>150.00</t>
  </si>
  <si>
    <t>დამკვეთის ღონისძიებების ვიდეო-გადაღება (თვეში არაუმეტეს 5-ჯერ)</t>
  </si>
  <si>
    <t>50.00</t>
  </si>
  <si>
    <t>ღონისძიებებზე მედია საშუალებების მოწვევა (შეუზღუდავი)</t>
  </si>
  <si>
    <t>60.00</t>
  </si>
  <si>
    <t>ღონისძიებებისთვის პრესრელიზის და წინმსწრები ინფორმაციის მომზადება და გავრცელება (შეუზღუდავი)</t>
  </si>
  <si>
    <t>90.00</t>
  </si>
  <si>
    <t>ვებგვერდი - www.info9.ge-ის საშუალებით გამოკითხვის ჩატარება (თვეში არაუმეტეს ერთხელ)</t>
  </si>
  <si>
    <t>ინტერვიუებისა და კომენტარების მომზადება და ვებგვერდი - www.info9.ge-ზე განთავსება (თვეში არაუმეტეს ორჯერ)</t>
  </si>
  <si>
    <t>01,09,2017-31,10,2017</t>
  </si>
  <si>
    <t>150*670</t>
  </si>
  <si>
    <t>პიქსელი</t>
  </si>
  <si>
    <t>66.00</t>
  </si>
  <si>
    <t>www.info9.ge H1 ბანერი100% ჩვენება</t>
  </si>
  <si>
    <t>01.09.2017-31.10.2017</t>
  </si>
  <si>
    <t xml:space="preserve">www.info9.ge H2  ბანერი 100% ჩვენება 
</t>
  </si>
  <si>
    <t>დღე</t>
  </si>
  <si>
    <t>36.00</t>
  </si>
  <si>
    <t>www.info9.ge – ვებგვერდის ბრენდირება</t>
  </si>
  <si>
    <t>www.info9.ge ნიუსების განთავსება (შეუზღუდავი)</t>
  </si>
  <si>
    <t>1,2,15,21</t>
  </si>
  <si>
    <t>სასწრაფო</t>
  </si>
  <si>
    <t>1.2.15.20</t>
  </si>
  <si>
    <t>ბიოტუალეტი</t>
  </si>
  <si>
    <t>1.2.15.19</t>
  </si>
  <si>
    <t>სმს-ების დაგზავნა</t>
  </si>
  <si>
    <t>1.2.15.18</t>
  </si>
  <si>
    <t>ვიზაჟისტი</t>
  </si>
  <si>
    <t>1.2.15.17</t>
  </si>
  <si>
    <t>სცენარების მომზადების ხარჯი</t>
  </si>
  <si>
    <t>1.2.15.16</t>
  </si>
  <si>
    <t>კვლევის ხარჯი</t>
  </si>
  <si>
    <t>1.2.15.15</t>
  </si>
  <si>
    <t>საარჩევნო კომისიის წარმომადგენელთა დაფინანსება</t>
  </si>
  <si>
    <t>1.2.15.14</t>
  </si>
  <si>
    <t>რეიტინგების ანალიზი და ვიდეო რგოლების მონიტორინგი</t>
  </si>
  <si>
    <t>1.2.15.13</t>
  </si>
  <si>
    <t xml:space="preserve">ვიდეო და მუსიკალური რგოლის დამზადება; </t>
  </si>
  <si>
    <t>1.2.15.12</t>
  </si>
  <si>
    <t>აგიტატორები</t>
  </si>
  <si>
    <t>1.2.15.11</t>
  </si>
  <si>
    <t>ავტოსადგომი</t>
  </si>
  <si>
    <t>1.2.15.10</t>
  </si>
  <si>
    <t>თანხმობა ფოტოს გამოყენებაზე</t>
  </si>
  <si>
    <t>1.2.15.9</t>
  </si>
  <si>
    <t>სხვადასხვა მუსიკალური და სპორტული ღონისძიებები</t>
  </si>
  <si>
    <t>1.2.15.8</t>
  </si>
  <si>
    <t>კონტენტის მომზადება</t>
  </si>
  <si>
    <t>კვლევა</t>
  </si>
  <si>
    <t>1.2.15.7</t>
  </si>
  <si>
    <t>სცენის ტექ. მომსახურეობა; ჯებირების მონტაჟი დემონტაჟი</t>
  </si>
  <si>
    <t>1.2.15.6</t>
  </si>
  <si>
    <t>საინფორმაციო მომსახურეობა (გაზეთები)</t>
  </si>
  <si>
    <t>წინასწარ გადახდილი საშემოსავლო</t>
  </si>
  <si>
    <t>1.2.15.5</t>
  </si>
  <si>
    <t>ბეჭდვა; მონტაჟი ბანერების</t>
  </si>
  <si>
    <t>აგიტატორების ხელფასი</t>
  </si>
  <si>
    <t>ლედმონიტორი,სატელევიზიო კრანი,სიგნალის გადაცემა</t>
  </si>
  <si>
    <t>კარვებით და სკამებით მომსახურეობა</t>
  </si>
  <si>
    <t>1.2.15.4</t>
  </si>
  <si>
    <t xml:space="preserve">გახმოვანების აპარატურით მომსახურეობა </t>
  </si>
  <si>
    <t>ვიდეო რგოლის დამზადება; ფოტო სესია</t>
  </si>
  <si>
    <t>1.2.15.3</t>
  </si>
  <si>
    <t>მუსიკალური გაფორმება</t>
  </si>
  <si>
    <t>ვერტმფრენით მომსახურეობა</t>
  </si>
  <si>
    <t>სასწრაფო სამედიცინო დახმარება</t>
  </si>
  <si>
    <t xml:space="preserve">ა/ტ შეფუთვა </t>
  </si>
  <si>
    <t>დიზაინის შექმნა</t>
  </si>
  <si>
    <t>ფერადი ფხვნილი</t>
  </si>
  <si>
    <t>ბეჭდვა;</t>
  </si>
  <si>
    <t>კონფეტით მომსახურეობა</t>
  </si>
  <si>
    <t>ვიდეო გადაღება</t>
  </si>
  <si>
    <t>ბეჭდვა</t>
  </si>
  <si>
    <t>საინფორმაციო მომსახურეობა</t>
  </si>
  <si>
    <t>სცენის მომსახურეობა</t>
  </si>
  <si>
    <t>ბანერის ბეჭდვა , ოფისზე მონტაჟი</t>
  </si>
  <si>
    <t>გახმოვანების აპარატურით მომსახურეობა და სინქრონული თარგმნა</t>
  </si>
  <si>
    <t>იურიდიული მომსახურეობა</t>
  </si>
  <si>
    <t>აღსრულების შედეგად გაწეული ხარჯი (იურიდიული მომსახურეობა)</t>
  </si>
  <si>
    <t>09.10-30.10</t>
  </si>
  <si>
    <t>21.09-08.10.</t>
  </si>
  <si>
    <t>31.08-20.09</t>
  </si>
  <si>
    <t>10.08-30.08</t>
  </si>
  <si>
    <t>20.07-09.08</t>
  </si>
  <si>
    <t>29.06-19.07</t>
  </si>
  <si>
    <t>08.06-28.06</t>
  </si>
  <si>
    <t>დავით</t>
  </si>
  <si>
    <t>ხაბეიშვილი</t>
  </si>
  <si>
    <t>01011074581</t>
  </si>
  <si>
    <t>ახალგაზრდული ორგანიზაციის თავმჯდომარის მოადგილე</t>
  </si>
  <si>
    <t>სოფიო</t>
  </si>
  <si>
    <t>წიგნაძე</t>
  </si>
  <si>
    <t>54001033965</t>
  </si>
  <si>
    <t>პროგრამის შემმუშავებელი ჯგუფის ასისტენტი</t>
  </si>
  <si>
    <t>ზურაბ</t>
  </si>
  <si>
    <t>ხაჩიძე</t>
  </si>
  <si>
    <t>01011002284</t>
  </si>
  <si>
    <t>კოორდინატორი</t>
  </si>
  <si>
    <t>ცერცვაძე</t>
  </si>
  <si>
    <t>01017005091</t>
  </si>
  <si>
    <t>ლოჯისტიკის მენეჯერი</t>
  </si>
  <si>
    <t>მაია</t>
  </si>
  <si>
    <t>ჯოხაძე</t>
  </si>
  <si>
    <t>01008038633</t>
  </si>
  <si>
    <t>ქეთევანი</t>
  </si>
  <si>
    <t>ჩარკვიანი</t>
  </si>
  <si>
    <t>01011064794</t>
  </si>
  <si>
    <t xml:space="preserve">დავით </t>
  </si>
  <si>
    <t>გელოვანი</t>
  </si>
  <si>
    <t>01026012975</t>
  </si>
  <si>
    <t>არეშიძე</t>
  </si>
  <si>
    <t>01005024218</t>
  </si>
  <si>
    <t>ახალგაზრდული სამსახურის უფროსი</t>
  </si>
  <si>
    <t>ლაშხი</t>
  </si>
  <si>
    <t>01006018789</t>
  </si>
  <si>
    <t>კახა</t>
  </si>
  <si>
    <t>სამხარაძე</t>
  </si>
  <si>
    <t>01009014177</t>
  </si>
  <si>
    <t>ლუკა</t>
  </si>
  <si>
    <t>წერეთელი</t>
  </si>
  <si>
    <t>01008040503</t>
  </si>
  <si>
    <t>საარჩევნო მიმართულების კოორდინატორი</t>
  </si>
  <si>
    <t>ნათია</t>
  </si>
  <si>
    <t>ციმაკურიძე</t>
  </si>
  <si>
    <t>01005007881</t>
  </si>
  <si>
    <t>საარჩევნო მიმართულების ოფის მენეჯერი</t>
  </si>
  <si>
    <t>ტარიელი</t>
  </si>
  <si>
    <t>კარგაძე</t>
  </si>
  <si>
    <t>01030034038</t>
  </si>
  <si>
    <t>კარდაკარის კოორდინატორი</t>
  </si>
  <si>
    <t>მოდებაძე</t>
  </si>
  <si>
    <t>47001025081</t>
  </si>
  <si>
    <t>ტრეინინგის კოორდინატორი</t>
  </si>
  <si>
    <t>მიხეილ</t>
  </si>
  <si>
    <t>ხონელიძე</t>
  </si>
  <si>
    <t>01007004885</t>
  </si>
  <si>
    <t>ლიკა</t>
  </si>
  <si>
    <t>ჭანიშვილი</t>
  </si>
  <si>
    <t>01024075361</t>
  </si>
  <si>
    <t>თამარი</t>
  </si>
  <si>
    <t>მექვაბიშვილი</t>
  </si>
  <si>
    <t>33001075805</t>
  </si>
  <si>
    <t>პრესსამსახურის ნიუსების შემქმნელი</t>
  </si>
  <si>
    <t>კახაბერ</t>
  </si>
  <si>
    <t>ბარათაშვილი</t>
  </si>
  <si>
    <t>01010012232</t>
  </si>
  <si>
    <t>პრესსამსახურის რეგიონების მიმართულების კოორდინატორი</t>
  </si>
  <si>
    <t xml:space="preserve">გოჩა </t>
  </si>
  <si>
    <t>სიხარულიძე</t>
  </si>
  <si>
    <t>01003008139</t>
  </si>
  <si>
    <t>IT სპეციალისტი</t>
  </si>
  <si>
    <t>გელა</t>
  </si>
  <si>
    <t>ფუტკარაძე</t>
  </si>
  <si>
    <t>61003001759</t>
  </si>
  <si>
    <t>მძღოლი</t>
  </si>
  <si>
    <t xml:space="preserve">ივანე </t>
  </si>
  <si>
    <t>ბერძენაშვილი</t>
  </si>
  <si>
    <t>20001044472</t>
  </si>
  <si>
    <t>ნუკრი</t>
  </si>
  <si>
    <t>დამენია</t>
  </si>
  <si>
    <t>02001007999</t>
  </si>
  <si>
    <t>ცომაია</t>
  </si>
  <si>
    <t>37001006530</t>
  </si>
  <si>
    <t xml:space="preserve">ზვიად </t>
  </si>
  <si>
    <t>სირგინავა</t>
  </si>
  <si>
    <t>62006062043</t>
  </si>
  <si>
    <t>ხასან</t>
  </si>
  <si>
    <t>შავაძე</t>
  </si>
  <si>
    <t xml:space="preserve">ნადიმ </t>
  </si>
  <si>
    <t>დეკანაძე</t>
  </si>
  <si>
    <t>61009007527</t>
  </si>
  <si>
    <t>ბაქრაძე</t>
  </si>
  <si>
    <t>01007004144</t>
  </si>
  <si>
    <t>სამუშაო შეხვედრები</t>
  </si>
  <si>
    <t>ა.შ.შ.</t>
  </si>
  <si>
    <t>ჩუგოშვილი</t>
  </si>
  <si>
    <t>01030028937</t>
  </si>
  <si>
    <t>დიმიტრი</t>
  </si>
  <si>
    <t>საქმიანი შეხვედრები</t>
  </si>
  <si>
    <t>ავსტრია ვენა</t>
  </si>
  <si>
    <t xml:space="preserve">ირინე </t>
  </si>
  <si>
    <t>ფრუიძე</t>
  </si>
  <si>
    <t>01024025645</t>
  </si>
  <si>
    <t>თამარ</t>
  </si>
  <si>
    <t>ხულორდავა</t>
  </si>
  <si>
    <t>აშშ</t>
  </si>
  <si>
    <t>ინდონეზია</t>
  </si>
  <si>
    <t>ბელგია ბრიუსელი</t>
  </si>
  <si>
    <t>ქაცარავა</t>
  </si>
  <si>
    <t>01024004091</t>
  </si>
  <si>
    <t>ინტერნეტ-რეკლამს ხრჯი</t>
  </si>
  <si>
    <t>შ.პ.ს. პალიტრა TV</t>
  </si>
  <si>
    <t xml:space="preserve">მ.პ.გ. ქართული ოცნება </t>
  </si>
  <si>
    <t>08,07,2016-07,10,2016</t>
  </si>
  <si>
    <t xml:space="preserve">600*90 </t>
  </si>
  <si>
    <t>www.ambebi.ge, TOP ბანერი, 1900000 ჩვენება თვეში.</t>
  </si>
  <si>
    <t xml:space="preserve">1280*700 </t>
  </si>
  <si>
    <t>www.ambebi.ge, სტატიაში ვიდეო, 1900000 ჩვენება თვეში.</t>
  </si>
  <si>
    <t>110*660</t>
  </si>
  <si>
    <t>www.ipn.ge, H1 ბანერი 50% ჩვენება თვეში.</t>
  </si>
  <si>
    <t>341*652</t>
  </si>
  <si>
    <t>www.ipn.ge/mobile, სტატიის წინმსწრები 200000  ჩვენება თვეში.</t>
  </si>
  <si>
    <t>295*130</t>
  </si>
  <si>
    <t>www.ipn.ge/mobile, H1 100000  ჩვენება თვეში.</t>
  </si>
  <si>
    <t>740*90</t>
  </si>
  <si>
    <t>wwwpalitratv.ge B2 ბანერი 200000 ჩვენება თვეში.</t>
  </si>
  <si>
    <t>300*240</t>
  </si>
  <si>
    <t>www.bpn.ge C1 ბანერი 300000 ჩვენება თვეში.</t>
  </si>
  <si>
    <t>275*130</t>
  </si>
  <si>
    <t>www.bpn.ge/mobile B1 ბანერი 100000 ჩვენება თვეში.</t>
  </si>
  <si>
    <t>765*130</t>
  </si>
  <si>
    <t>www.allnews.ge B1 ბანერი 200000 ჩვენება თვეში.</t>
  </si>
  <si>
    <t>www.kvirispalitra.ge C1 ბანერი 500000 ჩვენება თვეში.</t>
  </si>
  <si>
    <t>600*90</t>
  </si>
  <si>
    <t>www.sportall.ge TOP ბანერი 500000 ჩვენება თვეში.</t>
  </si>
  <si>
    <t>ბეჭდური რეკლამი ხარჯი</t>
  </si>
  <si>
    <t>შ.პ.ს. კვირის პალიტრა</t>
  </si>
  <si>
    <t>კვ.სმ</t>
  </si>
  <si>
    <t>გაზეთი კვირის პალიტრა</t>
  </si>
  <si>
    <t>ჟურნალი ტოპ რეიტინგი</t>
  </si>
  <si>
    <t>ჟურნალი გზა</t>
  </si>
  <si>
    <t>შ.პ.ს. გურია ნიუსი</t>
  </si>
  <si>
    <t>725*95</t>
  </si>
  <si>
    <t>www.gurianews.com A ბანერი სტატიკური</t>
  </si>
  <si>
    <t>გაზეთი გურია ნიუსი 17 ნომერში</t>
  </si>
  <si>
    <t>www.gurianews.com ნიუსის გათავსება</t>
  </si>
  <si>
    <t>შ.პ.ს. ახალი ამბების სააგენტო კავკასუსნიუსი</t>
  </si>
  <si>
    <t>125*600</t>
  </si>
  <si>
    <t xml:space="preserve">www.epn.ge TOP ბანერი 100% ჩვენება </t>
  </si>
  <si>
    <t>შ.პ.ს. ახალია მბების სააგენტო კაუკასუსნიუსი</t>
  </si>
  <si>
    <t>135*300</t>
  </si>
  <si>
    <t xml:space="preserve">www.epn.ge H1 ბანერი 100% ჩვენება </t>
  </si>
  <si>
    <t>შ.პ.ს რადიო კომპანია პირველი რადიო</t>
  </si>
  <si>
    <t>585*75</t>
  </si>
  <si>
    <t xml:space="preserve">www.pirveliradio.ge TOP სტატიკური ბანერი 100% ჩვენება </t>
  </si>
  <si>
    <t xml:space="preserve">www.pirveliradio.ge ნიუსების განთავსება </t>
  </si>
  <si>
    <t>შ.პ.ს. არტ პოსტს კორპორეიშენ</t>
  </si>
  <si>
    <t>990*90</t>
  </si>
  <si>
    <t>www. Newposts.ge TOP ბანერის ჩვენება 2000000 თვეში</t>
  </si>
  <si>
    <t xml:space="preserve">www. Newposts.ge ნიუსების განთავსება </t>
  </si>
  <si>
    <t>ა.ა.ი.პ. მედია ფონდი</t>
  </si>
  <si>
    <t>1000*100</t>
  </si>
  <si>
    <t>www.livepress.ge TOP ბანერი ჰედერსა და სლაიდერს შორის  C1</t>
  </si>
  <si>
    <t xml:space="preserve">www.livepress.ge  ნიუსების განთავსება </t>
  </si>
  <si>
    <t>შ.პ.ს. ლიბერალი</t>
  </si>
  <si>
    <t>780*100</t>
  </si>
  <si>
    <t>www.liberali.ge მთავარი ბანერი ყველა გვერდზე 500000 ჩვენება თვეში</t>
  </si>
  <si>
    <t>ჟურნალი ლიბერალი</t>
  </si>
  <si>
    <t>შ.პ.ს. ვერსია პრინტი</t>
  </si>
  <si>
    <t>გაზეთი ვერსია</t>
  </si>
  <si>
    <t>სტატია</t>
  </si>
  <si>
    <t xml:space="preserve">www.versia.ge </t>
  </si>
  <si>
    <t>გაზეთი ვერსია 5 ერთეული ფერადი ანონსი</t>
  </si>
  <si>
    <t xml:space="preserve">შ.პ.ს. თავისუფალი გაზეთი + </t>
  </si>
  <si>
    <t>841*74</t>
  </si>
  <si>
    <t xml:space="preserve">www.ipress.ge TOP  ბანერი 100% ჩვენება </t>
  </si>
  <si>
    <t xml:space="preserve">www.ipress.ge  ნიუსების განთავსება </t>
  </si>
  <si>
    <t>ა.ა.ი.პ. კავშირი პრესა - საქართველო</t>
  </si>
  <si>
    <t>200*224</t>
  </si>
  <si>
    <t xml:space="preserve">www.for.ge TOP  ბანერი 100% ჩვენება </t>
  </si>
  <si>
    <t xml:space="preserve">www.for.ge ნიუსების განთავსება </t>
  </si>
  <si>
    <t>შ.პ.ს. კვირა</t>
  </si>
  <si>
    <t>1000*90</t>
  </si>
  <si>
    <t xml:space="preserve">www.kvira.ge TOP  ბანერი 100% ჩვენება </t>
  </si>
  <si>
    <t xml:space="preserve">www.kvira.ge ნიუსების განთავსება </t>
  </si>
  <si>
    <t>შ.პ.ს. მედია სახლი ჯი-ეიჩ-ენი</t>
  </si>
  <si>
    <t xml:space="preserve">www.ghn.ge ნიუსების განთავსება </t>
  </si>
  <si>
    <t>შ.პ.ს. პრაიმნიუსჯორჯია</t>
  </si>
  <si>
    <t>468*60</t>
  </si>
  <si>
    <t xml:space="preserve">www.primenewsgeorgia.ge TOP  ბანერი 100% ჩვენება </t>
  </si>
  <si>
    <t xml:space="preserve">www.primenewsgeorgia.ge ნიუსების განთავსება </t>
  </si>
  <si>
    <t>ა.ა.ი.პ. სამეგრელო-ზემო სვანეთის საინფორმაციო პორტალი</t>
  </si>
  <si>
    <t>728*90</t>
  </si>
  <si>
    <t xml:space="preserve">www.newsportal.ge TOP  ბანერი 100% ჩვენება </t>
  </si>
  <si>
    <t xml:space="preserve">www.newsportal.ge ნიუსების განთავსება </t>
  </si>
  <si>
    <t>შ.პ.ს. კლიპ-არტი</t>
  </si>
  <si>
    <t>816*105</t>
  </si>
  <si>
    <t xml:space="preserve">www.pia.ge TOP  ბანერი 100% ჩვენება </t>
  </si>
  <si>
    <t xml:space="preserve">www.daijesti.ge TOP  ბანერი 100% ჩვენება </t>
  </si>
  <si>
    <t xml:space="preserve">www.pia.ge   ნიუსების განთავსება </t>
  </si>
  <si>
    <t xml:space="preserve">www.daijesti.ge  ნიუსების განთავსება </t>
  </si>
  <si>
    <t>590*74</t>
  </si>
  <si>
    <t xml:space="preserve">www.medianews.ge TOP  ბანერი 100% ჩვენება </t>
  </si>
  <si>
    <t xml:space="preserve">www.medianews.ge ნიუსების განთავსება </t>
  </si>
  <si>
    <t>630*90</t>
  </si>
  <si>
    <t xml:space="preserve">www.postalioni.ge TOP  ბანერი 100% ჩვენება </t>
  </si>
  <si>
    <t xml:space="preserve">www.postalioni.ge ნიუსების განთავსება </t>
  </si>
  <si>
    <t>300*290</t>
  </si>
  <si>
    <t xml:space="preserve">www.mediamall.ge B2  ბანერი 100% ჩვენება </t>
  </si>
  <si>
    <t xml:space="preserve">www.mediamall.ge  ნიუსების განთავსება </t>
  </si>
  <si>
    <t>გაზეთი ახალი თაობა</t>
  </si>
  <si>
    <t xml:space="preserve">www.info9.ge H1  ბანერი 100% ჩვენება </t>
  </si>
  <si>
    <t xml:space="preserve">www.info9.ge H2  ბანერი 100% ჩვენება </t>
  </si>
  <si>
    <t xml:space="preserve">www.info9.ge ნიუსების განთავსება </t>
  </si>
  <si>
    <t>შ.პ.ს. პირველი ნიუსი-საქართველო</t>
  </si>
  <si>
    <t xml:space="preserve">www.1news.ge TOP  ბანერი 100% ჩვენება </t>
  </si>
  <si>
    <t xml:space="preserve">www.1news.ge ნიუსების განთავსება  </t>
  </si>
  <si>
    <t>შ.პ.ს. გაზეთი აჭარა PS</t>
  </si>
  <si>
    <t>09,07,2016-07,10,2016</t>
  </si>
  <si>
    <t>www.adjaraps.com ფლეშ ბანერი 100% ჩვენება</t>
  </si>
  <si>
    <t>გაზეთი აჭარა PS</t>
  </si>
  <si>
    <t>გაზეთი ჩემი ქობულეთი</t>
  </si>
  <si>
    <t>ა.ა.ი.პ. კავშირი სამხრეთის კარიბჭე</t>
  </si>
  <si>
    <t>19,07,2016-07,10,2016</t>
  </si>
  <si>
    <t xml:space="preserve">www.sknews.ge TOP  ბანერი 100% ჩვენება </t>
  </si>
  <si>
    <t xml:space="preserve">www.sknews.ge ნიუსების განთავსება  </t>
  </si>
  <si>
    <t>გაზეთი სამხრეთ კარიბჭე</t>
  </si>
  <si>
    <t>შ.პ.ს. ახალი გაზეთი</t>
  </si>
  <si>
    <t>800*100</t>
  </si>
  <si>
    <t xml:space="preserve">www.newpress.ge TOP  ბანერი 4500000 ჩვენება </t>
  </si>
  <si>
    <t>www.newpress.geნიუსების განთავსება</t>
  </si>
  <si>
    <t>გაზეთი ახალი გაზეთი</t>
  </si>
  <si>
    <t>შ.პ.ს. ახალი ამბების სააგენტო კავკას - პრესი</t>
  </si>
  <si>
    <t xml:space="preserve">ნიუსების განთავსება  </t>
  </si>
  <si>
    <t>შ.პ.ს. რეპორტიორი</t>
  </si>
  <si>
    <t>712*115</t>
  </si>
  <si>
    <t>www.reportiori.ge #1  ბანერი 1000000 ჩვენება თვეში</t>
  </si>
  <si>
    <t>1076*1026</t>
  </si>
  <si>
    <t>www.reportiori.ge #9  ბანერი 500000 ჩვენება</t>
  </si>
  <si>
    <t>www.reportiori.ge ნიუსების განთავსება</t>
  </si>
  <si>
    <t>პრესკლუბით სარგებლობა</t>
  </si>
  <si>
    <t>შ.პ.ს. P.S. პოსტკრიპტუმი</t>
  </si>
  <si>
    <t>700*100</t>
  </si>
  <si>
    <t xml:space="preserve">www.psnews.ge TOP  ბანერი B 100%ჩვენება </t>
  </si>
  <si>
    <t>www.psnews.ge ნიუსების განთავსება</t>
  </si>
  <si>
    <t>www.psnews.ge მთავარი ნიუსების განთავსება სლაიდერის ბლოკში</t>
  </si>
  <si>
    <t>გაზეთი P.S. პოსტსკრიპტუმი 12 ერთეული</t>
  </si>
  <si>
    <t>შ.პ.ს.საინფორმაციო სააგენტო ნიუს დეი საქართველო</t>
  </si>
  <si>
    <t>550*100</t>
  </si>
  <si>
    <t xml:space="preserve">www.newsday.ge TOP  ბანერი 100%ჩვენება </t>
  </si>
  <si>
    <t>www.newsday.ge ნიუსების განთავსება</t>
  </si>
  <si>
    <t>სპს ყალამბეგაშვილი ორიონი</t>
  </si>
  <si>
    <t>1000*70</t>
  </si>
  <si>
    <t>www.speqtri.ge TOP  ბანერი A  50%ჩვენება ყველა გვერდსა და სტატიაში</t>
  </si>
  <si>
    <t>www.speqtri.ge ნიუსების განთავსება</t>
  </si>
  <si>
    <t>გაზეთი სპექტრი მესამე გვერდი</t>
  </si>
  <si>
    <t>შ.პ.ს. ჯეომედია</t>
  </si>
  <si>
    <t xml:space="preserve">www.georgianpress.ge TOP  ბანერი 1900000 ჩვენება </t>
  </si>
  <si>
    <t>www.georgianpress.ge ნიუსების განთავსება</t>
  </si>
  <si>
    <t>www.georgianpress.ge ელექტრონული გამოკითხვით მომსახურეობა</t>
  </si>
  <si>
    <t>შ.პ.ს. საინფორმაციო სააგენტო კომერსანტი</t>
  </si>
  <si>
    <t>714*100</t>
  </si>
  <si>
    <t xml:space="preserve">www.commersant.ge TOP  ბანერი 100%ჩვენება </t>
  </si>
  <si>
    <t>www.commersant.ge ნიუსების განთავსება</t>
  </si>
  <si>
    <t>შ.პ.ს. გაზეთი ბათუმელები</t>
  </si>
  <si>
    <t xml:space="preserve">www.netgazeti.ge TOP  ბანერი H2  50%ჩვენება </t>
  </si>
  <si>
    <t>www.netgazeti.ge  ნიუსების განთავსება</t>
  </si>
  <si>
    <t xml:space="preserve">www.batumelebi.ge TOP  ბანერი H2  50%ჩვენება </t>
  </si>
  <si>
    <t>www.batumelebi.ge ნიუსების განთავსება</t>
  </si>
  <si>
    <t xml:space="preserve">გაზეთი ბათუმელები </t>
  </si>
  <si>
    <t>შ.პ.ს. ტოპნიუსი</t>
  </si>
  <si>
    <t xml:space="preserve">www.topnews.com.ge TOP  ბანერი 1900000ჩვენება </t>
  </si>
  <si>
    <t>www.topnews.com.geნიუსების განთავსება</t>
  </si>
  <si>
    <t>ა.ა.ი.პ. თავისუფალ ჟურნალისტთა ცენტრი</t>
  </si>
  <si>
    <t>600*140</t>
  </si>
  <si>
    <t xml:space="preserve">www.kutaisipost.ge B1 ბანერი100% ცენტრში ჩვენება </t>
  </si>
  <si>
    <t>www.kutaisipost.ge ნიუსების განთავსება</t>
  </si>
  <si>
    <t>შ.პ.ს. საინფორმაციო ცენტრების ქსელი</t>
  </si>
  <si>
    <t>21,07,2016-07,10,2016</t>
  </si>
  <si>
    <t>90*690</t>
  </si>
  <si>
    <t xml:space="preserve">www.Reginfo.ge TOP  ბანერი 100% ჩვენება </t>
  </si>
  <si>
    <t>90*916</t>
  </si>
  <si>
    <t xml:space="preserve">www.Regmarket.ge TOP  ბანერი 100% ჩვენება </t>
  </si>
  <si>
    <t>www.Reginfo.ge ნიუსების განთავსება</t>
  </si>
  <si>
    <t>www.icmm.ge ნიუსების განთავსება</t>
  </si>
  <si>
    <t>ა.ა.ი.პ. ასოციაცია ქართლის ხმა</t>
  </si>
  <si>
    <t xml:space="preserve">www.qartli.ge TOP  ბანერი 100% ჩვენება </t>
  </si>
  <si>
    <t>www.qartli.ge ნიუსების განთავსება</t>
  </si>
  <si>
    <t>შ.პ.ს. არის.ჯი</t>
  </si>
  <si>
    <t>250*250</t>
  </si>
  <si>
    <t xml:space="preserve">www.edu.aris.ge TOP  ბანერი 100% ჩვენება </t>
  </si>
  <si>
    <t>www.edu.aris.ge ნიუსების განთავსება</t>
  </si>
  <si>
    <t>შ.პ.ს.  FRONT NEWS</t>
  </si>
  <si>
    <t>650*105</t>
  </si>
  <si>
    <t xml:space="preserve">www.frontnews.ge TOP  ბანერი 100% ჩვენება </t>
  </si>
  <si>
    <t>www.frontnews.ge ნიუსების განთავსება</t>
  </si>
  <si>
    <t>შ.პ.ს.  მარშალპრეს.ჯი</t>
  </si>
  <si>
    <t>970*90</t>
  </si>
  <si>
    <t xml:space="preserve">www.marshalpress.ge TOP  ბანერი 100% ჩვენება </t>
  </si>
  <si>
    <t xml:space="preserve">www.marshalpress.ge TOP  ბანერის სლაიდერის ქვეშ 100% ჩვენება </t>
  </si>
  <si>
    <t>შ.პ.ს.  აქცენტი ჰოლდინგი</t>
  </si>
  <si>
    <t>770*90</t>
  </si>
  <si>
    <t>www.accent.com.ge TOP  ბანერის 1000000  ჩვენება თვეში</t>
  </si>
  <si>
    <t>www.accent.com.ge ნიუსების განთავსება</t>
  </si>
  <si>
    <t>შ.პ.ს. სამაუწყებლო კომპანია ჰერეთი</t>
  </si>
  <si>
    <t>770*100</t>
  </si>
  <si>
    <t xml:space="preserve">www.heretifm.com TOP  ბანერის 100% ჩვენება </t>
  </si>
  <si>
    <t>შ.პ.ს. ახალი ამბები</t>
  </si>
  <si>
    <t>27,07,2016-31,10,2016</t>
  </si>
  <si>
    <t>საინფორმაციო სფეროში მომსახურების გაწევა</t>
  </si>
  <si>
    <t>შ.პ.ს. კომში</t>
  </si>
  <si>
    <t>27,07,2016-07,10,2016</t>
  </si>
  <si>
    <t>855*115</t>
  </si>
  <si>
    <t xml:space="preserve">www.imovies.ge M1  ბანერი კვირაში 600000 ჩვენება </t>
  </si>
  <si>
    <t>1280*700</t>
  </si>
  <si>
    <t xml:space="preserve">www.imovies.ge სტატიაში 10 წმ. ვიდეო რგოლი კვირაში 600000 ჩვენება </t>
  </si>
  <si>
    <t>1050*110</t>
  </si>
  <si>
    <t xml:space="preserve">www.myauto.ge TOP  ბანერი კვირაში 600000 ჩვენება </t>
  </si>
  <si>
    <t>260*905</t>
  </si>
  <si>
    <t xml:space="preserve">www.amindi.ge  ბანერი კვირაში 600000 ჩვენება </t>
  </si>
  <si>
    <t>1280*720</t>
  </si>
  <si>
    <t xml:space="preserve">www.amindi.ge სტატიაში 10 წმ. ვიდეო რგოლი კვირაში 600000 ჩვენება </t>
  </si>
  <si>
    <t>300*600</t>
  </si>
  <si>
    <t xml:space="preserve">www.auto.ge   ბანერი მთავარ გვერდზე 100% ჩვენება </t>
  </si>
  <si>
    <t xml:space="preserve">www.top.ge მთავარი  ბანერი კვირაში 600000 ჩვენება </t>
  </si>
  <si>
    <t>270*200</t>
  </si>
  <si>
    <t>www.marketer.ge მთავარი ბანერი A4 100% ჩვენება</t>
  </si>
  <si>
    <t>729*91</t>
  </si>
  <si>
    <t>www.worldsport.ge სარეკლამო ბანერი #2  50% ჩვენება</t>
  </si>
  <si>
    <t>www. Forum.ge ბანერი მთავარ გვერდზე კვირაში 600000 ჩვენება</t>
  </si>
  <si>
    <t>შ.პ.ს. საინფორმაციო პორტალი რუბრიკა</t>
  </si>
  <si>
    <t>www.funtime.ge TOP ბანერის განთავსება სხვადასხვა რუბრიკებში</t>
  </si>
  <si>
    <t>www.funtime.ge ნიუსების განთავსება</t>
  </si>
  <si>
    <t>შ.პ.ს. კახეთის ხმა</t>
  </si>
  <si>
    <t>03,08,2016-07,10,2016</t>
  </si>
  <si>
    <t>640*100</t>
  </si>
  <si>
    <t xml:space="preserve">www.Knews.ge TOP ბანერის განთავსება </t>
  </si>
  <si>
    <t>www.Knews.ge ნიუსების განთავსება თვეში არაუმეტეს 20 ჯერ</t>
  </si>
  <si>
    <t>გაზეთი კახეთის ხმა 8 ერთეული</t>
  </si>
  <si>
    <t>ა.ა.ი.პ. ასოციაცია ათინათი</t>
  </si>
  <si>
    <t>170*670</t>
  </si>
  <si>
    <t>www.radioatinati.ge 100%  ჩვენებაფონური ბანერი #1</t>
  </si>
  <si>
    <t>www.radioatinati.ge 100%  ჩვენებაფონური ბანერი #2</t>
  </si>
  <si>
    <t>შ.პ.ს. საგამომცემლო ცენტრი საერთო სიტყვა</t>
  </si>
  <si>
    <t>გაზეთი საერთო გაზეთი 57 ერთეული შიდა გვერდი</t>
  </si>
  <si>
    <t>შ.პ.ს. დრონი.ჯი</t>
  </si>
  <si>
    <t>05,08,2016-07,10,2016</t>
  </si>
  <si>
    <t>400*500</t>
  </si>
  <si>
    <t>www.presa.ge #108. ბანერი 100%  ჩვენება</t>
  </si>
  <si>
    <t>160*850</t>
  </si>
  <si>
    <t>www.droni.ge #41. ბანერი 100%  ჩვენება</t>
  </si>
  <si>
    <t>www.droni.ge #42. ბანერი 100%  ჩვენება</t>
  </si>
  <si>
    <t>160*500</t>
  </si>
  <si>
    <t>www.itv.ge #32. ბანერი 100%  ჩვენება</t>
  </si>
  <si>
    <t>www.itv.ge #33. ბანერი 100%  ჩვენება</t>
  </si>
  <si>
    <t>300*300</t>
  </si>
  <si>
    <t>www.people.ge #28. ბანერი 100%  ჩვენება</t>
  </si>
  <si>
    <t>შ.პ.ს. ვექტორი</t>
  </si>
  <si>
    <t>07,08,2016-07,10,2016</t>
  </si>
  <si>
    <t>555*90</t>
  </si>
  <si>
    <t>www.veqtori.ge ნიუსთან მოძრავი ბანერი 100%  ჩვენება</t>
  </si>
  <si>
    <t>www.veqtori.ge ნიუსების განთავსება</t>
  </si>
  <si>
    <t>04,08,2016-07,10,2016</t>
  </si>
  <si>
    <t>120*600</t>
  </si>
  <si>
    <t>www.bpi.ge მთავარი ბანერი 100% ჩვენება</t>
  </si>
  <si>
    <t>660*100</t>
  </si>
  <si>
    <t>www.cbw.ge მთავარი ბანერი #2  100% ჩვენება</t>
  </si>
  <si>
    <t>ბილბორდი</t>
  </si>
  <si>
    <t>შ.პ.ს. აჯადი</t>
  </si>
  <si>
    <t>05.08.2016-10.11.2016</t>
  </si>
  <si>
    <t>კვ.მ</t>
  </si>
  <si>
    <t>ქობულეთი ქობულეთის სადგურთან</t>
  </si>
  <si>
    <t xml:space="preserve">ქობულეთი ქობულეთის შემოსასვლელთან  (lukoilis აგს-თან) </t>
  </si>
  <si>
    <t>ქობულეთი ბობოყვათი</t>
  </si>
  <si>
    <t>ქობულეთი ციხისძირი</t>
  </si>
  <si>
    <t>ქობულეთი ბუკნარი</t>
  </si>
  <si>
    <t>ქობულეთი ჩაქვი (რკინიგზის სადგურთან)</t>
  </si>
  <si>
    <t>ბათუმი თამარის დასახლება, კულტურის ცენტრთან</t>
  </si>
  <si>
    <t>ბათუმი მაიაკოვსკის ქუჩა (საკოლმეურნეო ბაზართან)</t>
  </si>
  <si>
    <t>ბათუმი წერეთლის ქუჩის დასაწყისი</t>
  </si>
  <si>
    <t>ბათუმი გორგილაძისა და ჯავახიშვილის ქუჩების კვეთა</t>
  </si>
  <si>
    <t>ბათუმი ლორიას ქუჩა</t>
  </si>
  <si>
    <t>ბათუმი აბუსერიძის ქუჩა (ხოფის წრიული)</t>
  </si>
  <si>
    <t>ბათუმი ახალი ბულვარი (ყოფილი ყინულის სასახლის მიმდებარე)წრიული</t>
  </si>
  <si>
    <t>ბათუმი აეროპორტის გზატკეცილი (თეგეტა მოტორსის წინ)</t>
  </si>
  <si>
    <t>ბათუმი ახალსოფელი ხიდის მიმდებარედ</t>
  </si>
  <si>
    <t>ხულოს რაიონი დაბა ხულო</t>
  </si>
  <si>
    <t>შუახევის რაიონი დაბა შუახევი</t>
  </si>
  <si>
    <t>ქედის რაიონი დაბა ქედა</t>
  </si>
  <si>
    <t>შ.პ.ს. ყოველდღიური გაზეთი რეზონანსი</t>
  </si>
  <si>
    <t>10,08,2016-07,10,2016</t>
  </si>
  <si>
    <t>გაზეთი რეზონანსი 20 ერთეული შიდა გვერდის ნახევარი</t>
  </si>
  <si>
    <t>გაზეთი რეზონანსი 10 ერთეული პირველ გვერდზე</t>
  </si>
  <si>
    <t>www.resonancedaily.com საინფორმაციო მომსახურეობა</t>
  </si>
  <si>
    <t>ა.ა.ი.პ. თრიალეთის ექსპრესი</t>
  </si>
  <si>
    <t>17,08,2016-07,10,2016</t>
  </si>
  <si>
    <t>www.tpress.ge  TOP ბანერის განთავსება 100% ჩვენება</t>
  </si>
  <si>
    <t>გაზეთი თრიალეთის ექსპრესი შიდა გვერდი მესამე გვერდი ოთხ ნომერში</t>
  </si>
  <si>
    <t>www.tpress.ge  გაზეთში გამოქვეყნებული მასალის განთავსება</t>
  </si>
  <si>
    <t>შ.პ.ს. ექსკლუზივნიუსი EXCLUSIVE NEWS</t>
  </si>
  <si>
    <t>www.exclusivenews.ge  TOP ბანერის განთავსება 100% ჩვენება</t>
  </si>
  <si>
    <t>www.exclusivenews.ge  ნიუსების განთავსება</t>
  </si>
  <si>
    <t>www.exclusivenews.ge  გამოკითხვის წარმოება</t>
  </si>
  <si>
    <t>შ.პ.ს. გაზეთი ბოლნისი</t>
  </si>
  <si>
    <t>19,08,2016-07,10,2016</t>
  </si>
  <si>
    <t>690*130</t>
  </si>
  <si>
    <t>www.bolnisi.ge  TOP ბანერის განთავსება 100% ჩვენება</t>
  </si>
  <si>
    <t>www,bolnisi.ge  ნიუსების განთავსება</t>
  </si>
  <si>
    <t>გაზეთი ბოლნისი პირველი გვერდი მეოთხედი</t>
  </si>
  <si>
    <t>გაზეთი ბოლნისი აზერბაიჯანულ ენოვანი გვერდის ნახევარი</t>
  </si>
  <si>
    <t>სატრანსპორტო საშუალებებზე განთავსებული რეკლამა</t>
  </si>
  <si>
    <t>შ.პ.ს. Elephant</t>
  </si>
  <si>
    <t>01,09,2016-10,10,2016</t>
  </si>
  <si>
    <t>სამარშუტო ხაზის ნომერი 1</t>
  </si>
  <si>
    <t>სამარშუტო ხაზის ნომერი 3</t>
  </si>
  <si>
    <t>სამარშუტო ხაზის ნომერი 5</t>
  </si>
  <si>
    <t>სამარშუტო ხაზის ნომერი 12</t>
  </si>
  <si>
    <t>სამარშუტო ხაზის ნომერი 13</t>
  </si>
  <si>
    <t>სამარშუტო ხაზის ნომერი 14</t>
  </si>
  <si>
    <t>სამარშუტო ხაზის ნომერი 16</t>
  </si>
  <si>
    <t>სამარშუტო ხაზის ნომერი 21</t>
  </si>
  <si>
    <t>სამარშუტო ხაზის ნომერი 22</t>
  </si>
  <si>
    <t>სამარშუტო ხაზის ნომერი 24</t>
  </si>
  <si>
    <t>სამარშუტო ხაზის ნომერი 28</t>
  </si>
  <si>
    <t>სამარშუტო ხაზის ნომერი 29</t>
  </si>
  <si>
    <t>სამარშუტო ხაზის ნომერი 31</t>
  </si>
  <si>
    <t>სამარშუტო ხაზის ნომერი 35</t>
  </si>
  <si>
    <t>სამარშუტო ხაზის ნომერი 39</t>
  </si>
  <si>
    <t>სამარშუტო ხაზის ნომერი 40</t>
  </si>
  <si>
    <t>სამარშუტო ხაზის ნომერი 42</t>
  </si>
  <si>
    <t>სამარშუტო ხაზის ნომერი 43</t>
  </si>
  <si>
    <t>სამარშუტო ხაზის ნომერი 46</t>
  </si>
  <si>
    <t>სამარშუტო ხაზის ნომერი 47</t>
  </si>
  <si>
    <t>სამარშუტო ხაზის ნომერი 48</t>
  </si>
  <si>
    <t>სამარშუტო ხაზის ნომერი 55</t>
  </si>
  <si>
    <t>სამარშუტო ხაზის ნომერი 57</t>
  </si>
  <si>
    <t>სამარშუტო ხაზის ნომერი 62</t>
  </si>
  <si>
    <t>სამარშუტო ხაზის ნომერი 70</t>
  </si>
  <si>
    <t>სამარშუტო ხაზის ნომერი 76</t>
  </si>
  <si>
    <t>სამარშუტო ხაზის ნომერი 77</t>
  </si>
  <si>
    <t>სამარშუტო ხაზის ნომერი 79</t>
  </si>
  <si>
    <t>სამარშუტო ხაზის ნომერი 87</t>
  </si>
  <si>
    <t>სამარშუტო ხაზის ნომერი 88</t>
  </si>
  <si>
    <t>სამარშუტო ხაზის ნომერი 91</t>
  </si>
  <si>
    <t>სამარშუტო ხაზის ნომერი 95</t>
  </si>
  <si>
    <t>სამარშუტო ხაზის ნომერი 105</t>
  </si>
  <si>
    <t>სამარშუტო ხაზის ნომერი 111</t>
  </si>
  <si>
    <t>სამარშუტო ხაზის ნომერი 115</t>
  </si>
  <si>
    <t>სამარშუტო ხაზის ნომერი 118</t>
  </si>
  <si>
    <t>სამარშუტო ხაზის ნომერი 123</t>
  </si>
  <si>
    <t>სამარშუტო ხაზის ნომერი 129</t>
  </si>
  <si>
    <t>სამარშუტო ხაზის ნომერი 132</t>
  </si>
  <si>
    <t>სამარშუტო ხაზის ნომერი 134</t>
  </si>
  <si>
    <t>სამარშუტო ხაზის ნომერი 136</t>
  </si>
  <si>
    <t>სამარშუტო ხაზის ნომერი 138</t>
  </si>
  <si>
    <t>სამარშუტო ხაზის ნომერი 139</t>
  </si>
  <si>
    <t>სამარშუტო ხაზის ნომერი 142</t>
  </si>
  <si>
    <t>სამარშუტო ხაზის ნომერი 146</t>
  </si>
  <si>
    <t>სამარშუტო ხაზის ნომერი 148</t>
  </si>
  <si>
    <t>სამარშუტო ხაზის ნომერი 151</t>
  </si>
  <si>
    <t>სამარშუტო ხაზის ნომერი 153</t>
  </si>
  <si>
    <t>სამარშუტო ხაზის ნომერი 154</t>
  </si>
  <si>
    <t>სამარშუტო ხაზის ნომერი 155</t>
  </si>
  <si>
    <t>სამარშუტო ხაზის ნომერი 156</t>
  </si>
  <si>
    <t>სამარშუტო ხაზის ნომერი 158</t>
  </si>
  <si>
    <t>სამარშუტო ხაზის ნომერი 159</t>
  </si>
  <si>
    <t>სამარშუტო ხაზის ნომერი 162</t>
  </si>
  <si>
    <t>სამარშუტო ხაზის ნომერი 167</t>
  </si>
  <si>
    <t>სამარშუტო ხაზის ნომერი 168</t>
  </si>
  <si>
    <t>სამარშუტო ხაზის ნომერი 172</t>
  </si>
  <si>
    <t>სამარშუტო ხაზის ნომერი 173</t>
  </si>
  <si>
    <t>სამარშუტო ხაზის ნომერი 175</t>
  </si>
  <si>
    <t>სამარშუტო ხაზის ნომერი 177</t>
  </si>
  <si>
    <t>სამარშუტო ხაზის ნომერი 178</t>
  </si>
  <si>
    <t>სამარშუტო ხაზის ნომერი 179</t>
  </si>
  <si>
    <t>სამარშუტო ხაზის ნომერი 182</t>
  </si>
  <si>
    <t>სამარშუტო ხაზის ნომერი 185</t>
  </si>
  <si>
    <t>სამარშუტო ხაზის ნომერი 187</t>
  </si>
  <si>
    <t>სამარშუტო ხაზის ნომერი 190</t>
  </si>
  <si>
    <t>სამარშუტო ხაზის ნომერი 198</t>
  </si>
  <si>
    <t>სამარშუტო ხაზის ნომერი 210</t>
  </si>
  <si>
    <t>სამარშუტო ხაზის ნომერი 216</t>
  </si>
  <si>
    <t>სამარშუტო ხაზის ნომერი 217</t>
  </si>
  <si>
    <t>სამარშუტო ხაზის ნომერი 218</t>
  </si>
  <si>
    <t>სამარშუტო ხაზის ნომერი 219</t>
  </si>
  <si>
    <t>ი.მ. გიორგი სიხარულიძე</t>
  </si>
  <si>
    <t>01017040957</t>
  </si>
  <si>
    <t>05,09,2016-05,10,2016</t>
  </si>
  <si>
    <t>თბილისი ლუბლიანას 56</t>
  </si>
  <si>
    <t>შ.პ.ს. პრაიმ თაიმი</t>
  </si>
  <si>
    <t>23,08,2016-07,10,2016</t>
  </si>
  <si>
    <t>1068*90</t>
  </si>
  <si>
    <t>www.primetimenews.ge #2 ბანერი 100% ჩვენება</t>
  </si>
  <si>
    <t>www.primetimenews.ge ნიუსების განთავსება</t>
  </si>
  <si>
    <t>გაზეთი Prime Time  პირველ გვერდზე  ანონსი</t>
  </si>
  <si>
    <t>გაზეთი Prime Time  შიდა ფერად გვერდზე  ანონსი</t>
  </si>
  <si>
    <t>სს აი თი დი სი</t>
  </si>
  <si>
    <t>01,08,2016-07,10,2016</t>
  </si>
  <si>
    <t>1170*160</t>
  </si>
  <si>
    <t>WWW.myvideo.ge სარეკლამო ბანერის განთავსება</t>
  </si>
  <si>
    <t>WWW.myvideo.ge 6 წმ-იანი ვიდეორგოლის განთავსება</t>
  </si>
  <si>
    <t>02.09,2016-07,10,2016</t>
  </si>
  <si>
    <t>120*970</t>
  </si>
  <si>
    <t>WWW. RadioWay.ge  Top ბანერი 100% ჩვენება</t>
  </si>
  <si>
    <t>WWW.Radioway.ge ნიუსების განთავსება</t>
  </si>
  <si>
    <t>შ.პ.ს. დაჩი+</t>
  </si>
  <si>
    <t>09.09.2016-08.10.2016</t>
  </si>
  <si>
    <t>ზესტაფონი, ცენტრი, ფაბრიკა გრაციას მიმდებარე ტერიტორია</t>
  </si>
  <si>
    <t>წყალტუბო, ქვიტირის ავტომაგისტრალი</t>
  </si>
  <si>
    <t>წყალტუბო, კოპიტნარის .ავტომაგისტრალი</t>
  </si>
  <si>
    <t>წყალტუბო სოფ. სალია</t>
  </si>
  <si>
    <t>შ.პ.ს. გაზეთი ალიონი</t>
  </si>
  <si>
    <t>06.09.2016-07.10.2016</t>
  </si>
  <si>
    <t>300*430</t>
  </si>
  <si>
    <t>WWW.alion.ge  ბანერი 100%  ჩვენება</t>
  </si>
  <si>
    <t>გაზეთი ალიონი 5 ერთეული პირველი გვერდის ნახევარი</t>
  </si>
  <si>
    <t>გაზეთი ალიონი 5 ერთეული მესამე გვერდის ნახევარი</t>
  </si>
  <si>
    <t>შ.პ.ს. სამაჩაბლო 2016</t>
  </si>
  <si>
    <t>კასპი, სააკაძის 7</t>
  </si>
  <si>
    <t>კასპი, აღმაშენებლის 2</t>
  </si>
  <si>
    <t>შ.პ.ს. ინფონიუსი</t>
  </si>
  <si>
    <t>07,09,2016-07,10,2016</t>
  </si>
  <si>
    <t>578*100</t>
  </si>
  <si>
    <t>WWW.newspress.ge  მთავარ ფლეშ ბანერზე  100% ჩვენება</t>
  </si>
  <si>
    <t>WWW.newspress.ge  ნიუსების განთავსება</t>
  </si>
  <si>
    <t>რადიო რეკლამა</t>
  </si>
  <si>
    <t>შ.პ.ს. მომხმარებელთა საყურადღებოდ</t>
  </si>
  <si>
    <t>07.09.2016-07.10.2016</t>
  </si>
  <si>
    <t>წთ</t>
  </si>
  <si>
    <t>შ.პ.ს. მომხმარებელთა საყურადღებოდ -ეთერში დროის გამოყოფა</t>
  </si>
  <si>
    <t>ააიპ ადამიანის უფლებათა და სოციალური სამართლიანობის დაცვის კვლევის ცენტრი</t>
  </si>
  <si>
    <t>www. Tspress.ge  ბანერი #1 100% ჩვენება</t>
  </si>
  <si>
    <t>www. Tspress.ge ნიუსების განთავსება</t>
  </si>
  <si>
    <t>შ.პ.ს. ფერტუნა მედია</t>
  </si>
  <si>
    <t>09,09,2016-08,10,2016</t>
  </si>
  <si>
    <t>რუსთავი მეგობრობის გამზ 14</t>
  </si>
  <si>
    <t>რუსთავი შარტავას გამზ 25</t>
  </si>
  <si>
    <t>რუსთავი მეგობრობის გამზ იუსტიციის სახლის მ/ტ</t>
  </si>
  <si>
    <t>ქუჩაში დამონტაჟებული ეკრანი</t>
  </si>
  <si>
    <t>შ.პ.ს. BLACK and White</t>
  </si>
  <si>
    <t>02,09,2016-08,10,2016</t>
  </si>
  <si>
    <t>ქ.ქუთაისი, რუსთაველის და ფალიაშვილის ქუჩების კვეთა (გალერეის შენობაზე, გარე მონიტორი)</t>
  </si>
  <si>
    <t>ქ.ქუთაისი, გამსახურდიას და ჭავჭავაძის ქუჩების კვეთა (გზაგამტარ ხიდთან, გარე მონიტორი)</t>
  </si>
  <si>
    <t>ქ.ქუთაისი, წმინდა ნინოს და ფალიაშვილის ქუჩების კვეთა (ბავშვთა სამყაროსთან, გარე მონიტორი)</t>
  </si>
  <si>
    <t>სამარშუტო ტაქსი (სახელმ. ნომერი GCC948, წრიული) LED მონიტორი</t>
  </si>
  <si>
    <t>სამარშუტო ტაქსი (სახელმ. ნომერი HH877NN, წრიული) LED მონიტორი</t>
  </si>
  <si>
    <t>სამარშუტო ტაქსი (სახელმ. ნომერი RSS715, წრიული) LED მონიტორი</t>
  </si>
  <si>
    <t>სამარშუტო ტაქსი (სახელმ. ნომერი EME887, წრიული) LED მონიტორი</t>
  </si>
  <si>
    <t>სამარშუტო ტაქსი (სახელმ. ნომერი QN823NQ, წრიული) LED მონიტორი</t>
  </si>
  <si>
    <t>სამარშუტო ტაქსი (სახელმ. ნომერი MMH380, წრიული) LED მონიტორი</t>
  </si>
  <si>
    <t>შ.პ.ს. თბილისის სატრანსპორტო კომპანია</t>
  </si>
  <si>
    <t>07,09,2016-06,11,2016</t>
  </si>
  <si>
    <t>სადგურის მოედანი 1</t>
  </si>
  <si>
    <t>სადგურის მოედანი 2</t>
  </si>
  <si>
    <t>ვარკეთილი</t>
  </si>
  <si>
    <t>ტექნიკური უნივერსიტეტი სპორტის სასახლის მხარე</t>
  </si>
  <si>
    <t>ტექნიკური უნივერსიტეტი ბუკიას ბაღის მხარე</t>
  </si>
  <si>
    <t>ახმეტელის თეატრი</t>
  </si>
  <si>
    <t>სამგორი</t>
  </si>
  <si>
    <t>ისანი</t>
  </si>
  <si>
    <t>ტექნიკური უნივერსიტეტი</t>
  </si>
  <si>
    <t>რუსთაველი</t>
  </si>
  <si>
    <t>მარჯანიშვილი</t>
  </si>
  <si>
    <t>თავისუფლების მოედანი</t>
  </si>
  <si>
    <t>დელისი</t>
  </si>
  <si>
    <t>გურამიშვილი</t>
  </si>
  <si>
    <t>სარაჯიშვილი</t>
  </si>
  <si>
    <t>სამედიცინო ინსტიტუტი</t>
  </si>
  <si>
    <t>ღრმაღელე</t>
  </si>
  <si>
    <t>ავლაბარი</t>
  </si>
  <si>
    <t>300 არაგველი</t>
  </si>
  <si>
    <t>ვაჟა-ფშაველა</t>
  </si>
  <si>
    <t>მარშუტის # 1</t>
  </si>
  <si>
    <t>მარშუტის # 2</t>
  </si>
  <si>
    <t>მარშუტის # 3</t>
  </si>
  <si>
    <t>მარშუტის # 4</t>
  </si>
  <si>
    <t>მარშუტის # 5</t>
  </si>
  <si>
    <t>მარშუტის # 6</t>
  </si>
  <si>
    <t>მარშუტის # 7</t>
  </si>
  <si>
    <t>მარშუტის # 9</t>
  </si>
  <si>
    <t>მარშუტის # 10</t>
  </si>
  <si>
    <t>მარშუტის # 11</t>
  </si>
  <si>
    <t>მარშუტის # 12</t>
  </si>
  <si>
    <t>მარშუტის # 14</t>
  </si>
  <si>
    <t>მარშუტის # 15</t>
  </si>
  <si>
    <t>მარშუტის # 17</t>
  </si>
  <si>
    <t>მარშუტის # 18</t>
  </si>
  <si>
    <t>მარშუტის # 19</t>
  </si>
  <si>
    <t>მარშუტის # 20</t>
  </si>
  <si>
    <t>მარშუტის # 21</t>
  </si>
  <si>
    <t>მარშუტის # 23</t>
  </si>
  <si>
    <t>მარშუტის # 24</t>
  </si>
  <si>
    <t>მარშუტის # 25</t>
  </si>
  <si>
    <t>მარშუტის # 27</t>
  </si>
  <si>
    <t>მარშუტის # 33</t>
  </si>
  <si>
    <t>მარშუტის # 34</t>
  </si>
  <si>
    <t>მარშუტის # 37</t>
  </si>
  <si>
    <t>მარშუტის # 39</t>
  </si>
  <si>
    <t>მარშუტის # 40</t>
  </si>
  <si>
    <t>მარშუტის # 42</t>
  </si>
  <si>
    <t>მარშუტის # 44</t>
  </si>
  <si>
    <t>მარშუტის # 46</t>
  </si>
  <si>
    <t>მარშუტის # 49</t>
  </si>
  <si>
    <t>მარშუტის # 50</t>
  </si>
  <si>
    <t>მარშუტის # 51</t>
  </si>
  <si>
    <t>მარშუტის # 55</t>
  </si>
  <si>
    <t>მარშუტის # 59</t>
  </si>
  <si>
    <t>მარშუტის # 60</t>
  </si>
  <si>
    <t>მარშუტის # 61</t>
  </si>
  <si>
    <t>მარშუტის # 62</t>
  </si>
  <si>
    <t>მარშუტის # 71</t>
  </si>
  <si>
    <t>მარშუტის # 72</t>
  </si>
  <si>
    <t>მარშუტის # 75</t>
  </si>
  <si>
    <t>მარშუტის # 79</t>
  </si>
  <si>
    <t>მარშუტის # 84</t>
  </si>
  <si>
    <t>მარშუტის # 85</t>
  </si>
  <si>
    <t>მარშუტის # 86</t>
  </si>
  <si>
    <t>მარშუტის # 87</t>
  </si>
  <si>
    <t>მარშუტის # 88</t>
  </si>
  <si>
    <t>მარშუტის # 90</t>
  </si>
  <si>
    <t>მარშუტის # 91</t>
  </si>
  <si>
    <t>მარშუტის # 92</t>
  </si>
  <si>
    <t>მარშუტის # 94</t>
  </si>
  <si>
    <t>მარშუტის # 95</t>
  </si>
  <si>
    <t>მარშუტის # 99</t>
  </si>
  <si>
    <t>მარშუტის # 101</t>
  </si>
  <si>
    <t>მარშუტის # 102</t>
  </si>
  <si>
    <t>მარშუტის # 103</t>
  </si>
  <si>
    <t>მარშუტის # 106</t>
  </si>
  <si>
    <t>მარშუტის # 107</t>
  </si>
  <si>
    <t>მარშუტის # 110</t>
  </si>
  <si>
    <t>მარშუტის # 112</t>
  </si>
  <si>
    <t>მარშუტის # 121</t>
  </si>
  <si>
    <t>მარშუტის # 124</t>
  </si>
  <si>
    <t>მარშუტის # 140</t>
  </si>
  <si>
    <t>მარშუტის # 150</t>
  </si>
  <si>
    <t>სატელევიზიო რეკლამის ხარჯი</t>
  </si>
  <si>
    <t>შ.პ.ს. სამაუწყებლო კომპანია მეცხრე ტალღა</t>
  </si>
  <si>
    <t>08,09,2016-17,09,2016</t>
  </si>
  <si>
    <t>წმ</t>
  </si>
  <si>
    <t>საარჩევნო კოდექსის 56-ე მუხლი</t>
  </si>
  <si>
    <t>შ.პ.ს. ტელეკომპანია თანამგზავრი</t>
  </si>
  <si>
    <t>12,09,2016-25,09,2016</t>
  </si>
  <si>
    <t>შ.პ.ს. ტ/რ კომპანია რიონი</t>
  </si>
  <si>
    <t>10,09,2016-17,09,2016</t>
  </si>
  <si>
    <t>სს ქვემო ქართლის ტელე-რადიო კომპანია</t>
  </si>
  <si>
    <t>12,09,2016-18,09,2016</t>
  </si>
  <si>
    <t>შ.პ.ს. ტელე-რადიო კომპანია ბორჯომი</t>
  </si>
  <si>
    <t>16,09,2016-25,09,2016</t>
  </si>
  <si>
    <t>შ.პ.ს. ტელეკომპანია გურჯაანი</t>
  </si>
  <si>
    <t>09,09,2016-30,09,2016</t>
  </si>
  <si>
    <t>შ.პ.ს. სამაუწყებლო კომპანია იმერვიზია</t>
  </si>
  <si>
    <t>10,09,2016-18,09,2016</t>
  </si>
  <si>
    <t>შ.პ.ს. ტელეკომპანია დია</t>
  </si>
  <si>
    <t>22,09,2016-30,09,2016</t>
  </si>
  <si>
    <t>შ.პ.ს. ტელე-რადიო კორპორაცია ინფორმკავშირი ტელევიზია არგო</t>
  </si>
  <si>
    <t>15,09,2016-24,09,2016</t>
  </si>
  <si>
    <t>ა.ა.ი.პ საზოგადოებრივი ორგანიზაცია ტელე-რადიო კომპანია ფარვანა</t>
  </si>
  <si>
    <t>შ.პ.ს. დამოუკიდებელი ტელე-რადიო კომპანია ოდიში</t>
  </si>
  <si>
    <t>15,09,2016-30,09,2016</t>
  </si>
  <si>
    <t>ა.ა.ი.პ. თავისუფალი მედია სივრცე</t>
  </si>
  <si>
    <t>21,09,2016-30,09,2016</t>
  </si>
  <si>
    <t>შ.პ.ს. სენაკის დამოუკიდებელი ტელეკომპანია ეგრისი</t>
  </si>
  <si>
    <t xml:space="preserve"> შ.პ.ს. კოლხეთი 89</t>
  </si>
  <si>
    <t>შ.პ.ს. ტელერადიო კომპანია ატვ-12</t>
  </si>
  <si>
    <t>შ.პ.ს. მარნეული ტვ</t>
  </si>
  <si>
    <t>09,09,2016-18,09,2016</t>
  </si>
  <si>
    <t>შ.პ.ს. ტელეარხი 25</t>
  </si>
  <si>
    <t>19,09,2016-23,09,2016</t>
  </si>
  <si>
    <t>შ.პ.ს. იმპერია</t>
  </si>
  <si>
    <t>შ.პ.ს. სამაუწყებლო კომპანია ბოლნელი</t>
  </si>
  <si>
    <t>შ.პ.ს. ტელეკომპანია კავკასია</t>
  </si>
  <si>
    <t>19,09,2016-04,10,2016</t>
  </si>
  <si>
    <t>შ.პ.ს. იბერია - TV</t>
  </si>
  <si>
    <t>08.09.2016-07.10.2016</t>
  </si>
  <si>
    <t>მ.პ.გ. "ქართული ოცნების" სატელევიზიო რეკლამა, მონაცემები არის ჯამური</t>
  </si>
  <si>
    <t>შ.პ.ს. ტელეკომპანია პირველი</t>
  </si>
  <si>
    <t>წყალტუბო  ბაზართან</t>
  </si>
  <si>
    <t>წყალტუბო შესასვლელი</t>
  </si>
  <si>
    <t>წყალტუბო გეგუთი</t>
  </si>
  <si>
    <t>წყალტუბო დედაენის ქ.</t>
  </si>
  <si>
    <t>შ.პ.ს. ჯი ეი სი</t>
  </si>
  <si>
    <t>გურჯაანი ახმეტა  - თელავი -ბაკურციხის საავტ. გზის 64-ე კმ გურჯაანის შესასვლელი</t>
  </si>
  <si>
    <t>გურჯაანი ახმეტა  - თელავი -ბაკურციხის საავტ. გზის103-ე კმ ს. ბაკურციხე</t>
  </si>
  <si>
    <t>გურჯაანი ახმეტა  - თელავი -ბაკურციხის საავტ. გზის 65-ე კმ გურჯაანი თავისუფლების ქ.</t>
  </si>
  <si>
    <t>შ.პ.ს. ოდისია პრომოუშენ</t>
  </si>
  <si>
    <t>10,09,2016-08,10,2016</t>
  </si>
  <si>
    <t>ფოთი რუსთაველის რკალი 5</t>
  </si>
  <si>
    <t>შ.პ.ს. თი ენდ ენ</t>
  </si>
  <si>
    <t>08,09,2016-14,10,2016</t>
  </si>
  <si>
    <t>ფოთი აღმაშენებლის ქ. თიბისი ბანკის მიმდებარედ</t>
  </si>
  <si>
    <t>ფოთი აკაკისა და წმ. გიორგის ქუჩების კვეთასთან</t>
  </si>
  <si>
    <t>13,09,2016-12,10,2016</t>
  </si>
  <si>
    <t>თელავი აღმაშენებლის გამზ.</t>
  </si>
  <si>
    <t>მცხეთა ს. მუხრანი ცენტრი</t>
  </si>
  <si>
    <t>მცხეთა ს. საგურამო ცენტრი</t>
  </si>
  <si>
    <t>მცხეთა ს. წეროვანი ცენტრი</t>
  </si>
  <si>
    <t>შ.პ.ს. ინტერაქტივ სოლუშენს</t>
  </si>
  <si>
    <t>FORD Tranzit 190LTD სახ. ნომერი LPL237</t>
  </si>
  <si>
    <t>ფოთი სამეგრელოს ქ. საბავშო ბაღის მიმდებარედ</t>
  </si>
  <si>
    <t>შ.პ.ს. ფავორიტი ედვერთისმენთ</t>
  </si>
  <si>
    <t>09,09,2016</t>
  </si>
  <si>
    <t>სტიკერების ბეჭდვა</t>
  </si>
  <si>
    <t>შ.პ.ს. ჩემი ხარაგაული</t>
  </si>
  <si>
    <t>18,09,2016-17,10,2016</t>
  </si>
  <si>
    <t>WWW:CHEMIKHARAGAULI:COM - TOP ბანერი 100% ჩვენება</t>
  </si>
  <si>
    <t>გაზეთი "ჩემი ხარაგაული" 5 ერთეული შიდა გვერდი</t>
  </si>
  <si>
    <t>შ.პ.ს. პლაზა+</t>
  </si>
  <si>
    <t>19,09,2016-08,10,2016</t>
  </si>
  <si>
    <t>ქ.თბილისი, გლდანი.ი.ვეკუას 14-ში. 5000 ჩვენება</t>
  </si>
  <si>
    <t>შ.პ.ს. ქართული რადიო</t>
  </si>
  <si>
    <t>15.09.2016 - 07.10.2016</t>
  </si>
  <si>
    <t>მ.პ.გ. "ქართული ოცნების" რადიო რეკლამა, მონაცემები არის ჯამური</t>
  </si>
  <si>
    <t>მედია ცენტრი "ღია აფხაზეთი"</t>
  </si>
  <si>
    <t>შ.პ.ს. კომერსანტ.ჯი</t>
  </si>
  <si>
    <t>შ.პ.ს. სამაუწყებლო კომპანია "ჰერეთი"</t>
  </si>
  <si>
    <t>შ.პ.ს. ევროპა პლუს თბილისი</t>
  </si>
  <si>
    <t>შ.პ.ს. რადიოცენტრი პლუსი</t>
  </si>
  <si>
    <t>შ.პ.ს. რადიო იმედი</t>
  </si>
  <si>
    <t>შ.პ.ს. რადიო უცნობი</t>
  </si>
  <si>
    <t>13,09,2016</t>
  </si>
  <si>
    <t>შ.პ.ს. რადიო ჰოლდინგი ფორტუნა</t>
  </si>
  <si>
    <t>მ.პ.გ. "ქართული ოცნების" რადიო რეკლამა (რადიო ტალღები: "არ დაიდარდო", "ავტო რადიო", "ფორტუნა+" და "ფორტუნა"), მონაცემები არის ჯამური</t>
  </si>
  <si>
    <t>შ.პ.ს. სიგმა</t>
  </si>
  <si>
    <t>ქ.თბილისი, გლდანი, მ.ახმეტელის მიმდებარე ტერიტორია/ხმოვანი რეკლამა</t>
  </si>
  <si>
    <t>მედია-კავშირი ობიექტივი</t>
  </si>
  <si>
    <t>17.09.2016-12.10.2016</t>
  </si>
  <si>
    <t>ბათუმი, თამარის დასახლება</t>
  </si>
  <si>
    <t>შ.პ.ს. ეკომი</t>
  </si>
  <si>
    <t>17.09.2016-07.10.2016</t>
  </si>
  <si>
    <t>19,09,2016-24,10,2016</t>
  </si>
  <si>
    <t>თელავი თბილისის გზატკეცილი დავითაშვილის ქ. კვეთასთან</t>
  </si>
  <si>
    <t>თელავი ქართული უნივერსიტეტის ქ</t>
  </si>
  <si>
    <t>ქ თელავი ჭავჭავაძის გამზ საქ. ბანკის მიმდებარედ</t>
  </si>
  <si>
    <t>17,09,2016-7,10,2016</t>
  </si>
  <si>
    <t>1920*1080</t>
  </si>
  <si>
    <t>www.gurianews.com - ვებ-გვერდი სარეკლამო ვიდეო რგოლების განთავსება</t>
  </si>
  <si>
    <t>შ.პ.ს. მეეკი</t>
  </si>
  <si>
    <t>17,09,2016-08,10,2016</t>
  </si>
  <si>
    <t>ახალქალაქი ვაჩიანის გზატკეცილი</t>
  </si>
  <si>
    <t>ახალქალაქი დ. აღმაშენენბლის #2</t>
  </si>
  <si>
    <t>ნინოწმინდა თავისუფლების #27</t>
  </si>
  <si>
    <t>ნინოწმინდა სოფელი სათხა გზაზე</t>
  </si>
  <si>
    <t>შ.პ.ს. ბიზნეს ცენტრი ოკეანე</t>
  </si>
  <si>
    <t>ქ. ბათუმი, სარეკლამო ზედაპირების განთავსება სატრანსპორტო საშუალებებზე</t>
  </si>
  <si>
    <t>FACEBOOK</t>
  </si>
  <si>
    <t>30,08,2016-20,09,2016</t>
  </si>
  <si>
    <t>20,09,2016-08,10,2016</t>
  </si>
  <si>
    <t>წყალტუბო სოფელი ქვიშტიპი</t>
  </si>
  <si>
    <t>წყალტუბო სოფელი გუბისწყალი</t>
  </si>
  <si>
    <t>წყალტუბო სოფელი თერნალი</t>
  </si>
  <si>
    <t>წყალტუბო სოფელი ბანოჯა</t>
  </si>
  <si>
    <t>წყალტუბო სოფელი გუმბრა</t>
  </si>
  <si>
    <t>წყალტუბო სოფელი ხომული</t>
  </si>
  <si>
    <t>წყალტუბო სოფელი საჩხეურა</t>
  </si>
  <si>
    <t>წყალტუბო სოფელი დღნორისი</t>
  </si>
  <si>
    <t>წყალტუბო სოფელი მაღლაკი</t>
  </si>
  <si>
    <t>წყალტუბო სოფელი დერჩი</t>
  </si>
  <si>
    <t>წყალტუბო სოფელი მექვენა</t>
  </si>
  <si>
    <t>წყალტუბო სოფელი მუხიანი</t>
  </si>
  <si>
    <t>წყალტუბო სოფელი ქვედა მესხეთი</t>
  </si>
  <si>
    <t>წყალტუბო სოფელი ბროწეულა</t>
  </si>
  <si>
    <t>წყალტუბო სოფელი ნამოხვანი</t>
  </si>
  <si>
    <t>წყალტუბო სოფელი ჟონეთი</t>
  </si>
  <si>
    <t>წყალტუბო სოფელი ოფურჩხეთი</t>
  </si>
  <si>
    <t>წყალტუბო სოფელი გუმათი</t>
  </si>
  <si>
    <t>წყალტუბო სოფელი ჯიმასტარო</t>
  </si>
  <si>
    <t>წყალტუბო სოფელი ოფშკვითი</t>
  </si>
  <si>
    <t>წყალტუბო სოფელი ტყაჩირი</t>
  </si>
  <si>
    <t>წყალტუბო სოფელი პატრიკეთი</t>
  </si>
  <si>
    <t>წყალტუბო სოფელი რიონი</t>
  </si>
  <si>
    <t>წყალტუბო სოფელი ზარათი</t>
  </si>
  <si>
    <t>წყალტუბო სოფელი სორმონი</t>
  </si>
  <si>
    <t>წყალტუბო სოფელი ჭოლევი</t>
  </si>
  <si>
    <t>წყალტუბო სოფელი საყულია</t>
  </si>
  <si>
    <t>წყალტუბო სოფელი ახალი საყულია</t>
  </si>
  <si>
    <t>წყალტუბო სოფელი ფარცხანაყანები</t>
  </si>
  <si>
    <t>წყალტუბო ვარციხესის დასახლება</t>
  </si>
  <si>
    <t>ი/მ კახაბერ კვარაცხელია</t>
  </si>
  <si>
    <t>20,09,2016-09,10,2016</t>
  </si>
  <si>
    <t>წალენჯიხა სალიას ქ.6</t>
  </si>
  <si>
    <t>ლაით ბოქსი</t>
  </si>
  <si>
    <t>შ.პ.ს. ალმა ტრანსპორტი</t>
  </si>
  <si>
    <t>გორგასლის ქ. 7 მიმდებარედ (რესტორან მასპინძელოს მოპირდაპირედ)</t>
  </si>
  <si>
    <t>300 არაგველების მემორიალთან</t>
  </si>
  <si>
    <t>300 არაგველების მემორიალის მოპირდაპირედ</t>
  </si>
  <si>
    <t>გორგასლის ქ.39</t>
  </si>
  <si>
    <t>გორგასლის ქ. და ორთაჭალის ქ. გადაკვეთა</t>
  </si>
  <si>
    <t>გორგასლის ქ. სამშობიაროს სახლის პირდაპირ</t>
  </si>
  <si>
    <t>გორგასლის ქ. სამშობიარო სახლის მიმდებარედ</t>
  </si>
  <si>
    <t>ორთაჭალა ავტოსადგური</t>
  </si>
  <si>
    <t>ორთაჭალა ავტოსადგურის მოპირდაპირედ</t>
  </si>
  <si>
    <t>რუსთავის გზატკეცილი 5</t>
  </si>
  <si>
    <t>ქვემო ფონიჭალა 3 კორპუსი 19</t>
  </si>
  <si>
    <t>რუსთავის გზა 20 საქართველოს საერთაშორისო უნივერსიტეტის მიმდებარედ</t>
  </si>
  <si>
    <t>რუსთავის გზატკეცილი 28 (24 პოლიკნინიკა)</t>
  </si>
  <si>
    <t>რუსთავის გზატკეცილი 6</t>
  </si>
  <si>
    <t>ქვემო ფონიჭალის დასახლება 19 წინ</t>
  </si>
  <si>
    <t>შ.პ.ს. ტელეიმედი</t>
  </si>
  <si>
    <t>27.08.2016 - 07.10.2016</t>
  </si>
  <si>
    <t>შ.პ.ს. სტუდია მაესტრო</t>
  </si>
  <si>
    <t>08.09.2016 - 07.10.2016</t>
  </si>
  <si>
    <t>შ.პ.ს. ჯი-დი-ეს თი-ვი</t>
  </si>
  <si>
    <t>შ.პ.ს. დამოუკიდებელი ტელეკომპანია მეგა-ტვ</t>
  </si>
  <si>
    <t>25.09.2016 - 07.10.2016</t>
  </si>
  <si>
    <t>23.09.2016 - 07.10.2016</t>
  </si>
  <si>
    <t>სატელევიზიო ეთერში პოლიტიკური რეკლამის განთავსება</t>
  </si>
  <si>
    <t>სარეკლამო რგოლის განთავსება</t>
  </si>
  <si>
    <t>23,09,2016</t>
  </si>
  <si>
    <t>პოლიტიკური სატელევიზიო რეკლამა</t>
  </si>
  <si>
    <t>შ.პ.ს. დამოუკიდებელლი ტელე-რადიო კომპანია ოდიში</t>
  </si>
  <si>
    <t>შ.პ.ს. კესანო</t>
  </si>
  <si>
    <t>26,09,2016-05,10,2016</t>
  </si>
  <si>
    <t>სარეკლამო კონსტრუქციების იჯარა, მონტაჟი/დემონტაჟი, განათება. ქ.თბილისი, სამტრედიის ქ.17</t>
  </si>
  <si>
    <t>შ.პ.ს. ძველი ქალაქი</t>
  </si>
  <si>
    <t>ც</t>
  </si>
  <si>
    <t xml:space="preserve">ბანერის ბეჭდვა, მონტაჟი/დემონტაჟი, </t>
  </si>
  <si>
    <t>27,09,2016-01,10,2016</t>
  </si>
  <si>
    <t>საერთო გაზეთი - სარეკლამო ადგილი პოლიტუკური რეკლამისთვის</t>
  </si>
  <si>
    <t>შ.პ.ს. რუსთავის ავტობაზრობა</t>
  </si>
  <si>
    <t>27,09,2016-26,10,2016</t>
  </si>
  <si>
    <t>ქ.რუსთავი, დოსააფის მიმდ. ტერიტორია.</t>
  </si>
  <si>
    <t>შ.პ.ს. კინო დისტრიბუცია</t>
  </si>
  <si>
    <t>27,09,2016</t>
  </si>
  <si>
    <t>კინოთეატრებში რეკლამა</t>
  </si>
  <si>
    <t>შ.პ.ს ტელე-რადიო კომპანია თრიალეთი</t>
  </si>
  <si>
    <t>27.09.2016 - 07.10.2016</t>
  </si>
  <si>
    <t>ი/მ ლეჟავა ბადრი</t>
  </si>
  <si>
    <t>22,09,2016-08,10,2016</t>
  </si>
  <si>
    <t>სარეკლამო კონსტრუქციების იჯარა, სარეკლამო ზედაპირების განთავსება</t>
  </si>
  <si>
    <t>ა.ა.ი.პ დამოუკიდებელ ჟურნალისტთა ასოციაცია - თავისუფალი პრესა</t>
  </si>
  <si>
    <t>24,09,2016-30,09,2016</t>
  </si>
  <si>
    <t>სარეკლამო ადგილის გამოყოფა მედიაპლათფორმაზე პოლიტიკური რეკლამისთვის/გაზეთი მარტვილი</t>
  </si>
  <si>
    <t>შ.პ.ს. შარა-გზამშენი პირველი</t>
  </si>
  <si>
    <t>28,09,2016-10,10,2016</t>
  </si>
  <si>
    <t>სარეკლამო ზედაპირის მონტაჟი/დემონტაჟი, იჯარა</t>
  </si>
  <si>
    <t>ი/მ შველიძე აკაკი- რადიო იმერი</t>
  </si>
  <si>
    <t>23.09.2016-07.10.2016</t>
  </si>
  <si>
    <t>რეკლამის განთავსება რადიო იმერის ეთერში</t>
  </si>
  <si>
    <t>28.09.2016 - 07.10.2016</t>
  </si>
  <si>
    <t>სატელევიზიო პოლიტიკური რეკლამა</t>
  </si>
  <si>
    <t>შ.პ.ს სამაუწყებლო კომპანია იმერვიზია</t>
  </si>
  <si>
    <t>შ.პ.ს. სამაუწყებო კომპანია ბოლნელი</t>
  </si>
  <si>
    <t>შ.პ.ს. კოლხეთი 89</t>
  </si>
  <si>
    <t>29.09.2016 - 07.10.2016</t>
  </si>
  <si>
    <t>ტელეკომპანია მე-9 არხის (ახალციხის) ეთერში სატელევიზიო პოლიტიკური რეკლამის განთავსება</t>
  </si>
  <si>
    <t>26,09,2016-28,09,2016</t>
  </si>
  <si>
    <t>სარეკლამო ზედაპირების ბეჭდვა, ბანერების მონტაჟი/დემონტაჯი</t>
  </si>
  <si>
    <t>შ.პ.ს. გაზეთი ვრასტანი</t>
  </si>
  <si>
    <t>22,09,2016-25,09,2016</t>
  </si>
  <si>
    <t>ცალი</t>
  </si>
  <si>
    <t>სომხურენოვანი გაზეთის ბეჭდავა</t>
  </si>
  <si>
    <t>შ.პ.ს. სამტრედიის მაცნე</t>
  </si>
  <si>
    <t>30,09,2016-01,10,2016</t>
  </si>
  <si>
    <t>სარეკლამო ადგილის გამოყოფა მედიაპლათფორმაზე პოლიტიკური რეკლამისთვის/გაზეთი "სამტრედიის მაცნე"</t>
  </si>
  <si>
    <t>ი/მ ნიკოლოზ ჩიმაკაძე</t>
  </si>
  <si>
    <t>რეკლამა მონიტორზე</t>
  </si>
  <si>
    <t>03,10,2016</t>
  </si>
  <si>
    <t>რეკლამა კინო-თეატრებში</t>
  </si>
  <si>
    <t>შ.პ.ს. სამტრედიის სარეკლამო</t>
  </si>
  <si>
    <t>04,10,2016</t>
  </si>
  <si>
    <t>სარეკლამო კონსტრუქციებზე სამონტაჟო სამუშაოები</t>
  </si>
  <si>
    <t>04.10.2016 - 07.10.2016</t>
  </si>
  <si>
    <t>სატელევიზიო რეკლამა</t>
  </si>
  <si>
    <t>შ.პ.ს. ზუგდიდის მუნიციპალური ტრანსპორტი</t>
  </si>
  <si>
    <t>05,10,2016</t>
  </si>
  <si>
    <t>რეკლამა სატრანსპორტო საშუალებებზე</t>
  </si>
  <si>
    <t>ბეჭდური რეკლამა</t>
  </si>
  <si>
    <t>06.10.2016 - 07.10.2016</t>
  </si>
  <si>
    <t>ტელე რეკლამა</t>
  </si>
  <si>
    <t>შ.პ.ს. ფოთი ტვ</t>
  </si>
  <si>
    <t>07.10.2016</t>
  </si>
  <si>
    <t>ბეჭდვა, მონტაჟი-დემონტაჟი</t>
  </si>
  <si>
    <t>15.09.2016-14.10.2016</t>
  </si>
  <si>
    <t>122-ე საჯარო სკოლა(ქავთარაძის 121-23)</t>
  </si>
  <si>
    <t>ბარათაშვილისა და ღვინის აღმართების გადაკვეთის მიმდებარედ</t>
  </si>
  <si>
    <t>გმირთა მ-ნი(კოსტავას ქ 63-ის მიმდებარედ ) (ვაკის მიმართულებით)</t>
  </si>
  <si>
    <t>გმირთა მ-ნი(კოსტავას ქ63) (საბურთალოს მიმართულებით)</t>
  </si>
  <si>
    <t>გურამისვილის გამზ 34</t>
  </si>
  <si>
    <t>გურამისვილის გამზ14-ის მიმდებარედ</t>
  </si>
  <si>
    <t>გურამისვილის ქ-ისა და შატილის ქ. მიმდებარედ</t>
  </si>
  <si>
    <t>გურამიშვილის გამზ . 76 მიმდებარედ(სასაწავლებელი)</t>
  </si>
  <si>
    <t>გურამიშვილის გამზირისა და შატილის ქ-ის გადაკვეთის მოპირდაპირედ</t>
  </si>
  <si>
    <t>დ,გურამიშვილის გამზ10 კორპუსის მიმდებარედ</t>
  </si>
  <si>
    <t>დ.გურამისვილის გამზ 11-ის მიმდებარედ</t>
  </si>
  <si>
    <t>დ.გურამისვილის გამზ 17-ის მიმდებარედ</t>
  </si>
  <si>
    <t>დ.გურამისვილის გამზ 23-ის მიმდებარედ(მე-4 საავადმყოფოს  ასახვევთან)</t>
  </si>
  <si>
    <t>დავით აღმაშენებლის გამზ 3--5 (ზაარბრუკენის მ-ანი)</t>
  </si>
  <si>
    <t>დავით აღმაშენებლის გამზ 83 (მარჯანისვილის მ-ანი)</t>
  </si>
  <si>
    <t>დავით აღმაშენებლის გამზ180( მუსკომედია)</t>
  </si>
  <si>
    <t>დავით აღმაშენებლის გამზ191 მუსკომედიის მოპირდაპირედ)</t>
  </si>
  <si>
    <t>დანიური სახლის მოპირდაპირედ</t>
  </si>
  <si>
    <t>ვაზისუბნის 1-ლი მკრ. მე-4 კორპუსისმიმდებარედ(შალვა მშველიძის ქ)</t>
  </si>
  <si>
    <t>ვაზისუბნის მე-3მკრ. მე-2კვ. კორპ10</t>
  </si>
  <si>
    <t>ვაზისუბნის მე-3მკრ. მე-2კვ. კორპ17(18 კორპუსი)</t>
  </si>
  <si>
    <t>ვაზისუბნის მე-5 მკრ. 2-ე კორპუსის მიმდებარედ (სკოლა ალბიონი 90-ე სკოლა. ნიკო მუსხელიშვილს ქ)</t>
  </si>
  <si>
    <t>ვაზისუბნის მე-5 მკრ. მე8 კორპუსისმიმდებარედ(ნიკო მუსხელიშვილის ქ)</t>
  </si>
  <si>
    <t>ვაზისუბნისმე-2 მკრ. მე-19 კორპუსის პირდაპირ</t>
  </si>
  <si>
    <t>ვაჟა-ფშაველას გამზ (საქართველოს ბავშვთა ფედერაციასთან)</t>
  </si>
  <si>
    <t>ვაჟა-ფშაველას გამზ 83/81</t>
  </si>
  <si>
    <t>ვაჟა-ფშაველას გამზ 93/91</t>
  </si>
  <si>
    <t>ვაჟა-ფშაველას გამზირი 7</t>
  </si>
  <si>
    <t>ზოოპარკი</t>
  </si>
  <si>
    <t>ზღვის უბნისა და გ.რომელაშვილის ქუჩების გადაკვეთის პირდაპირ, თემქა/მუხიანის გადასასვლელი გზა, პოლიციიის მიმდებარედ</t>
  </si>
  <si>
    <t>თამარაშვილის ქ 11</t>
  </si>
  <si>
    <t>თამარაშვილის ქ 19-21</t>
  </si>
  <si>
    <t>თამარაშვილის ქ12(თამარაშვილის ქუჩისა და ყაზბეგის გამზირი)</t>
  </si>
  <si>
    <t>თამარაშვილის ქ6 ვაკის გამგეობის მიმდებარედ(ფიზიკის ინსტიტუტთან)</t>
  </si>
  <si>
    <t>თემქის  მე-3მ/რ მე4კვ. 57-ე კორპუსის წინ</t>
  </si>
  <si>
    <t>თემქის მე-10კვ. 24კორპუსი</t>
  </si>
  <si>
    <t>თემქის მე-11მ/რ-ის მე-2კვ კორპ22</t>
  </si>
  <si>
    <t>თემქის მე-3 მ.რაიონი მე-2 კვ.23-ე კორპ</t>
  </si>
  <si>
    <t>თემქის მე-3 მ.რაიონი მე-2 კვ20-ე კორპ</t>
  </si>
  <si>
    <t>თემქის მე-3 მ.რაიონი მე-3კვ. კვ.53-ე კორპუსის მოპირდაპირედ)159-ე საჯარო სკოლა)</t>
  </si>
  <si>
    <t>თემქის მე-3 მ.რაიონი1-ლიკვ. კვ.20-ე კორპუსის მოპირდაპირედ</t>
  </si>
  <si>
    <t>თემქის მე-3მ.რაიონი მე-3 კვ. 53-ე კორპ</t>
  </si>
  <si>
    <t>მ.ს გურამიშვილის მიმდებრედ</t>
  </si>
  <si>
    <t>მ/.ს ავლაბრის მიმდებარედ(ავლაბრის მოედანი)</t>
  </si>
  <si>
    <t>მ/ს გურამიშვილის პირდაპირ(გურამიშვილის გამზ84)</t>
  </si>
  <si>
    <t>მე-5 სამშობიარო სახლის მოპირდაპირედ(ანაპის დივიზიისა და ჩარგლის ქ-ების გადაკვეთა)</t>
  </si>
  <si>
    <t>ნუცუბიძის ქ221</t>
  </si>
  <si>
    <t>ნუცუბიძის ქ77-79</t>
  </si>
  <si>
    <t>პატარიძისა და ვაზისუბნის მე-3მ/რ იკვარტ. დასაწყისი გზის მიმდებარედ(9ყრმა კოლელთა სახ-ობის ეკლესიამდე)</t>
  </si>
  <si>
    <t>პროკრედიტ ბანკი(დ.აღმაშენებლის გადაკვეთა)</t>
  </si>
  <si>
    <t>რესპუბლიკური საავადმყოფო</t>
  </si>
  <si>
    <t>სააკაძის მ-ნი (ჭაბუკიანის ქუჩის გადაკვეთის მიმდებარედ)</t>
  </si>
  <si>
    <t>სამედიცინო  ინსტიტუტი (ვაჟა-ფშაველას გამზ28-ისმოპირდაპირედ)</t>
  </si>
  <si>
    <t>სამშობიარო სახლი 5 (ანაპის დივიზიისა და ჩარგლის ქ-ების გადაკვეთა)</t>
  </si>
  <si>
    <t>საყოფაცხოვრებო მომსახურების სახლის მიმდებარედ</t>
  </si>
  <si>
    <t>ქავთარაძის ქ19(პურის საცხობი)</t>
  </si>
  <si>
    <t>ქეთევან წამებულის გამზ 12</t>
  </si>
  <si>
    <t>ქეთევან წამებულის გამზ 65(120-ე პროფ სასწავლებელი)</t>
  </si>
  <si>
    <t>ქეთევან წამებულის გამზ 92(87-ე  საშ. სკოლა)</t>
  </si>
  <si>
    <t>შატილის ქ4(აღმოსავლეტ ევროპის სასწავლო ცენტრი)</t>
  </si>
  <si>
    <t>ც.დადიანის ქ 77-ის მიმდებარედ(გადაკვეთა ურიდიას ქუჩასთან)</t>
  </si>
  <si>
    <t>ც.დადიანის ქ 87-ის მიმდებარედ</t>
  </si>
  <si>
    <t>ც.დადიანის ქ10 საჯარო სკოლის მიმდებარედ</t>
  </si>
  <si>
    <t>ც.დადიანის ქ138/136-ის მიმდებარედ</t>
  </si>
  <si>
    <t>ც.დადიანის ქ148-ისმიმდებარედ</t>
  </si>
  <si>
    <t>ც.დადიანის ქ303-ის მიმდებარედ</t>
  </si>
  <si>
    <t>ც.დადიანის ქ317-ის პირადაპირ (კიკვიძის ბაღი )</t>
  </si>
  <si>
    <t>ც.დადიანის ქ323-ის მიმდებარედ(კ/თ საქართველოს მოპირდაპირედ</t>
  </si>
  <si>
    <t>შპს აუთდორ. ჯი</t>
  </si>
  <si>
    <t>22.07.2016-05.11.2016</t>
  </si>
  <si>
    <t>ვარაზისხევი, გმირთა მოედნის მიმდებარედ</t>
  </si>
  <si>
    <t>თამარაშვილის ქ. ვისოლის ა/გ-თან</t>
  </si>
  <si>
    <t>საბურთალო-ვაკე I (თამარაშვილის ქ.)</t>
  </si>
  <si>
    <t>ჭავჭავაძის გამზ. ბერძენიშვილის ქ-ის ჩასახვევთან</t>
  </si>
  <si>
    <t>პეკინის ქ. ვაჟა-ფშაველას გადაკვეთა</t>
  </si>
  <si>
    <t>გმირთა მოედანი,ხიდის პარაპეტი ტელევიზიის მხარე</t>
  </si>
  <si>
    <t>ვაჟა-ფშაველას გამზ. სამედიცინოს მიმდებარედ</t>
  </si>
  <si>
    <t>ალ.ყაზბეგის გამზ. წითელ ბაღთან (ასათიანის კვეთა)</t>
  </si>
  <si>
    <t>აღმაშენებლის ხეივანი პირველი მოსახვევი თბილისის მხრიდან</t>
  </si>
  <si>
    <t>ახვლედიანის ქ. #10</t>
  </si>
  <si>
    <t>მარჯვენა სანაპირო 9 მარტის სკვერთან ძველ სახლთან</t>
  </si>
  <si>
    <t>გორგასლის მოედანი ორთაჭალა კრწანისისკენ</t>
  </si>
  <si>
    <t>გორგასლის მოედანი ორთაჭალა კრწანისიდან</t>
  </si>
  <si>
    <t>გორგასლის მოედანი ორთაჭალა გულუას ქ-დან (კრწანისისკენ)</t>
  </si>
  <si>
    <t>მარცხენა სანაპ წმინდა ნიკოლოზის ეკლესიასთან შუქნიშანთან</t>
  </si>
  <si>
    <t>ვახუშტის ხიდის მიმდებარედ დიდუბის მხარე მარჯვენა</t>
  </si>
  <si>
    <t>ერისთავის ქ. ეკლესიასთან</t>
  </si>
  <si>
    <t>ლილო ბაზრობასთან</t>
  </si>
  <si>
    <t>გელოვანის გამზ. მათე მოტორსის მიმდებარედ</t>
  </si>
  <si>
    <t>ჯავახეთის ქ. ვარკეთილის მეტრომდე</t>
  </si>
  <si>
    <t>ბაზრის მიმდებარედ</t>
  </si>
  <si>
    <t>ჭავჭავაძის გამზ. მუნჯების სახლთან</t>
  </si>
  <si>
    <t>რუსთაველი შარტავას კვეთა (ჭავჭავაძის გამზ. გორის ქუჩის დასაწყისთან)</t>
  </si>
  <si>
    <t>რუსთაველის გამზ. კინო გამარჯვებასთან (გამარჯვების მოედანზე)</t>
  </si>
  <si>
    <t xml:space="preserve">გამსახურდიას 13 </t>
  </si>
  <si>
    <t>ნავსადგურის ქ. (რეკვავას ქ. პურკომბინატის მიმდ)</t>
  </si>
  <si>
    <t>06.08.2016-05.11.2016</t>
  </si>
  <si>
    <t>რუსთაველის და აღმაშ-ის ქუჩების კვეთა (ქალაქის ცენტრი (წრიული)) 2</t>
  </si>
  <si>
    <t>რუსთაველის და აღმაშ-ის ქუჩების კვეთა (ქალაქის ცენტრი (წრიული)) 3</t>
  </si>
  <si>
    <t>რუსთაველის და აღმაშ-ის ქუჩების კვეთა (ქალაქის ცენტრი (წრიული)) 1</t>
  </si>
  <si>
    <t>ცენტრალური გზა კორპუსებთან</t>
  </si>
  <si>
    <t>საზღვართან II</t>
  </si>
  <si>
    <t>საზღვართან 1</t>
  </si>
  <si>
    <t>ავტო სადგურის მიმდებარედ</t>
  </si>
  <si>
    <t>ცენტრალური გზა (ჩალაუბნის ტეკი)</t>
  </si>
  <si>
    <t>სტადიონთან   მარჯვენა (ბაზართან)</t>
  </si>
  <si>
    <t>სტადიონთან   მარცხენა  (ავტოსადგურთან)</t>
  </si>
  <si>
    <t>შესასვლელი თბილისიდან (ცენტრ.გზა აგს-თან)</t>
  </si>
  <si>
    <t>გამგეობის წინ</t>
  </si>
  <si>
    <t>შესასვლელი</t>
  </si>
  <si>
    <t>სვირის გადასახვევი (ქალაქის შემოსასვლელი)</t>
  </si>
  <si>
    <t>ჭავჭავაძე-ნიკეა თბილისისკენ მარჯვენა (მინისტარის ქარხნის წინ)</t>
  </si>
  <si>
    <t>პიონერთა პარკის წინ</t>
  </si>
  <si>
    <t>ჭავჭავაძის გამზ. საფეხბურთო სტადიონთან შუა</t>
  </si>
  <si>
    <t>შესასვლელი ბათუმიდან (ქალაქის შესასვლელი დაფნარის მხრიდან)</t>
  </si>
  <si>
    <t>შესასვლელი თბილისიდან</t>
  </si>
  <si>
    <t>რესტორან ”სამტრედიის” გვერდით</t>
  </si>
  <si>
    <t>ცენტრალური მოედანი (მარცხენა)</t>
  </si>
  <si>
    <t>ცენტრი ბაზართან</t>
  </si>
  <si>
    <t>ცენტრი გამგეობასთან</t>
  </si>
  <si>
    <t>ზუგდიდი ავტოსადგურთან</t>
  </si>
  <si>
    <t>შესასვლელი თბილისიდან (ქალაქის გასასვლელი აბაშისკენ)</t>
  </si>
  <si>
    <t>ჭანტურიას ქ. დასაწყისი (კოსტავასა და სამეგრელოს მოედნის კვეთა)</t>
  </si>
  <si>
    <t>ფოთი-თბილისის გზაჯვარედინი</t>
  </si>
  <si>
    <t>ბაზრის სახურავი 3</t>
  </si>
  <si>
    <t>ბაზრის სახურავი 4</t>
  </si>
  <si>
    <t>მესტია (ცენტრალური მოედანი)</t>
  </si>
  <si>
    <t>მესტია (შესასვლელი)</t>
  </si>
  <si>
    <t>შესასვლელი ცენტრი (გამგეობასთან)</t>
  </si>
  <si>
    <t>გამარჯვების მოედანზე</t>
  </si>
  <si>
    <t>შესასვლელი თბილისის მხრიდან</t>
  </si>
  <si>
    <t>ბაკურიანი (25-იანები)</t>
  </si>
  <si>
    <t>ბაკურიანი (დიდველი-ტატრის გზა) II</t>
  </si>
  <si>
    <t>შესასვლელი ფოთის მხრიდან</t>
  </si>
  <si>
    <t>სტეფანწმინდისკენ მიმავალი გზა ვარდისუბანი</t>
  </si>
  <si>
    <t xml:space="preserve">ცენტრი (გერგეთის ასახვევთან) II </t>
  </si>
  <si>
    <t xml:space="preserve"> მოედანი ხიდთან</t>
  </si>
  <si>
    <t>15.09.2016-05.11.2016</t>
  </si>
  <si>
    <t>ჭავჭავაძის გამზ. ლოკომოტივის სტადიონთან</t>
  </si>
  <si>
    <t>ბაგები ტეკთან წყნეთიდან</t>
  </si>
  <si>
    <t>ალ.ყაზბეგის გამზირის და თამარაშვილის ქ-ის კვეთა</t>
  </si>
  <si>
    <t>ვაჟა-ფშაველას გამზ. დელისის მიმდებარედ ნუცუბიძის ასახვევის მოპირდ</t>
  </si>
  <si>
    <t>ქავთარაძის ქ (ჯიქიას და მაღლივის გადასახვევთან)</t>
  </si>
  <si>
    <t>კოსტავას ქ. ჰოლიდეი ინ-ის მიმდებარედ</t>
  </si>
  <si>
    <t>კოსტავას ქ. 68 ბ, შემოსავლების სამსახურთან გაჩერების ზემოთ</t>
  </si>
  <si>
    <t>პეკინი  ბუკიას ბაღის მოპირდაპირედ</t>
  </si>
  <si>
    <t>პეკინის გამზ. მიცკევიჩის კვეთა</t>
  </si>
  <si>
    <t>ვაჟა-ფშაველას და ასათიანის კვეთა ვულევუსთან</t>
  </si>
  <si>
    <t>ვაჟა-ფშაველას გამზ. ტაშკენტის კუთხესთან</t>
  </si>
  <si>
    <t xml:space="preserve">ალ.ყაზბეგის გამზ. კუტუზოვის შემდეგ </t>
  </si>
  <si>
    <t>ნუცუბიძის და ასათიანის ქუჩების გადაკვეთასთან</t>
  </si>
  <si>
    <t>სააკაძის მოედნის მიმდებარედ. გოთუას ქ-ის ჩასახვევთან</t>
  </si>
  <si>
    <t>აღმაშენებლის ხეივანი თბილისიდან პირველ მოსახვევთან  (გასასვლელი)</t>
  </si>
  <si>
    <t>აღმაშენებლის ხეივანი თბილისიდან მუხათგვერდის ხიდთან (მე-16 კმ.)</t>
  </si>
  <si>
    <t>აღმაშენებლის ხეივანი (დროშის და აღმაშენებლის ძეგლს შორის) (თბილისისკენ)</t>
  </si>
  <si>
    <t>ამაღლების ქ. წყარომდე (წყაროსთან)</t>
  </si>
  <si>
    <t>რესპუბლიკის მოედნის პარაპეტი მარცხენა(ვერის დაღმართი ხიდის პარაპეტი)</t>
  </si>
  <si>
    <t>მარჯვენა სანაპირო გმირთა მოედნისკენ მიმავალი (რესტ. არაგვის მიმდ. შუქნ-თან)</t>
  </si>
  <si>
    <t>რუსთავის გზატკეცილი ზოოვეტის ასახვევთან (ფონიჭალა)</t>
  </si>
  <si>
    <t>მარცხენა სანაპირო ორთაჭალჰესთან სოკარის ოფისთან მარჯვენა</t>
  </si>
  <si>
    <t>ნავთლუღის ბაზრის მიმდებარედ</t>
  </si>
  <si>
    <t>მარცხენა სანაპირო  ბარათაშვილის ხიდის ასახვევში ისანი</t>
  </si>
  <si>
    <t>კახეთის გზატკეცილი აეროპორტთან (ვარკეთილის ჩასახვევის შემდეგ)</t>
  </si>
  <si>
    <t>კახეთის გზატკეცილი  ორხევის ხიდთან</t>
  </si>
  <si>
    <t>კახეთის გზატკეცილი  აეროპორტის გადასახვევი</t>
  </si>
  <si>
    <t>თამარ მეფის გამზ. ხიდის მიმდებარედ ცენტრალკისკენ (ცირკთან)</t>
  </si>
  <si>
    <t>დადიანის ქ. ქარვასლასთან (გადასასვლელ ხიდამდე)</t>
  </si>
  <si>
    <t>მარცხენა სანაპირო   თავდაცვის სამინისტროს ასახვევთან</t>
  </si>
  <si>
    <t xml:space="preserve">მარცხენა სან მარჯანიშვილის ხიდთან </t>
  </si>
  <si>
    <t>თ.მღვდლის ქ. ბავშვთა სამყაროს მიმდ.</t>
  </si>
  <si>
    <t>დეზერტირების ბაზარის მიმდებარედ</t>
  </si>
  <si>
    <t>წერეთლის გამზ. #23 საჯინიბოს გვერდზე (პანთეონთან)</t>
  </si>
  <si>
    <t>წერეთლის გამზ. სამთო ქიმიასთან</t>
  </si>
  <si>
    <t>მარცხენა სანაპირო. გუდაუთის ქუჩის ასახვევთან</t>
  </si>
  <si>
    <t>მარცხენა სანაპირო ელიავას ბაზრობამდე კანარგოსთან</t>
  </si>
  <si>
    <t>მეტრო ღრმაღელეს მიმდებარედ</t>
  </si>
  <si>
    <t>გლდანი-ავჭალის გადასახვევი მეტრო სარაჯიშვილთან</t>
  </si>
  <si>
    <t>გლდანის ხიდთან დიღომი-გლდანის მაგისტრალი გლდანიდან</t>
  </si>
  <si>
    <t xml:space="preserve">გლდანი ხიზანიშვილის ქ. I-III მკრ-ს შორის </t>
  </si>
  <si>
    <t>აღმაშენებლის ქ. სატვირთო რკინიგზის მიმდებარედ</t>
  </si>
  <si>
    <t>ვაზისუბანი ლუკოილის მიმდ</t>
  </si>
  <si>
    <t>დიდი დიღმიდან გამოსასვლელი ბ/გ ვისოლის მიმდ</t>
  </si>
  <si>
    <t>მოსკოვის გამზ. დასაწყისი გზაჯვარედინთან</t>
  </si>
  <si>
    <t>21.09.2016-05.11.2016</t>
  </si>
  <si>
    <t>ვაზისუბანი</t>
  </si>
  <si>
    <t>09.09.2016-05.11.2016</t>
  </si>
  <si>
    <t>ქ.თბილისი, თამარაშვილის და უნივერსიტეტის ქუჩების გადაკვეთის მიმდებარედ</t>
  </si>
  <si>
    <t>შპს ალმა</t>
  </si>
  <si>
    <t>ვარაზისხევის და მელიქიშვილის ქ. კუთხე</t>
  </si>
  <si>
    <t>კოსტავას ქ. (ტელევიზიასთან)</t>
  </si>
  <si>
    <t>პეკინის და მიცკევიჩის კვეთა (კედელი)</t>
  </si>
  <si>
    <t>მარჯვენა სანაპირო (ვახუშტის ხიდზე ასახვევი ცენტრის მიმართულებით კუნძულზე</t>
  </si>
  <si>
    <t>აღმაშენებლის ხეივანი მე-9 კილომეტრი (კომპანია არტთან)</t>
  </si>
  <si>
    <t>აღმაშენებლის ხეივანი მე-9 კილომეტრი (კომპანია არტთან) თბილისის მიმართულება</t>
  </si>
  <si>
    <t>რუსთავის გზა</t>
  </si>
  <si>
    <t>სომხური თეატრის სახურავი</t>
  </si>
  <si>
    <t>ჩოლოყაშვილის ქ. (რესტორან ასტორიასთან)</t>
  </si>
  <si>
    <t>კახეთის გზატკეცილი (ისნის ხიდთან კუნძულზე) მელაანის ქ. (აეროპორტის მიმართულება)</t>
  </si>
  <si>
    <t>კახეთის გზატკეცილი (ისნის ხიდთან კუნძულზე) მელაანის ქ. (თბილისის მიმართულება)</t>
  </si>
  <si>
    <t>კახეთის გზატკეცილი მე-8 პოლკთან არსებული ატრაკციონების პარკთან</t>
  </si>
  <si>
    <t>კახეთის გზატკეცილი ნაციონალების ოფისთან</t>
  </si>
  <si>
    <t>აეროპორტის პარკინგიდან გასასვლელი</t>
  </si>
  <si>
    <t xml:space="preserve">კლდიაშვილის ქ. </t>
  </si>
  <si>
    <t>წერეთლის გამზირი დინამოს სტადიონთან წრეზე</t>
  </si>
  <si>
    <t>მარცხენა სანაპირო (ვახუშტის ხიდამდე)</t>
  </si>
  <si>
    <t>გლდანი (მუხიანის გადასახვევთან)</t>
  </si>
  <si>
    <t>მეგობრობის გამზ. (ბანკ რესპუბლიკასთან)</t>
  </si>
  <si>
    <t>მეგობრობის მოედანთან</t>
  </si>
  <si>
    <t>რეგიონი-რუსთავი</t>
  </si>
  <si>
    <t>ცენტრალური ბაზრის შესახვევამდე</t>
  </si>
  <si>
    <t>რუსთაველის ქ. საჭიდაო  საჭიდაო დარბაზის მოპირდაპირედ</t>
  </si>
  <si>
    <t>თელავის შესასვლელში</t>
  </si>
  <si>
    <t>ზაქათალის ქ. (ელიტ ელექტრონიქსის მაღაზიის მოპირდაპირე მხარე)</t>
  </si>
  <si>
    <t>აღმაშენებლის ქუჩის დასასრული ქალაქის აღმოსავლეთ საზღვართან</t>
  </si>
  <si>
    <t>ხაშურის შესასვლელი #1</t>
  </si>
  <si>
    <t>ზაქარიაძის ქ. დასაწყისი ხიდთან</t>
  </si>
  <si>
    <t>სტაროსელსკის ქ. მარცხენა მხარე</t>
  </si>
  <si>
    <t xml:space="preserve">სტაროსელსკის ქ.  </t>
  </si>
  <si>
    <t>წითელ ხიდთან</t>
  </si>
  <si>
    <t>ასათიანის ქუჩა</t>
  </si>
  <si>
    <t>ქუთაისის გასასვლელი სამტრედიის მხარეს</t>
  </si>
  <si>
    <t>ავტომშენებლის ქ. კაფე პაემნის ჩრდ.მდებარე სკვერი</t>
  </si>
  <si>
    <t>ჭავჭავაძის გამზ სავაჭრო ცენტრთან</t>
  </si>
  <si>
    <t>ი. აბაშისძის გამზ. მარჯვენა მხარეს</t>
  </si>
  <si>
    <t>ნიკეას ქ.#2</t>
  </si>
  <si>
    <t>ზ.გამსახურდია გამზ. 17</t>
  </si>
  <si>
    <t>ზ.გამსახურდიას 6</t>
  </si>
  <si>
    <t>რუსთაველის გამზ.73</t>
  </si>
  <si>
    <t>რუსთაველის გამზ. #137-139</t>
  </si>
  <si>
    <t>ჭავჭავაძის ქ. #4-ის წინ</t>
  </si>
  <si>
    <t>ცოტმე დადიანის ქ. ლიბერთი ბანკის მიმდებარედ</t>
  </si>
  <si>
    <t>ცოტნე დადიანის ქ. პროფელაკტიკასთან</t>
  </si>
  <si>
    <t>რუსთაველის ქ. ავეჯის სალონთან</t>
  </si>
  <si>
    <t>რუსთაველის ქ 171 წინ</t>
  </si>
  <si>
    <t>მერიის წინ მოედანზე მარჯვენა მხარეს</t>
  </si>
  <si>
    <t>22.08.2016-05.11.2016</t>
  </si>
  <si>
    <t>ვაჟა ფშაველა და თოფურიას ქუჩების კვეთა</t>
  </si>
  <si>
    <t>საბურთალოს ქ. და კუტუზოვის ქ. კვეთა</t>
  </si>
  <si>
    <t>მარჯვენა სანაპირო (გოთუას ქ. შემდეგ)</t>
  </si>
  <si>
    <t>აღმაშენებლის ხეივანი დასავლეთის მიმართულებით (ავჭალის გადასახვევთან)</t>
  </si>
  <si>
    <t>სადგურის მოედანი (სადგურიდან ჩამოსახვევში)</t>
  </si>
  <si>
    <t>წერეთლის გამზ. (მაგნიტოგორსკის ქ. კუთხე)</t>
  </si>
  <si>
    <t>ქსნის ქ. ზარმაცების ხაშთან</t>
  </si>
  <si>
    <t>ქერჩის ქუჩა (გლდანი)</t>
  </si>
  <si>
    <t>შეშელიძის ქ. ხიდთან</t>
  </si>
  <si>
    <t>გზაჯვარდინთან</t>
  </si>
  <si>
    <t>რუსთაველის ქ. (ელიტ ელექტრონიქსის მაღაზიის მოპირდაპირე მხარე)</t>
  </si>
  <si>
    <t>ჭავჭავაძის ქუჩა (გამგეობასთან)</t>
  </si>
  <si>
    <t>გუდაურის სმარტთან</t>
  </si>
  <si>
    <t>ცხინვალის გზატკეცილი</t>
  </si>
  <si>
    <t>მტკვრის მარჯვენა სანაპირო ხიდის წინ</t>
  </si>
  <si>
    <t>აღმაშენებლის ქ. (ვისოლის აგს-ის მხარე)</t>
  </si>
  <si>
    <t>ბორჯომის შესასვლელი (ვისოლის აგს-თან)</t>
  </si>
  <si>
    <t>რუსთაველის ქ.</t>
  </si>
  <si>
    <t>ნიკიას ქ. გეგუთის მიმართულება</t>
  </si>
  <si>
    <t>ფალიაშვილის ქ. #29</t>
  </si>
  <si>
    <t>ზ. გამსახურიას გამზ. #36</t>
  </si>
  <si>
    <t>რუსთაველის ქ. (გამგეობასთან)</t>
  </si>
  <si>
    <t>სავაჭრო ცენტრის თავზე 1</t>
  </si>
  <si>
    <t>რეკვავას ქ. სატვირთო რკინიგზის მიმდებარედ</t>
  </si>
  <si>
    <t>რეკვავას ქ. გადასასვლელი ხიდის მიმდებარედ</t>
  </si>
  <si>
    <t>ბაზრის მიმდებარე ტერიტორია</t>
  </si>
  <si>
    <t>ნაქალაქევი სენაკის მიმართულებით</t>
  </si>
  <si>
    <t>ცენტრალურ მოედანზე (გამგეობასთან)</t>
  </si>
  <si>
    <t>ცენტრალურ მოედანზე (საავადმყოფოსთან)</t>
  </si>
  <si>
    <t>გოგებაშვილის  ქ #4</t>
  </si>
  <si>
    <t>თავისუფლების ქუჩა</t>
  </si>
  <si>
    <t>ჭავჭავაძის გამზირი . ვაკის ბასეინთან</t>
  </si>
  <si>
    <t>ქავთარაძის ქ. ლეჩკომბინატთან</t>
  </si>
  <si>
    <t>თამარ მეფის გამზ. (გმირთა მოედნიდან) #1</t>
  </si>
  <si>
    <t>თამარ მეფის გამზ. (გმირთა მოედნიდან) #2</t>
  </si>
  <si>
    <t>გაგარინის დაღმართი (საქართველოს ბანკთან)</t>
  </si>
  <si>
    <t>საბურთალის ქ. (ბახტრიონის ქ. ასახვევთან)</t>
  </si>
  <si>
    <t>ვაჟა-ფშაველას გამზ. (სასტუმრო აფხაზეთთან)</t>
  </si>
  <si>
    <t>ნუცუბიძის ქ. (ლისის ტბის საბაგიროსთან)</t>
  </si>
  <si>
    <t>ალექსანდრე ყაზბეგის გამზ. (60 სკოლის მოპ. მხარეს)</t>
  </si>
  <si>
    <t>შარტავას ქ, ავტოტექმომსახურების სერვის ცენტრის შემდეგ</t>
  </si>
  <si>
    <t>კოსტავას ქ. (ხილიანის ქ. კვეთა)</t>
  </si>
  <si>
    <t>პეკინის გამზირი (ჰოლიდეინის წინ)</t>
  </si>
  <si>
    <t>თბილისი-სანაპირო</t>
  </si>
  <si>
    <t>მარჯვენა სანაპირო ვახუშტის ხიდის დასაწყისი</t>
  </si>
  <si>
    <t xml:space="preserve">რობაქიძის გამზირი (მაიაკოვსკის ძეგლთან) </t>
  </si>
  <si>
    <t>რობაქიძის გამზირი (დიდუბის ხიდის მიმდებარედ აგს-ის მხარეს)</t>
  </si>
  <si>
    <t>დიდი დიღომი წრეზე</t>
  </si>
  <si>
    <t>ბელიაშვილი</t>
  </si>
  <si>
    <t>ბარათაშვილის ქ. (კოლმეურნეობის მოედნის შესახვევში)</t>
  </si>
  <si>
    <t>მარჯვენა სანაპირო (სასწრაფოების წინ)</t>
  </si>
  <si>
    <t>ქვემო ფონიჭალა (რუსთავის გზა)</t>
  </si>
  <si>
    <t>ქეთევან წამებულის გამზირი (300 არაგველების მეტროსთან)</t>
  </si>
  <si>
    <t>თამარ მეფის გამზ. (წინამძღვრიშვილის ქ. გადაკვეთა)</t>
  </si>
  <si>
    <t>მარცხენა სანაპირო (ქორწინების სახლის შემდეგ)</t>
  </si>
  <si>
    <t>თამარ მეფის გამზირი (ხიდთან) #1</t>
  </si>
  <si>
    <t>აგლაძის ქ. (ელიავას ბაზრობის ზედა მხარე)#2</t>
  </si>
  <si>
    <t>წერეთლის გამზირი (კოკა-კოლასთან)</t>
  </si>
  <si>
    <t>მეტრო წერეთელთან</t>
  </si>
  <si>
    <t>დიღომი სანზონის გზა (დიდუბე დიღმის ხიდთან)</t>
  </si>
  <si>
    <t>დადიანის ქ. თი-ბი-სი ბანკთან</t>
  </si>
  <si>
    <t>გურამიშვილის გამზირი</t>
  </si>
  <si>
    <t>გლდანი ვეკუას ქუჩა</t>
  </si>
  <si>
    <t>05.08.2016-05.11.2016</t>
  </si>
  <si>
    <t>ი. ჭავჭავაძის გამზ. (მე-9 საავადმყოფოსთან)</t>
  </si>
  <si>
    <t>სადგურის მოედანი</t>
  </si>
  <si>
    <t>ყაზბეგის გამზ. და თამარაშვილის ქ. კვეთა</t>
  </si>
  <si>
    <t>ფილარმონიის ფასადი</t>
  </si>
  <si>
    <t>გლდანის I მკრ</t>
  </si>
  <si>
    <t>ქიაჩელის 2</t>
  </si>
  <si>
    <t>სააკაძის მოედ.</t>
  </si>
  <si>
    <t>გამსახურდიას გამზ. და ცინცაძის ქ. გადაკვეთა</t>
  </si>
  <si>
    <t>ზუგდიდი</t>
  </si>
  <si>
    <t>05.09.2016-04.11.2016</t>
  </si>
  <si>
    <t>ვარკეთილი ჯავახეთის ქუჩა</t>
  </si>
  <si>
    <t>შ.პ.ს. 12</t>
  </si>
  <si>
    <t>ფალიაშვილის ქ. 36ა, გეგეშიძის ბაღთან</t>
  </si>
  <si>
    <t>აბაშიძის 83, ვაკის პარკთან</t>
  </si>
  <si>
    <t>ჭავჭავაძის გამზ. 54</t>
  </si>
  <si>
    <t>ქავთარაძე დასაწყისი</t>
  </si>
  <si>
    <t>გაგარინის ქ. #1</t>
  </si>
  <si>
    <t>ალ. ყაზბეგის გამზ. #31, ასათიანის ქ. კუთხე</t>
  </si>
  <si>
    <t>გამსახურდიას გამზ. #9, ბუკიას ბაღის მოპ მხარე</t>
  </si>
  <si>
    <t>გამსახურდიას გამზ. #5, კოსტავას #70</t>
  </si>
  <si>
    <t>ქ. წამებულის გამზ. 67, მეტრო ისანთან</t>
  </si>
  <si>
    <t>ვარკეთილი, მეტროსთან, A</t>
  </si>
  <si>
    <t>ფიროსმანის ქ. #3, მალაკნების მოედანი</t>
  </si>
  <si>
    <t>წინამძღვრიშვილის ქ. #182, ბაზართან მოედანზე</t>
  </si>
  <si>
    <t>წერეთლის გამზ. 142, სამთო ქიმია</t>
  </si>
  <si>
    <t>აგლაძის ქ., ელიავას ბაზრობის შესასვლელი</t>
  </si>
  <si>
    <t>სადგურის მოედანი, სასტუმრო "კოლხეთი"</t>
  </si>
  <si>
    <t>გლდანი მეტრო ახმეტელი</t>
  </si>
  <si>
    <t>ჭავჭავაძის გამზირი, ვაკის პარკთან</t>
  </si>
  <si>
    <t>ვაჟა-ფშაველს გამზირი "სოფლმშენის" შენობის სახურავი</t>
  </si>
  <si>
    <t>saburTalos q-isa da gamsaxurdias gamz.-is kveTa teqnikur universitetTan gasasvleli</t>
  </si>
  <si>
    <t>gagarinis moedani</t>
  </si>
  <si>
    <t>daviT aRmaSeneblis moedani, TbilisSi Semosasvleli, “rvasarTulianis” saxuravi</t>
  </si>
  <si>
    <t>marjvena sanapiro, beliaSvilis q.</t>
  </si>
  <si>
    <t>asaTianis q. tabiZis q.-is SasaxvevTan</t>
  </si>
  <si>
    <t>“rusTavelis makdonaldsTan”</t>
  </si>
  <si>
    <t>kostavas quCa ” CaCavas”  mimdebared</t>
  </si>
  <si>
    <t>gorgaslis q. bilainis centraluri ofisis mimdebared</t>
  </si>
  <si>
    <t>q. wamebulis gamziri, სastumro Seratonis mimdebared</t>
  </si>
  <si>
    <t>varkeTilis metros mimdebared</t>
  </si>
  <si>
    <t>Tbilisis saerTaSoriso aeroporti
mimdebared (marcxnidan 1 fari)</t>
  </si>
  <si>
    <t>SeSeliZis q. gldanSi Sesasvleli monakveTi</t>
  </si>
  <si>
    <t>სააკაძის მოედანი, შართავას 6</t>
  </si>
  <si>
    <t>ახალი გზა</t>
  </si>
  <si>
    <t>ელბაქიძის აღმართი</t>
  </si>
  <si>
    <t>ბარნოვი</t>
  </si>
  <si>
    <t>26 მაისის ქ. #21, ცენტრალური მოედანი</t>
  </si>
  <si>
    <t xml:space="preserve">აღმაშენებლის ქ. </t>
  </si>
  <si>
    <t>ცენტრალური ბაზარი</t>
  </si>
  <si>
    <t>გომართელის ქ.</t>
  </si>
  <si>
    <t>ცენტრალური მოედანი, ჭანტურიას ქ. №2, მოედანზე B</t>
  </si>
  <si>
    <t>ბაზართან, გზაჯვარედინზე</t>
  </si>
  <si>
    <t xml:space="preserve">ზ. გამსახურდიას გამზ. №24 </t>
  </si>
  <si>
    <t xml:space="preserve">აღმაშენებლის ქ. №23 </t>
  </si>
  <si>
    <t>ცენტრალური მაგისტრალი, თავისუფლების ქ.</t>
  </si>
  <si>
    <t>05.09.2016-05.11.2016</t>
  </si>
  <si>
    <t>ქ.ახმეტა, ჩოლოყაშვილი ქუჩა, #2</t>
  </si>
  <si>
    <t>საგარეჯო, კახეთის გზატკეცილი 49-ე კმ. P 880 თბილისი-ბაკურციხის მიმართულებით</t>
  </si>
  <si>
    <t>ბოლნისი, აღმაშენებლის ქ.</t>
  </si>
  <si>
    <t>მცხეთა, შესასვლელი ხიდთან</t>
  </si>
  <si>
    <t>ქარელი, შესასვლელი კუთხეში</t>
  </si>
  <si>
    <t>ადიგენი, ბათუმი-ახალციხის გზა</t>
  </si>
  <si>
    <t>ჭიათურა, ნინოშვილის ქ.</t>
  </si>
  <si>
    <t>ზესტაფონი, ცენტრალური მოედანი, ჭანტურიას ქ. №2, მოედანზე C</t>
  </si>
  <si>
    <t>ვანი, ჯვრის მოედანი</t>
  </si>
  <si>
    <t>ტყიბული, გამსახურდიას 24, 8 სართულიანი</t>
  </si>
  <si>
    <t>ხობი, დადიანის ქ.</t>
  </si>
  <si>
    <t xml:space="preserve">ლანჩხუთი, მოედანზე </t>
  </si>
  <si>
    <t>27.08.2016-05.11.2016</t>
  </si>
  <si>
    <t>ხაშური, ტრასა, წრეზე</t>
  </si>
  <si>
    <t>ჩხოროწყუ, მშვიდობის ქ. N 2</t>
  </si>
  <si>
    <t>24.09.2016-08.10.2016</t>
  </si>
  <si>
    <t>თბილისი, მუხიანი, დუმბაძის ქ.</t>
  </si>
  <si>
    <t>თბილისი, გლდანი, ავტოსადგურთან</t>
  </si>
  <si>
    <t>თბილისი, გაგარინის ქ. #1</t>
  </si>
  <si>
    <t>შ.პ.ს. თავისუფალი გაზეთი+</t>
  </si>
  <si>
    <t>21,10,2016-05,11,2016</t>
  </si>
  <si>
    <t>საინფორმაციო მომსახურება ვებ გვერდებზე www.ipress.ge / ნიუსების, ფოტო, ვიდეო, ტექსტური მასალის განთავსება შეუზღუდავი რაოდენობით</t>
  </si>
  <si>
    <t>20,10,2016-31,10,2016</t>
  </si>
  <si>
    <t>ბეჭდური ვერსია, გაზეთი - "რეზონანსი"/ანონსი პირველ გვერდზე</t>
  </si>
  <si>
    <t>ბეჭდური ვერსია, გაზეთი - "რეზონანსი"/პოლიტიკური რეკლამის განთავსება</t>
  </si>
  <si>
    <t>20,10,2016-05,11,2016</t>
  </si>
  <si>
    <t>საინფორმაციო მომსახურება ვებ გვერდზე www.presa.ge-ზე; / ნიუსების, ფოტო, ვიდეო, ტექსტური მასალის განთავსება შეუზღუდავად</t>
  </si>
  <si>
    <t>საინფორმაციო მომსახურება ვებ გვერდზე www.droni.ge-ზე; / ნიუსების, ფოტო, ვიდეო, ტექსტური მასალის განთავსება შეუზღუდავად</t>
  </si>
  <si>
    <t>საინფორმაციო მომსახურება ვებ გვერდზე www.itv.ge-ზე; / ნიუსების, ფოტო, ვიდეო, ტექსტური მასალის განთავსება შეუზღუდავად</t>
  </si>
  <si>
    <t>საინფორმაციო მომსახურება ვებ გვერდზე www.people.ge-ზე; / ნიუსების, ფოტო, ვიდეო, ტექსტური მასალის განთავსება შეუზღუდავად</t>
  </si>
  <si>
    <t>საინფორმაციო მომსახურება ვებ გვერდებზე www.netgazeti.ge-ზე;/ ნიუსების, ფოტო, ვიდეო, ტექსტური მასალის განთავსება არაუმეტეს რვა ერთეული</t>
  </si>
  <si>
    <t>20,10,2016-05,11,2017</t>
  </si>
  <si>
    <t xml:space="preserve">საინფორმაციო მომსახურება ვებ გვერდებზე www.batumelebi.ge-ზე;  / ნიუსების, ფოტო, ვიდეო, ტექსტური მასალის განთავსება </t>
  </si>
  <si>
    <t>შ.პ.ს. ალმა</t>
  </si>
  <si>
    <t>13.10.2016</t>
  </si>
  <si>
    <t>კვ.მ.</t>
  </si>
  <si>
    <t>სარეკლამო ზედაპირების ბეჭდვის ღირებულება</t>
  </si>
  <si>
    <t>შ.პ.ს. ახალი ამბების სააგენტო კაუკასუსნიუსი</t>
  </si>
  <si>
    <t>საინფორმაციო მომსახურება ვებ გვერდებზე www.epn.ge / ნიუსების, ფოტო, ვიდეო, ტექსტური მასალის განთავსება შეუზღუდავი რაოდენობით</t>
  </si>
  <si>
    <t>შ.პ.ს. რადიო კომპანია პირველი რადიო</t>
  </si>
  <si>
    <t>საინფორმაციო მომსახურება ვებ გვერდზე www.Pirveliradio.ge-ზე/ ნიუსების, ფოტო, ვიდეო, ტექსტური მასალის განთავსება შეუზღუდავი რაოდენობით</t>
  </si>
  <si>
    <t>ბეჭდური ვერსია, ჟურნალი - "გზა" / რეკლამის განთავსება</t>
  </si>
  <si>
    <t>ბეჭდური ვერსია, გაზეთი - "კვირის პალიტრა" / რეკლამის განთავსება</t>
  </si>
  <si>
    <t>შ.პ.ს. P.S. (პოსკრიპტუმ)</t>
  </si>
  <si>
    <t>17,10,2016-02,11,2016</t>
  </si>
  <si>
    <t>საინფორმაციო მომსახურება - ვებ-გვერდზე www.psnews.ge- ზე ნიუსების განთავსება შეუზღუდავი რაოდენობით</t>
  </si>
  <si>
    <t>17.10.2016-02.11.2016</t>
  </si>
  <si>
    <t>საინფორმაციო მომსახურება ვებ გვერდზე www.psnews.ge-ზე/დღის მთავარი ნიუსების, ფოტო+ვიდეო+ტექსტური მასალის განთავსება შეუზღუდავი რაოდენობით</t>
  </si>
  <si>
    <t>გაზეთი -  P.S. ("პოსკრიპტუმი") ბეჭდური ვერსია</t>
  </si>
  <si>
    <t>19,10,2016-30,10,2016</t>
  </si>
  <si>
    <t>საინფორმაციო მომსახურება ვებ გვერდზე www.newpress.ge-ზე/ ნიუსების, ფოტო, ვიდეო, ტექსტური მასალის განთავსება შეუზღუდავი რაოდენობით</t>
  </si>
  <si>
    <t>ბეჭდური ვერსია, გაზეთი - ახალი გაზეთი / რეკლამის განთავსება</t>
  </si>
  <si>
    <t>ა.ა.ი.პ. ადამიანის უფლებათა და სოციალური სამართლიანობის დაცვის კვლევის ცენტრი</t>
  </si>
  <si>
    <t xml:space="preserve">საინფორმაციო მომსახურება ვებ გვერდებზე www.tspress.ge / ნიუსების, ფოტო, ვიდეო, ტექსტური მასალის განთავსება </t>
  </si>
  <si>
    <t>საინფორმაციო მომსახურება ვებ გვერდზე www.qartli.ge-ზე/ ნიუსების, ფოტო, ვიდეო, ტექსტური მასალის განთავსება (შეუზღუდავი რაოდენობით)</t>
  </si>
  <si>
    <t>ა.ა.ი.პ. ასიციაცია ათინათი</t>
  </si>
  <si>
    <t xml:space="preserve">საინფორმაციო მომსახურება ვებ გვერდებზე www.radioatinati.ge / ნიუსების, ფოტო, ვიდეო, ტექსტური მასალის განთავსება </t>
  </si>
  <si>
    <t>საინფორმაციო მომსახურება ვებ გვერდზე www.sknews.ge-ზე/ ნიუსების განთავსება (არაუმეტეს 30 მასალა:ფოტო+ვიდეო+ტექსტი)</t>
  </si>
  <si>
    <t>ბეჭდური ვერსია, გაზეთი სამხრეთ კარიბჭე რეკლამის განთავსება</t>
  </si>
  <si>
    <t>საინფორმაციო მომსახურება ვებ გვერდზე www.bolnisi.ge-ზე/ ნიუსების, ფოტო, ვიდეო, ტექსტური მასალის განთავსება შეუზღუდავად</t>
  </si>
  <si>
    <t>ბეჭდური ვერსია - გაზეთი ბოლნისი / რეკლამის განთავსება</t>
  </si>
  <si>
    <t>შ.პ.ს. ყალაბეგაშვილი ორიონი</t>
  </si>
  <si>
    <t>19.10.2016-30.10.2016</t>
  </si>
  <si>
    <t>საინფორმაციო მომსახურება ვებ გვერდზე www.speqtri.ge-ზე/ ნიუსების, ფოტო, ვიდეო, ტექსტური მასალის განთავსება (შეუზღუდავი რაოდენობით)</t>
  </si>
  <si>
    <t>ბეჭდური ვერსია, გაზეთი -  სპექტრი / რეკლამის განთავსება</t>
  </si>
  <si>
    <t>საინფორმაციო მომსახურება ვებ გვერდზე www.alion.ge-ზე/ ნიუსების, ფოტო, ვიდეო, ტექსტური მასალის განთავსება შეუზღუდავად</t>
  </si>
  <si>
    <t>ბეჭდური ვერსია, გაზეთი- ალიონი/ რეკლამის განთავსება</t>
  </si>
  <si>
    <t>20.10.2016-31.10.2016</t>
  </si>
  <si>
    <t>19.10.2016-23.10.2016</t>
  </si>
  <si>
    <t>ბეჭდური ვერსია - გაზეთი "ჩემი ხარაგაული" /პოლიტიკური რეკლამის განთავსება</t>
  </si>
  <si>
    <t>25,10,2016-29,10,2016</t>
  </si>
  <si>
    <t>ბეჭდური ვერსია, გაზეთი - "ჩემი ხარაგაული"/პოლიტიკური რეკლამის განთავსება</t>
  </si>
  <si>
    <t>საინფორმაციო მომსახურება ვებ გვერდზე www.adjaraps.ge-ზე/ ნიუსების, ფოტო, ვიდეო, ტექსტური მასალის განთავსება შეუზღუდავად</t>
  </si>
  <si>
    <t>ბეჭდური ვერსია, გაზეთი -" ჩემი ქობულეთი"/ რეკლამის განთავსება</t>
  </si>
  <si>
    <t>ბეჭდური ვერსია, გაზეთი - "აჭარა P.S.' / რეკლამის განთავსება</t>
  </si>
  <si>
    <t>შ.პ.ს. ახალი ამბების სააგენტო კავკას-პრესი</t>
  </si>
  <si>
    <t>სარეკლამო საინფორმაციო მომსახურება (ნიუსების თარგმნა და გავრცელება)</t>
  </si>
  <si>
    <t xml:space="preserve">შ.პ.ს. საინფორმაციო სააგენტო ნიუს დეი საქართველო </t>
  </si>
  <si>
    <t>საინფორმაციო მომსახურება ვებ გვერდზე www.newsday.ge-ზე/ ნიუსების, ფოტო, ვიდეო, ტექსტური მასალის განთავსება შეუზღუდავი რაოდენობით</t>
  </si>
  <si>
    <t>19,10,2016-31,10,2016</t>
  </si>
  <si>
    <t>პოლიტიკური რეკლამის განთავსება მედიაპლატფორმაზე www.Newposts.ge-ze/ნიუსების, ფოტო-ვიდეო-ტექსტური მასალის განთავსება შეუზღუდავი რაოდენობით</t>
  </si>
  <si>
    <t>20.10.2016-05.11.2016</t>
  </si>
  <si>
    <t>საინფორმაციო მომსახურება ვებ გვერდზე www.newsportal.ge-ზე/ ნიუსების, ფოტო, ვიდეო, ტექსტური მასალის განთავსება (შეუზღუდავი რაოდენობით)</t>
  </si>
  <si>
    <t>22.10.2016-05.11.2016</t>
  </si>
  <si>
    <t>საინფორმაციო მომსახურება ვებ გვერდებზე www.for.ge / ნიუსების, ფოტო, ვიდეო, ტექსტური მასალის განთავსება (შეუზღუდავი რაოდენობით)</t>
  </si>
  <si>
    <t>საინფორმაციო მომსახურება ვებ გვერდებზე www.pia.ge /ნიუსების, ფოტო, ვიდეო, ტექსტური მასალის განთავსება შეუზღუდავი რაოდენობით</t>
  </si>
  <si>
    <t>საინფორმაციო მომსახურება ვებ გვერდებზე www.daijesti.ge /ნიუსების, ფოტო, ვიდეო, ტექსტური მასალის განთავსება შეუზღუდავი რაოდენობით</t>
  </si>
  <si>
    <t>საინფორმაციო მომსახურება ვებ გვერდებზე www.medianews.ge/ნიუსების, ფოტო, ვიდეო, ტექსტური მასალის განთავსება შეუზღუდავი რაოდენობით</t>
  </si>
  <si>
    <t>საინფორმაციო მომსახურება ვებ გვერდებზე www.postalioni.com /ნიუსების, ფოტო, ვიდეო, ტექსტური მასალის განთავსება შეუზღუდავი რაოდენობით</t>
  </si>
  <si>
    <t>საინფორმაციო მომსახურება ვებ გვერდებზე www.mediamall.ge/ნიუსების, ფოტო, ვიდეო, ტექსტური მასალის განთავსება შეუზღუდავი რაოდენობით</t>
  </si>
  <si>
    <t>ბეჭდური ვერსია, გაზეთი - "ახალი თაობა"; /პოლიტიკური რეკლამის განთავსება</t>
  </si>
  <si>
    <t>ბეჭდური ვერსია, ჟურნალი - "თბილისელები" /პოლიტიკური რეკლამის განთავსება</t>
  </si>
  <si>
    <t>ბეჭდური ვერსია,  ჟურნალი - " სარკე";/პოლიტიკური რეკლამის განთავსება</t>
  </si>
  <si>
    <t>შ.პ.ს პრაიმ თაიმი</t>
  </si>
  <si>
    <t>18,10,2016-05,11,2016</t>
  </si>
  <si>
    <t>საინფორმაციო მომსახურება ვებ გვერდზე www.primetimenews.ge-ზე/ ნიუსების, ფოტო, ვიდეო, ტექსტური მასალის განთავსება შეუზღუდავად</t>
  </si>
  <si>
    <t>გაზეთი "Prime Time" - ბეჭდური ვერსია/პირველ გვერდზე ანონსი</t>
  </si>
  <si>
    <t>გაზეთი "Prime Time" - ბეჭდური ვერსია/პოლიტიკური რეკლამის განთავსება</t>
  </si>
  <si>
    <t>პოლიტიკური რეკლამის განთავსება მედიაპლატფორმაზე www.newspress.ge-ze/ნიუსები, ფოტო+ვიდეო+ტექსტური მასალა შეუზღუდავი რაოდენობით</t>
  </si>
  <si>
    <t>საინფორმაციო მომსახურება ვებ გვერდებზე www.kvira.ge / ნიუსების, ფოტო, ვიდეო, ტექსტური მასალის განთავსება შეუზღუდავი რაოდენობით</t>
  </si>
  <si>
    <t>შ.პ.ს  რეპორტიორი</t>
  </si>
  <si>
    <t>პოლიტიკური რეკლამის განთავსება მედიაპლათფორმაზე www.reportiori.ge-ზე/ნიუსები, სლაიდერი+ტექსტი+ფოტო+ვიდეო ფაილების განთავსება</t>
  </si>
  <si>
    <t>შ.პ.ს. ექსკლუზივნიუსი 'EXCLUSIVE NEWS'</t>
  </si>
  <si>
    <t>22,10,2016-05,11,2016</t>
  </si>
  <si>
    <t>საინფორმაციო მომსახურება ვებ გვერდებზე www.exclusivenews.ge / ნიუსების, ფოტო, ვიდეო, ტექსტური მასალის განთავსება შეუზღუდავი რაოდენობით</t>
  </si>
  <si>
    <t>საინფორმაციო მომსახურება ვებ გვერდებზე www.info9.ge / ნიუსების, ფოტო, ვიდეო, ტექსტური მასალის განთავსება შეუზღუდავი რაოდენობით</t>
  </si>
  <si>
    <t>შ.პ.ს. Front News</t>
  </si>
  <si>
    <t>საინფორმაციო მომსახურება ვებ გვერდებზე www.frontnews.ge / ნიუსების, ფოტო, ვიდეო, ტექსტური მასალის განთავსება შეუზღუდავი რაოდენობით</t>
  </si>
  <si>
    <t>საინფორმაციო მომსახურება ვებ გვერდზე www.ghn.ge-ზე/ ნიუსების, ფოტო და ტექსტური მასალის განთავსება შეუზღუდავი რაოდენობით</t>
  </si>
  <si>
    <t>შ.პ.ს. მარშალპრეს.ჯი</t>
  </si>
  <si>
    <t>საინფორმაციო მომსახურება ვებ გვერდზე www.marshalpress.ge-ზე/ ნიუსების, ფოტო, ვიდეო, ტექსტური მასალის განთავსება შეუზღუდავად</t>
  </si>
  <si>
    <t>საინფორმაციო მომსახურება ვებ გვერდზე www.primenewsgeorgia.ge იგივე www.png.ge-ზე/ ნიუსების, ფოტო, ვიდეო, ტექსტური მასალის განთავსება შეუზღუდავი რაოდენობით</t>
  </si>
  <si>
    <t>20,10,2016-05.11.2016</t>
  </si>
  <si>
    <t>საინფორმაციო მომსახურება ვებ გვერდზე www.kutaisipost.ge-ზე/ ნიუსების განთავსება (არაუმეტეს 150 მასალა: ფოტო+ვიდეო+ტექსტი))</t>
  </si>
  <si>
    <t>საინფორმაციო მომსახურება ვებ გვერდზე www.knews.ge-ზე/ ნიუსების, ფოტო, ვიდეო, ტექსტური მასალის განთავსება (არაუმეტეს 15-ჯერ)</t>
  </si>
  <si>
    <t>ბეჭდური ვერსია, გაზეთი - " კახეთის ხმა"/პოლიტიკური რეკლამის განთავსება</t>
  </si>
  <si>
    <t>19.10.2016-05.11.2016</t>
  </si>
  <si>
    <t>საინფორმაციო მომსახურება ვებ გვერდზე-www.gurianews.com/დამკვეთის მიერ გამოგზავნილი ნიუსების განთავსება (სულ 20 ნიუსი)</t>
  </si>
  <si>
    <t>ბეჭდური ვერსია, გაზეთი -" გურია ნიუსი"/ რეკლამის განთავსება</t>
  </si>
  <si>
    <t>ბეჭდური ვერსია, გაზეთი -" გურია ნიუსი"/ ანონსი პირველ გვერდზე</t>
  </si>
  <si>
    <t>21.10.2016-29.10.2016</t>
  </si>
  <si>
    <t>საინფორმაციო მომსახურება ვებ გვერდებზე www.gurianews.ge / ნიუსების განთავსება (სულ 5 ნიუსი)</t>
  </si>
  <si>
    <t>საინფორმაციო მომსახურება ვებ გვერდებზე www.1 news.ge / ნიუსების, ფოტო, ვიდეო, ტექსტური მასალის განთავსება შეუზღუდავი რაოდენობით</t>
  </si>
  <si>
    <t>13.10.2016 - 15.10.2016</t>
  </si>
  <si>
    <t>სარეკლამო ფარის იჯარა, ზედაპირიუს ბეჭდვა, მონტაჟი/დემონტაჟი (ბოლნისი)</t>
  </si>
  <si>
    <t>30.10.2016 - 01.11.2016</t>
  </si>
  <si>
    <t>სარეკლამო ზედაპირების ბეჭდვა და მონტაჟი, დემონტაჟი თბილისი/ რეგიონები</t>
  </si>
  <si>
    <t>შ.პ.ს. აუთდორ.ჯი</t>
  </si>
  <si>
    <t>31.10.2016 - 01.11.2016</t>
  </si>
  <si>
    <t>სარეკლამო ზედაპირების ბეჭდვა/მონტაჟი-დემონტაჟი /თბილისი</t>
  </si>
  <si>
    <t>სარეკლამო ზედაპირების ბეჭდვა/მონტაჟი-დემონტაჟი / რეგიონები</t>
  </si>
  <si>
    <t>სარეკლამო ზედაპირების ბეჭდვა/მონტაჟი-დემონტაჟი / თბილისი (მეორე ტური)</t>
  </si>
  <si>
    <t>17.10.2016 -05.11.2016</t>
  </si>
  <si>
    <t>სარეკლამო ფარის იჯარა, მონტაჟი/დემონტაჟი (მეგობრობის გამზ. #14–ის მ/ტ)</t>
  </si>
  <si>
    <t>სარეკლამო ფარის იჯარა, მონტაჟი/დემონტაჟი (შარტავას გამზ. #25–ის მ/ტ)</t>
  </si>
  <si>
    <t>სარეკლამო ფარის იჯარა, მონტაჟი/დემონტაჟი (მეგობრობის გამზ. იუსტიციის სახლის მ/ტ)</t>
  </si>
  <si>
    <t>18.10.2016 -05.11.2016</t>
  </si>
  <si>
    <t>სარეკლამო ფარის იჯარა, მონტაჟი/დემონტაჟი (ფოთი, აღმაშენებლის ქუჩა, თიბისი ბანკის მიმდებარედ)</t>
  </si>
  <si>
    <t>სარეკლამო ფარის იჯარა, მონტაჟი/დემონტაჟი (ფოთი, სამეგრელოს ქუჩა, საბავშვო ბაღის მიმდებარედ)</t>
  </si>
  <si>
    <t>სარეკლამო ფარის იჯარა, მონტაჟი/დემონტაჟი (ფოთი, აკაკისა და წმ. გიორგის ქუჩების კვეთასთან)</t>
  </si>
  <si>
    <t>შ.პ.ს დაჩი+</t>
  </si>
  <si>
    <t>17.10.2016-09.11.2016</t>
  </si>
  <si>
    <t>სარეკლამო ზედაპირების განთავსება კონსტრუქციებზე, მონტაჟი-დემონტაჟი განათება</t>
  </si>
  <si>
    <t>ს.პ.ს. ყალაბეგაშვილი ორიონი</t>
  </si>
  <si>
    <t>19.10.2016-31.10.2016</t>
  </si>
  <si>
    <t>გარე რეკლამა ბილბორდზე/ მონტაჟი-დემონტაჟი (ახმეტა, თელავი-ბაკურციხის ს.გზის 65-ე კმ. ქ. გურჯაანი - თავისუფლების ქუჩა</t>
  </si>
  <si>
    <t>17.10.2016-08.11.2016</t>
  </si>
  <si>
    <t>მომსახურება სარეკლამო ბანერებზე ახმეტა-თელავი-ბაკურციხის საავტომობილო გზის 64-ე კმ.(ქ. გურჯაანის შესასვლელი)</t>
  </si>
  <si>
    <t>მომსახურება სარეკლამო ბანერებზე ახმეტა-თელავი-ბაკურციხის საავტომობილო გზის 103-ე კმ.(სოფ. ბაკურციხე, წნორი-ლაგოდეხი)</t>
  </si>
  <si>
    <t>17.10.2016-11.11.2016</t>
  </si>
  <si>
    <t>გარე რეკლამა ბილბორდზე/ მონტაჟი-დემონტაჟი, თელავი აღმაშენებლის გამზირი</t>
  </si>
  <si>
    <t>შ.პ.ს შარა-გზამშენი პირველი</t>
  </si>
  <si>
    <t>19.10.2016 - 01.11.2016</t>
  </si>
  <si>
    <t>სარეკლამო ზედაპირების განთავსების მომსახურება, მონტაჟი-დემონტაჟი, განათების ჩათვლით (ქ.ხობი, ცოტნე დადიანისა და სახოკიას კვეთა)</t>
  </si>
  <si>
    <t>02.10.2016 - 30.10.2016</t>
  </si>
  <si>
    <t>ქუჩაში  გასაჭიმი სარეკლამო საშუალება, ბათუმი–ქობულეთის საავტომობილო გზის ჩაქვის მონაკვეთი, განთავსება, მონტაჟი-დემონტაჟი</t>
  </si>
  <si>
    <t>ქუჩაში  გასაჭიმი სარეკლამო საშუალება, მახინჯაურის რესტორან "მეგრულ-ლაზურის" მიმდებარედ, განთავსება, მონტაჟი-დემონტაჟი</t>
  </si>
  <si>
    <t>ქუჩაში  გასაჭიმი სარეკლამო საშუალება, ბათუმი თამარის დასახლების ცენტრი (ბნზ), განთავსება, მონტაჟი-დემონტაჟი</t>
  </si>
  <si>
    <t>ქუჩაში  გასაჭიმი სარეკლამო საშუალება, ბათუმი თამარის დასახლება (ბნზ) ლტოლვილების დასახლება, განთავსება, მონტაჟი-დემონტაჟი</t>
  </si>
  <si>
    <t>ქუჩაში  გასაჭიმი სარეკლამო საშუალება, ბათუმი ბონი-გოროდოკი მაიკოვსკის ქუჩა, განთავსება, მონტაჟი-დემონტაჟი</t>
  </si>
  <si>
    <t>ქუჩაში  გასაჭიმი სარეკლამო საშუალება, ბათუმი, მაიაკოვსკის ქუჩა (საკოლმეურნეო ბაზრის მიმდებარედ), განთავსება, მონტაჟი-დემონტაჟი</t>
  </si>
  <si>
    <t>ქუჩაში  გასაჭიმი სარეკლამო საშუალება, ბათუმი ბარცხანის ხიდის მიმდებარედ, განთავსება, მონტაჟი-დემონტაჟი</t>
  </si>
  <si>
    <t>ქუჩაში  გასაჭიმი სარეკლამო საშუალება, ბათუმი ტაბიძის ქუჩა, განთავსება, მონტაჟი-დემონტაჟი</t>
  </si>
  <si>
    <t>ქუჩაში  გასაჭიმი სარეკლამო საშუალება, ბათუმი გორგილაძის ქ. "გუდვილის" მიმდებარედ, განთავსება, მონტაჟი-დემონტაჟი</t>
  </si>
  <si>
    <t>ქუჩაში  გასაჭიმი სარეკლამო საშუალება, ბათუმი აეროპორტის გზატკეცილი, აეროპორტის მიმდებარედ, განთავსება, მონტაჟი-დემონტაჟი</t>
  </si>
  <si>
    <t>ქუჩაში  გასაჭიმი სარეკლამო საშუალება, ბათუმი–სარფის საავტომობილო მაგისტრალის გონიოს მონაკვეთი (გონიოს ციხის მიმდებარედ), განთავსება, მონტაჟი-დემონტაჟი</t>
  </si>
  <si>
    <t>ქუჩაში  გასაჭიმი სარეკლამო საშუალება, ბათუმი–სარფის საავტომობილო მაგისტრალის ახალსოფლის მონაკვეთი, განთავსება, მონტაჟი-დემონტაჟი</t>
  </si>
  <si>
    <t>ქუჩაში  გასაჭიმი სარეკლამო საშუალება, ხელვაჩური ფრ. ხალვაში გამზირი, საქ. დარბაზ "ლიდერის" მიმდებარედ, განთავსება, მონტაჟი-დემონტაჟი</t>
  </si>
  <si>
    <t>ქუჩაში  გასაჭიმი სარეკლამო საშუალება, ხელვაჩაური ფრ. ხალვაშის გამზირი, კახაბრის ქ. კვეთაში, განთავსება, მონტაჟი-დემონტაჟი</t>
  </si>
  <si>
    <t>ქუჩაში  გასაჭიმი სარეკლამო საშუალება, ხელვაჩური ფრ. ხალვაშის გამზირი, მახვილაურის ქ. კვეთაში, განთავსება, მონტაჟი-დემონტაჟი</t>
  </si>
  <si>
    <t>ქუჩაში  გასაჭიმი სარეკლამო საშუალება, ხელვაჩური ფრიდონ ხალვაშის გამზირი, სამრეწველო ზონის ცენტრში, განთავსება, მონტაჟი-დემონტაჟი</t>
  </si>
  <si>
    <t>  ქუჩაში  გასაჭიმი სარეკლამო საშუალება, ბათუმი, მელიქიშვილისა და პუშკინის ქუჩების მიმდებარედ, განთავსება, მონტაჟი-დემონტაჟი</t>
  </si>
  <si>
    <t>  ქუჩაში  გასაჭიმი სარეკლამო საშუალება, ბათუმი მელიქიშვილისა და ბესიკის ქუჩების კვეთა, განთავსება, მონტაჟი-დემონტაჟი</t>
  </si>
  <si>
    <t xml:space="preserve"> ქუჩაში  გასაჭიმი სარეკლამო საშუალება, ბათუმი. მელიქიშვილისა და ბაგრატიონის ქუჩების კვეთა, განთავსება, მონტაჟი-დემონტაჟი</t>
  </si>
  <si>
    <t>  ქუჩაში  გასაჭიმი სარეკლამო საშუალება, ბათუმი,  26 მაისის ქუჩა, განთავსება, მონტაჟი-დემონტაჟი</t>
  </si>
  <si>
    <t>  ქუჩაში  გასაჭიმი სარეკლამო საშუალება, ბათუმი, დ.თავდადებულისა და ბესიკის ქჩების მიმდებარედ, განთავსება, მონტაჟი-დემონტაჟი</t>
  </si>
  <si>
    <t>  ქუჩაში  გასაჭიმი სარეკლამო საშუალება, ბათუმი, დ.თავდადებულისა და მთისძირის ქუჩების მიმდებარედ, განთავსება, მონტაჟი-დემონტაჟი</t>
  </si>
  <si>
    <t>  ქუჩაში  გასაჭიმი სარეკლამო საშუალება, ბათუმი, ლერმონტოვისა და პუშკინის ქჩების მიმდრბარედ, განთავსება, მონტაჟი-დემონტაჟი</t>
  </si>
  <si>
    <t xml:space="preserve"> ქუჩაში  გასაჭიმი სარეკლამო საშუალება, ბათუმი, მამია ვარშანიძის ქუჩა #257 მიმდებარედ, განთავსება, მონტაჟი-დემონტაჟი</t>
  </si>
  <si>
    <t xml:space="preserve"> ქუჩაში  გასაჭიმი სარეკლამო საშუალება, ბათუმი, ორბელიანისა და ჯავახიშვილის ქუჩების მიმდებარედ, განთავსება, მონტაჟი-დემონტაჟი</t>
  </si>
  <si>
    <t xml:space="preserve"> ქუჩაში  გასაჭიმი სარეკლამო საშუალება, ბათუმი, პუშკინისა და ვაჟა–ფშაველას ქუჩების მიმდებარედ, განთავსება, მონტაჟი-დემონტაჟი</t>
  </si>
  <si>
    <t>ქუჩაში  გასაჭიმი სარეკლამო საშუალება, ბათუმი, პუშკინისა და ს.ხიმშიაშვილის ქუჩების მიმდებარედ, განთავსება, მონტაჟი-დემონტაჟი</t>
  </si>
  <si>
    <t xml:space="preserve"> ქუჩაში  გასაჭიმი სარეკლამო საშუალება, ბათუმი, ბონის კულტურის სახლის მიმდებარედ, განთავსება, მონტაჟი-დემონტაჟი</t>
  </si>
  <si>
    <t xml:space="preserve"> ქუჩაში  გასაჭიმი სარეკლამო საშუალება, ბათუმი, ფ.ხალვაშისა და ბეთლემის ქუჩების მიმდებარედ, განთავსება, მონტაჟი-დემონტაჟი</t>
  </si>
  <si>
    <t>13.10.2016 - 14.10.2016</t>
  </si>
  <si>
    <t>სარეკლამო ვიზუალის ბეჭდვა/მონტაჟი-დემონტაჟი (სამი ლოკაცია: ხულო, ქედა, შუახევი)</t>
  </si>
  <si>
    <t>21.10.2016 - 31.10.2016</t>
  </si>
  <si>
    <t>სარეკლამო ვიზუალის ბეჭდვა/მონტაჟი-დემონტაჟი</t>
  </si>
  <si>
    <t>30.10.2016 - 31.10.2016</t>
  </si>
  <si>
    <t>18.10.2016 - 13.11.2016</t>
  </si>
  <si>
    <t>სარეკლამო კონსტრუქციის იჯარა/მონტაჟი-დემონტაჟი - კასპი, სააკაძის ქ. N 7</t>
  </si>
  <si>
    <t>სარეკლამო კონსტრუქციის იჯარა/მონტაჟი-დემონტაჟი - კასპი, აღმაშენებლის ქ. N 2</t>
  </si>
  <si>
    <t>სარეკლამო კონსტრუქციის იჯარა/მონტაჟი-დემონტაჟი - მცხეთა, სოფ. მუხრანი</t>
  </si>
  <si>
    <t>სარეკლამო კონსტრუქციის იჯარა/მონტაჟი-დემონტაჟი - მცხეთა, სოფ. საგურამო</t>
  </si>
  <si>
    <t>სარეკლამო კონსტრუქციის იჯარა/მონტაჟი-დემონტაჟი - მცხეთა, სოფ. წეროვანი</t>
  </si>
  <si>
    <t>18.10.2016 - 19.10.2016</t>
  </si>
  <si>
    <t>25.10.2016 - 29.10.2016</t>
  </si>
  <si>
    <t>სარეკლამო მონიტორებზე სარეკლამო კლიპების განთავსება/ გლდანი, ილია ვეკუას 14-ში (დღეში 250 ჩვენება)</t>
  </si>
  <si>
    <t>18.10.2016 - 20.10.2016</t>
  </si>
  <si>
    <t>სარეკლამო ფარის იჯარა, ზედაპირის ბეჭდვა, მონტაჟი/დემონტაჟი (გაგარინის 1)</t>
  </si>
  <si>
    <t>17.10.2016 -30.10.2016</t>
  </si>
  <si>
    <t>სარეკლამო ფარის იჯარა, მონტაჟი/დემონტაჟი (მუხიანი დუმბაძის ქ.)</t>
  </si>
  <si>
    <t>სარეკლამო ფარის იჯარა, მონტაჟი/დემონტაჟი (გლდანი-ავტოსადგურთან)</t>
  </si>
  <si>
    <t>სარეკლამო ზედაპირების იჯარა, მონტაჟი/დემონტაჟი (ჩხოროწყუ)</t>
  </si>
  <si>
    <t>26.10.2016 - 28.10.2016</t>
  </si>
  <si>
    <t>ლოკაც. რაოდ.</t>
  </si>
  <si>
    <t>სარეკლამო სტიკერების მონტაჟი</t>
  </si>
  <si>
    <t>26.10.2016 - 01.11.2016</t>
  </si>
  <si>
    <t>სარეკლამო ზედაპირების ბეჭდვა/მონტაჟი-დემონტაჟი თბილისი/ რეგიონები</t>
  </si>
  <si>
    <t>შ.პ.ს მედია ჯგუფი</t>
  </si>
  <si>
    <t>26.10.2016 -29.10.2016</t>
  </si>
  <si>
    <t>პოლიტიკური სარეკლამო აუდიო კლიპების რადიო ეთერში განთავსება (AGFM)</t>
  </si>
  <si>
    <t>17.10.2016 -03.11.2016</t>
  </si>
  <si>
    <t>სარეკლამო კონსტრუქციის იჯარა/მონტაჟი-დემონტაჟი, ქ.წალენჯიხა, სალიას ქ. N 6 (ცენტრალური ბაზრის წინ)</t>
  </si>
  <si>
    <t>შპს ოდისია პრომოუშენ</t>
  </si>
  <si>
    <t>17.10.2016 -08.11.2016</t>
  </si>
  <si>
    <t>სარეკლამო ფარის დაქირავების საფასური ქ. ფოთი, რუსთაველის რკალი N 5</t>
  </si>
  <si>
    <t>შ.პ.ს. აჭარის სარეკლამო კომპანია</t>
  </si>
  <si>
    <t>20.10.2016 - 30.10.2016</t>
  </si>
  <si>
    <t>სარეკლამო ფარის დაქირავების საფასური, მახინჯაური, ცენტრალური მაგისტრალი, რკინიგზის ხიდის ქვეშ (გვირაბთან)</t>
  </si>
  <si>
    <t>21.10.2016 - 30.10.2016</t>
  </si>
  <si>
    <t>სატრანსპორტო საშუალებაზე (ავტობუსი, სახ. ნომ. JMJ374) სარეკლამო ბანერით მომსახურება</t>
  </si>
  <si>
    <t>სიხარულიძე გიორგი ი/მ</t>
  </si>
  <si>
    <t>12.10.2016 - 05.11.2016</t>
  </si>
  <si>
    <t>სარეკლამო ფარის დაქირავების საფასური, ქ.თბილისი, ლუბლიანას ქ. N 56</t>
  </si>
  <si>
    <t>27.10.2016 - 29.10.2016</t>
  </si>
  <si>
    <t>წმ.</t>
  </si>
  <si>
    <t>სატელევიზიო რეკლამა, ტელეკომპანია რიონის ეთერში.</t>
  </si>
  <si>
    <t>01.09.2016 - 14.10.2016</t>
  </si>
  <si>
    <t>ბანერების (986.63 კვ.მ.) და სტიკერების (128.53 კვ.მ.) ბეჭდვა</t>
  </si>
  <si>
    <t>მონტაჟი-დემონტაჟის მომსახურება</t>
  </si>
  <si>
    <t>შ.პ.ს. ეიდიესეს პრინტი</t>
  </si>
  <si>
    <t>საარჩევნო ბლოკი ქართული ოცნება</t>
  </si>
  <si>
    <t>გოჩა ჯამარაული</t>
  </si>
  <si>
    <t>კვმ</t>
  </si>
  <si>
    <t>ბანერის დამზადება</t>
  </si>
  <si>
    <t>შ.პ.ს. პანორამა</t>
  </si>
  <si>
    <t>შ.პ.ს. გარდაბანგანათების კომუნალური განვითარებისა და კეთილმოწყობის სამსახური</t>
  </si>
  <si>
    <t>404 კვ.მ</t>
  </si>
  <si>
    <t>ბანერის განთავსება</t>
  </si>
  <si>
    <t>ნონა ტუნაძე</t>
  </si>
  <si>
    <t xml:space="preserve">ბანერის დამზადება </t>
  </si>
  <si>
    <t>ვასილ ჩიგოგიძე</t>
  </si>
  <si>
    <t>მურადი ზაქარიაძე</t>
  </si>
  <si>
    <t>ოზურგეთის მუნიციპალიტეტის ა(ა)იპ მუნიციპალური მომსახურეობის ცენტრი</t>
  </si>
  <si>
    <t>ბანერის განთავსება (ორმხრივი)</t>
  </si>
  <si>
    <t>ოზურგეთის მუნიციპალიტეტის ა(ა)იპ ოზურგეთის სერვის ცენტრი</t>
  </si>
  <si>
    <t>09,10-30,10</t>
  </si>
  <si>
    <t>GE51CR0000000004933608</t>
  </si>
  <si>
    <t>GEL</t>
  </si>
  <si>
    <t>5/16/2012</t>
  </si>
  <si>
    <t>GE72CR0000000004933618</t>
  </si>
  <si>
    <t>USD</t>
  </si>
  <si>
    <t>EURO</t>
  </si>
  <si>
    <t>GE09CR0000002049644506</t>
  </si>
  <si>
    <t>GE78CR0000002049654516</t>
  </si>
  <si>
    <t>GE29CR0000002049664516</t>
  </si>
  <si>
    <t>საარჩევნო კომისიებში წარმომადგენელთა ხარჯი</t>
  </si>
  <si>
    <t>საარჩევნო კომისიებში წარმომადგენელთა ხარჯი (საქვეანგარიშოდ)</t>
  </si>
  <si>
    <t>თანხის დაბრუნება ანგარიშვალდებული პირის მიერ</t>
  </si>
  <si>
    <t>02/18/2016</t>
  </si>
  <si>
    <t>შეტანილია ბანკში</t>
  </si>
  <si>
    <t>05/30/2016</t>
  </si>
  <si>
    <t>წარმომადგენლების თანხა</t>
  </si>
  <si>
    <t>წარმომადგენლების თანხა (საქვეანგარიშოდ)</t>
  </si>
  <si>
    <t>თანხის დაბრუნება</t>
  </si>
  <si>
    <t>11.15.2016</t>
  </si>
  <si>
    <t>11,16,2016</t>
  </si>
  <si>
    <t>11/30/2016</t>
  </si>
  <si>
    <t>თანხის შეტანა ბანკში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</si>
  <si>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</si>
  <si>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</si>
  <si>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</si>
  <si>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</si>
  <si>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</si>
  <si>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</si>
  <si>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</si>
  <si>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</si>
  <si>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</si>
  <si>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</si>
  <si>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</si>
  <si>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</si>
  <si>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</si>
  <si>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</si>
  <si>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</si>
  <si>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</si>
  <si>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</si>
  <si>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</si>
  <si>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ფორმა N9,5 - იჯარით/ქირით აღებული სატრანსპორტო საშუალებების რეესტრი</t>
  </si>
  <si>
    <t>სატვირთო</t>
  </si>
  <si>
    <t>მერსედეს-ბენცი</t>
  </si>
  <si>
    <t>d-814</t>
  </si>
  <si>
    <t>NON953</t>
  </si>
  <si>
    <t>შ,პ,ს, ელიტა ბურჯი</t>
  </si>
  <si>
    <t>ავტობუსი</t>
  </si>
  <si>
    <t>VOLKSWAGEN</t>
  </si>
  <si>
    <t>LT35 D</t>
  </si>
  <si>
    <t>RM777ZA</t>
  </si>
  <si>
    <t>438107987</t>
  </si>
  <si>
    <t>შპს გოგი</t>
  </si>
  <si>
    <t xml:space="preserve">FORD </t>
  </si>
  <si>
    <t>TRANSIT</t>
  </si>
  <si>
    <t>1992</t>
  </si>
  <si>
    <t>BAL 151</t>
  </si>
  <si>
    <t>216394391</t>
  </si>
  <si>
    <t xml:space="preserve">შპს, ტრანს-ექსპრეს 202 </t>
  </si>
  <si>
    <t>MERCEDES-BENZ</t>
  </si>
  <si>
    <t>SPRINTER313CDI</t>
  </si>
  <si>
    <t>2006</t>
  </si>
  <si>
    <t>RA200FK</t>
  </si>
  <si>
    <t>416303048</t>
  </si>
  <si>
    <t>შპს "ჟღენტი და ტრანსკომპანია</t>
  </si>
  <si>
    <t>TRANSIT350LTDI</t>
  </si>
  <si>
    <t>2000</t>
  </si>
  <si>
    <t>QKQ601</t>
  </si>
  <si>
    <t>FORD</t>
  </si>
  <si>
    <t>TRANSIT 100 L</t>
  </si>
  <si>
    <t>1999</t>
  </si>
  <si>
    <t>RR762GG</t>
  </si>
  <si>
    <t>SPRINTER310D-Ka</t>
  </si>
  <si>
    <t>1997</t>
  </si>
  <si>
    <t>YCY102</t>
  </si>
  <si>
    <t>434160070</t>
  </si>
  <si>
    <t>შპს ექსპრეს-ტურისტი</t>
  </si>
  <si>
    <t>411 CDI</t>
  </si>
  <si>
    <t>2002</t>
  </si>
  <si>
    <t>FZF 133</t>
  </si>
  <si>
    <t>436032507</t>
  </si>
  <si>
    <t>შპს მცხეთა ავტო</t>
  </si>
  <si>
    <t>MAN</t>
  </si>
  <si>
    <t>311,180 HOCL</t>
  </si>
  <si>
    <t>1990</t>
  </si>
  <si>
    <t>CWC947</t>
  </si>
  <si>
    <t>417881046</t>
  </si>
  <si>
    <t>შპს ბუქო-777</t>
  </si>
  <si>
    <t>TRANSIT 350 LWB TD</t>
  </si>
  <si>
    <t>BS947BS</t>
  </si>
  <si>
    <t>MERCEDES</t>
  </si>
  <si>
    <t>313CDI</t>
  </si>
  <si>
    <t>2003</t>
  </si>
  <si>
    <t>ZSW 777</t>
  </si>
  <si>
    <t>240907783</t>
  </si>
  <si>
    <t>შპს, გიორგი</t>
  </si>
  <si>
    <t>SPRINTER 313 CDI</t>
  </si>
  <si>
    <t>GEH 444</t>
  </si>
  <si>
    <t>TRANSIT 190 LD</t>
  </si>
  <si>
    <t>1998</t>
  </si>
  <si>
    <t>LFL 045</t>
  </si>
  <si>
    <t xml:space="preserve"> MERCEDEC-BENZ</t>
  </si>
  <si>
    <t xml:space="preserve">TURIZMO </t>
  </si>
  <si>
    <t>GG348CC</t>
  </si>
  <si>
    <t>412716770</t>
  </si>
  <si>
    <t>შპს თანამგზავრი</t>
  </si>
  <si>
    <t>311CDI</t>
  </si>
  <si>
    <t>2004</t>
  </si>
  <si>
    <t>DFD151</t>
  </si>
  <si>
    <t>IVECO</t>
  </si>
  <si>
    <t>391 E</t>
  </si>
  <si>
    <t>ZA080ZA</t>
  </si>
  <si>
    <t>445454721</t>
  </si>
  <si>
    <t>შპს სელპანტინი ბათუმი</t>
  </si>
  <si>
    <t xml:space="preserve">NEOPLAN </t>
  </si>
  <si>
    <t>N516 SHD H</t>
  </si>
  <si>
    <t>MB544BM</t>
  </si>
  <si>
    <t xml:space="preserve">VOLKSWAGEN </t>
  </si>
  <si>
    <t>LT35</t>
  </si>
  <si>
    <t>LEO 022</t>
  </si>
  <si>
    <t>24675450</t>
  </si>
  <si>
    <t xml:space="preserve"> შპს ქედის ავტოსატრანსპორტო საწარმო</t>
  </si>
  <si>
    <t xml:space="preserve">MERCEDES BENC </t>
  </si>
  <si>
    <t>310</t>
  </si>
  <si>
    <t>GAS189</t>
  </si>
  <si>
    <t>246954247</t>
  </si>
  <si>
    <t>შპს ხუტა</t>
  </si>
  <si>
    <t>MERCEDES BENC</t>
  </si>
  <si>
    <t>410 D</t>
  </si>
  <si>
    <t>AA716XX</t>
  </si>
  <si>
    <t>13001045233</t>
  </si>
  <si>
    <t>ალექსანდრე ჭანყოშვილი</t>
  </si>
  <si>
    <t>MERSEDES_BENZ</t>
  </si>
  <si>
    <t>SPRINTER</t>
  </si>
  <si>
    <t>AM999RN</t>
  </si>
  <si>
    <t>14001021323</t>
  </si>
  <si>
    <t>ამირან ქისტაური</t>
  </si>
  <si>
    <t>TRANSIT 100GL 2,5D</t>
  </si>
  <si>
    <t>MMW649</t>
  </si>
  <si>
    <t>14001007817</t>
  </si>
  <si>
    <t>ომარ ცისკარაული</t>
  </si>
  <si>
    <t>BB292QQ</t>
  </si>
  <si>
    <t>01027032746</t>
  </si>
  <si>
    <t>ნიკოლოზ ციმაკურიძე</t>
  </si>
  <si>
    <t>SPRINTER 310 D</t>
  </si>
  <si>
    <t>ZII123</t>
  </si>
  <si>
    <t>44001000864</t>
  </si>
  <si>
    <t>ზეზვა ხეთაგური</t>
  </si>
  <si>
    <t>316 CDI</t>
  </si>
  <si>
    <t>AA522LL</t>
  </si>
  <si>
    <t>24001031831</t>
  </si>
  <si>
    <t>FORD TRANSIT</t>
  </si>
  <si>
    <t>2,5 D</t>
  </si>
  <si>
    <t>KIZ 894</t>
  </si>
  <si>
    <t>24001009357</t>
  </si>
  <si>
    <t>ვაჟა კიტრიაშვილი</t>
  </si>
  <si>
    <t>MERCEDES BENZ</t>
  </si>
  <si>
    <t>312 D</t>
  </si>
  <si>
    <t>BC242BF</t>
  </si>
  <si>
    <t>57001009392</t>
  </si>
  <si>
    <t>ალექსი ჩადუნელი</t>
  </si>
  <si>
    <t>SPRINTER903 KA</t>
  </si>
  <si>
    <t>JO123RJ</t>
  </si>
  <si>
    <t>11001011069</t>
  </si>
  <si>
    <t>გიორგი ჩადუნელი</t>
  </si>
  <si>
    <t>HBH020</t>
  </si>
  <si>
    <t>07001019898</t>
  </si>
  <si>
    <t>ნორაირ მანასიანი</t>
  </si>
  <si>
    <t>1995</t>
  </si>
  <si>
    <t>SSA776</t>
  </si>
  <si>
    <t>34001000014</t>
  </si>
  <si>
    <t>მინდია სულაზე</t>
  </si>
  <si>
    <t xml:space="preserve">MERCEDES- BENZ </t>
  </si>
  <si>
    <t xml:space="preserve">  312 D</t>
  </si>
  <si>
    <t>RVR 770</t>
  </si>
  <si>
    <t>49001004532</t>
  </si>
  <si>
    <t>გიორგი ფანჯავიძე</t>
  </si>
  <si>
    <t>906 KA 35</t>
  </si>
  <si>
    <t>2008</t>
  </si>
  <si>
    <t>GOD013</t>
  </si>
  <si>
    <t>09001019111</t>
  </si>
  <si>
    <t>გოდერძი აბულაძე</t>
  </si>
  <si>
    <t>TRANSIT 125 T350</t>
  </si>
  <si>
    <t>KZK 255</t>
  </si>
  <si>
    <t>56001006616</t>
  </si>
  <si>
    <t>სოსო ლურსმანაშვილი</t>
  </si>
  <si>
    <t>MERSEDES-BENZ</t>
  </si>
  <si>
    <t>SPRINTER 312 D</t>
  </si>
  <si>
    <t>1996</t>
  </si>
  <si>
    <t>KPK 518</t>
  </si>
  <si>
    <t>17001004008</t>
  </si>
  <si>
    <t>მინდია ცხვარაძე</t>
  </si>
  <si>
    <t>SPRINTER 416 CDI</t>
  </si>
  <si>
    <t>MN467NM</t>
  </si>
  <si>
    <t>17001010028</t>
  </si>
  <si>
    <t>სულხან როხვაძე</t>
  </si>
  <si>
    <t>MERC BENC</t>
  </si>
  <si>
    <t>316CDI</t>
  </si>
  <si>
    <t>2001</t>
  </si>
  <si>
    <t>EVE 423</t>
  </si>
  <si>
    <t>54001011131</t>
  </si>
  <si>
    <t>ზაზა შეყლაშვილი</t>
  </si>
  <si>
    <t>BF576FB</t>
  </si>
  <si>
    <t>55001001515</t>
  </si>
  <si>
    <t>კახა ფანცულაია</t>
  </si>
  <si>
    <t>RA001MO</t>
  </si>
  <si>
    <t>46001002254</t>
  </si>
  <si>
    <t>რამაზი უნგიაძე</t>
  </si>
  <si>
    <t>DODGE</t>
  </si>
  <si>
    <t>SPRINTER 2500</t>
  </si>
  <si>
    <t>2005</t>
  </si>
  <si>
    <t>SSB605</t>
  </si>
  <si>
    <t>მანუჩარ ბერაია</t>
  </si>
  <si>
    <t>SPRINTER 412CDI</t>
  </si>
  <si>
    <t>TTS-980</t>
  </si>
  <si>
    <t>39001008813</t>
  </si>
  <si>
    <t>აკაკი ჯიჯელავა</t>
  </si>
  <si>
    <t>SETRA</t>
  </si>
  <si>
    <t xml:space="preserve"> S315 HD</t>
  </si>
  <si>
    <t>SST080</t>
  </si>
  <si>
    <t>19001003204</t>
  </si>
  <si>
    <t>ზურაბი კეზუა</t>
  </si>
  <si>
    <t>SPRINTER 412 D-KA</t>
  </si>
  <si>
    <t>VVI182</t>
  </si>
  <si>
    <t>48001004163</t>
  </si>
  <si>
    <t>რამინ დარსალია</t>
  </si>
  <si>
    <t>TRANSIT 190 LTD</t>
  </si>
  <si>
    <t>LLS148</t>
  </si>
  <si>
    <t>61009011589</t>
  </si>
  <si>
    <t>მერაბ მარკოიძე</t>
  </si>
  <si>
    <t>SPRINTER 208</t>
  </si>
  <si>
    <t>KZK589</t>
  </si>
  <si>
    <t>61009004233</t>
  </si>
  <si>
    <t>ჯაბა</t>
  </si>
  <si>
    <t>აბულაძე</t>
  </si>
  <si>
    <t xml:space="preserve"> TRANSIT</t>
  </si>
  <si>
    <t>AB900GV</t>
  </si>
  <si>
    <t>05001004200</t>
  </si>
  <si>
    <t xml:space="preserve">აბესალომ </t>
  </si>
  <si>
    <t>გვირჯიშვილი</t>
  </si>
  <si>
    <t>TRANSIT/BUS</t>
  </si>
  <si>
    <t>AK020KA</t>
  </si>
  <si>
    <t>07001001163</t>
  </si>
  <si>
    <t xml:space="preserve">გევორგ </t>
  </si>
  <si>
    <t>დარბინიანი</t>
  </si>
  <si>
    <t>VAN HOOL</t>
  </si>
  <si>
    <t>HOOL AC18</t>
  </si>
  <si>
    <t>UT001KA</t>
  </si>
  <si>
    <t>48001000828</t>
  </si>
  <si>
    <t xml:space="preserve">ზაზა </t>
  </si>
  <si>
    <t>გახარია</t>
  </si>
  <si>
    <t>GO088GI</t>
  </si>
  <si>
    <t>61001019360</t>
  </si>
  <si>
    <t xml:space="preserve">ჯემალ </t>
  </si>
  <si>
    <t>კახიძე</t>
  </si>
  <si>
    <t xml:space="preserve">MERCEDES-BENZ </t>
  </si>
  <si>
    <t>CSS 063</t>
  </si>
  <si>
    <t>230095802</t>
  </si>
  <si>
    <t>შპს მეგზური+</t>
  </si>
  <si>
    <t>416 CDI</t>
  </si>
  <si>
    <t>QTQ 525</t>
  </si>
  <si>
    <t>208 D</t>
  </si>
  <si>
    <t>1994</t>
  </si>
  <si>
    <t>SMT819</t>
  </si>
  <si>
    <t>GJA001</t>
  </si>
  <si>
    <t>310 D</t>
  </si>
  <si>
    <t>VRJ 777</t>
  </si>
  <si>
    <t>207 D</t>
  </si>
  <si>
    <t>LEV 812</t>
  </si>
  <si>
    <t>313 CDI</t>
  </si>
  <si>
    <t>NEN 991</t>
  </si>
  <si>
    <t>413 CDI</t>
  </si>
  <si>
    <t>2201</t>
  </si>
  <si>
    <t>BN455NB</t>
  </si>
  <si>
    <t>UHU991</t>
  </si>
  <si>
    <t>BB499XX</t>
  </si>
  <si>
    <t>903D</t>
  </si>
  <si>
    <t>NYM 771</t>
  </si>
  <si>
    <t>RF696 FR</t>
  </si>
  <si>
    <t>311 CDI</t>
  </si>
  <si>
    <t>2007</t>
  </si>
  <si>
    <t>CDI 311</t>
  </si>
  <si>
    <t>OBO462</t>
  </si>
  <si>
    <t>208 D-KA</t>
  </si>
  <si>
    <t>EZE334</t>
  </si>
  <si>
    <t xml:space="preserve">FREIGHTLINER </t>
  </si>
  <si>
    <t xml:space="preserve"> SPRINTER</t>
  </si>
  <si>
    <t>SP111RD</t>
  </si>
  <si>
    <t>XSO-777</t>
  </si>
  <si>
    <t xml:space="preserve">FORD  </t>
  </si>
  <si>
    <t>TRANSIT 100 GL 2,5 D</t>
  </si>
  <si>
    <t>DNO396</t>
  </si>
  <si>
    <t>TRANSIT 190 L</t>
  </si>
  <si>
    <t>AD-810-AA</t>
  </si>
  <si>
    <t xml:space="preserve">TRANSIT </t>
  </si>
  <si>
    <t>WFW-569</t>
  </si>
  <si>
    <t>LLT-512</t>
  </si>
  <si>
    <t xml:space="preserve">FORD TRANSIT </t>
  </si>
  <si>
    <t>AD-296-DC</t>
  </si>
  <si>
    <t>BBP676</t>
  </si>
  <si>
    <t>VA-455-IA</t>
  </si>
  <si>
    <t>KET-315</t>
  </si>
  <si>
    <t>GB888IU</t>
  </si>
  <si>
    <t>EME039</t>
  </si>
  <si>
    <t>HUH730</t>
  </si>
  <si>
    <t>KOX100</t>
  </si>
  <si>
    <t>MERC EDES-BENZ</t>
  </si>
  <si>
    <t>WOW923</t>
  </si>
  <si>
    <t>TRANSIT 2,5D</t>
  </si>
  <si>
    <t>BB629XX</t>
  </si>
  <si>
    <t>409 D</t>
  </si>
  <si>
    <t>CII 190</t>
  </si>
  <si>
    <t>NG215GN</t>
  </si>
  <si>
    <t>TRANSIT 100</t>
  </si>
  <si>
    <t>VW485WV</t>
  </si>
  <si>
    <t>MMH507</t>
  </si>
  <si>
    <t>СQ585QC</t>
  </si>
  <si>
    <t>408D</t>
  </si>
  <si>
    <t>SMK688</t>
  </si>
  <si>
    <t>TRANSIT 350 L</t>
  </si>
  <si>
    <t>LBL835</t>
  </si>
  <si>
    <t>WBW686</t>
  </si>
  <si>
    <t>208 2,3 D</t>
  </si>
  <si>
    <t>AO042AA</t>
  </si>
  <si>
    <t>DAIMLER</t>
  </si>
  <si>
    <t>CHRYSLER</t>
  </si>
  <si>
    <t>RVR855</t>
  </si>
  <si>
    <t xml:space="preserve">711 D </t>
  </si>
  <si>
    <t>BB977WW</t>
  </si>
  <si>
    <t>VKV021</t>
  </si>
  <si>
    <t>210 O</t>
  </si>
  <si>
    <t>MMW405</t>
  </si>
  <si>
    <t>KPK369</t>
  </si>
  <si>
    <t>EEZ210</t>
  </si>
  <si>
    <t>DYD771</t>
  </si>
  <si>
    <t>BS326SB</t>
  </si>
  <si>
    <t>TRANSIT 160 L</t>
  </si>
  <si>
    <t>JUS223</t>
  </si>
  <si>
    <t>208 CDI</t>
  </si>
  <si>
    <t>CMC970</t>
  </si>
  <si>
    <t>GBG690</t>
  </si>
  <si>
    <t>SS407VV</t>
  </si>
  <si>
    <t>TRANSIT BUS</t>
  </si>
  <si>
    <t>GOG-795</t>
  </si>
  <si>
    <t>TRANSIT 100L</t>
  </si>
  <si>
    <t>LLC710</t>
  </si>
  <si>
    <t>HBH747</t>
  </si>
  <si>
    <t>210 D</t>
  </si>
  <si>
    <t>OCO582</t>
  </si>
  <si>
    <t>TURNEO 100 LD</t>
  </si>
  <si>
    <t>BW930BW</t>
  </si>
  <si>
    <t>SPRINTER 208 D</t>
  </si>
  <si>
    <t>CC704CG</t>
  </si>
  <si>
    <t>307 D</t>
  </si>
  <si>
    <t>GOK700</t>
  </si>
  <si>
    <t>TD612DT</t>
  </si>
  <si>
    <t>HIH830</t>
  </si>
  <si>
    <t>814 D</t>
  </si>
  <si>
    <t>EVE646</t>
  </si>
  <si>
    <t>JONCKHEERE</t>
  </si>
  <si>
    <t>DAF JONCKHEERE</t>
  </si>
  <si>
    <t>LLC094</t>
  </si>
  <si>
    <t>SGM111</t>
  </si>
  <si>
    <t>LL905MM</t>
  </si>
  <si>
    <t>209DKA</t>
  </si>
  <si>
    <t>BSS168</t>
  </si>
  <si>
    <t>312D-KA</t>
  </si>
  <si>
    <t>LBL454</t>
  </si>
  <si>
    <t>TRANSIT 150 L</t>
  </si>
  <si>
    <t>LLT874</t>
  </si>
  <si>
    <t>310 D-KA</t>
  </si>
  <si>
    <t>LCL608</t>
  </si>
  <si>
    <t>QNQ761</t>
  </si>
  <si>
    <t>FOT397</t>
  </si>
  <si>
    <t>ABB903</t>
  </si>
  <si>
    <t>LT 46</t>
  </si>
  <si>
    <t>FZF698</t>
  </si>
  <si>
    <t>AY150YA</t>
  </si>
  <si>
    <t>308 D</t>
  </si>
  <si>
    <t>DZD669</t>
  </si>
  <si>
    <t>4102,9 D</t>
  </si>
  <si>
    <t>DBI998</t>
  </si>
  <si>
    <t>XTX936</t>
  </si>
  <si>
    <t>ZV300DI</t>
  </si>
  <si>
    <t>XGX566</t>
  </si>
  <si>
    <t>GAA198</t>
  </si>
  <si>
    <t>BN930NB</t>
  </si>
  <si>
    <t>REV247</t>
  </si>
  <si>
    <t>GJG415</t>
  </si>
  <si>
    <t>XPX623</t>
  </si>
  <si>
    <t>612 D</t>
  </si>
  <si>
    <t>YIY357</t>
  </si>
  <si>
    <t>MFC338</t>
  </si>
  <si>
    <t>SSE845</t>
  </si>
  <si>
    <t>SH700AX</t>
  </si>
  <si>
    <t>RVR190</t>
  </si>
  <si>
    <t>VNV565</t>
  </si>
  <si>
    <t>BOS210</t>
  </si>
  <si>
    <t>RF112FR</t>
  </si>
  <si>
    <t>SPRINTER 412 D</t>
  </si>
  <si>
    <t>ENE936</t>
  </si>
  <si>
    <t>BF125BF</t>
  </si>
  <si>
    <t>SMT805</t>
  </si>
  <si>
    <t>314 KA</t>
  </si>
  <si>
    <t>ENE997</t>
  </si>
  <si>
    <t>VolksWagen</t>
  </si>
  <si>
    <t>LT28</t>
  </si>
  <si>
    <t>CSS562</t>
  </si>
  <si>
    <t>Mercedes-Benc</t>
  </si>
  <si>
    <t>208D</t>
  </si>
  <si>
    <t>ATA159</t>
  </si>
  <si>
    <t>GG018VV</t>
  </si>
  <si>
    <t xml:space="preserve">Ford </t>
  </si>
  <si>
    <t>Transit</t>
  </si>
  <si>
    <t>1991</t>
  </si>
  <si>
    <t>WFW569</t>
  </si>
  <si>
    <t>AAX526</t>
  </si>
  <si>
    <t>OHO545</t>
  </si>
  <si>
    <t>Transit 100 I</t>
  </si>
  <si>
    <t>BA514AB</t>
  </si>
  <si>
    <t>GAL091</t>
  </si>
  <si>
    <t>308D</t>
  </si>
  <si>
    <t>CSS8544</t>
  </si>
  <si>
    <t>312D</t>
  </si>
  <si>
    <t>WVV492</t>
  </si>
  <si>
    <t>1988</t>
  </si>
  <si>
    <t>AEL698</t>
  </si>
  <si>
    <t>Sprinter 2,3</t>
  </si>
  <si>
    <t>LLT675</t>
  </si>
  <si>
    <t>OKR261</t>
  </si>
  <si>
    <t>Ford Transit</t>
  </si>
  <si>
    <t>1501</t>
  </si>
  <si>
    <t>BC467DB</t>
  </si>
  <si>
    <t>LSS539</t>
  </si>
  <si>
    <t>190 I</t>
  </si>
  <si>
    <t>GXG438</t>
  </si>
  <si>
    <t>903 KA</t>
  </si>
  <si>
    <t>VVS037</t>
  </si>
  <si>
    <t>1989</t>
  </si>
  <si>
    <t>IOI420</t>
  </si>
  <si>
    <t>BB163DD</t>
  </si>
  <si>
    <t>1993</t>
  </si>
  <si>
    <t>NYS045</t>
  </si>
  <si>
    <t>YEA170</t>
  </si>
  <si>
    <t>Sprinter313CDI</t>
  </si>
  <si>
    <t>2009</t>
  </si>
  <si>
    <t>TD769DT</t>
  </si>
  <si>
    <t>609 D</t>
  </si>
  <si>
    <t>LL494MM</t>
  </si>
  <si>
    <t>TRANSIT 100 LD</t>
  </si>
  <si>
    <t>JEI920</t>
  </si>
  <si>
    <t>მანი</t>
  </si>
  <si>
    <t>290 MT2 GRAF,STIFT,SI</t>
  </si>
  <si>
    <t>1987</t>
  </si>
  <si>
    <t>PES-002</t>
  </si>
  <si>
    <t>შპს თანამგზავრი 2017</t>
  </si>
  <si>
    <t>მერს</t>
  </si>
  <si>
    <t>199</t>
  </si>
  <si>
    <t>S S-461BB</t>
  </si>
  <si>
    <t>ნეოპლან</t>
  </si>
  <si>
    <t>197</t>
  </si>
  <si>
    <t>VBB-300</t>
  </si>
  <si>
    <t>SL-232</t>
  </si>
  <si>
    <t>IZF-355</t>
  </si>
  <si>
    <t>240,SL</t>
  </si>
  <si>
    <t>1985</t>
  </si>
  <si>
    <t>WBW-532</t>
  </si>
  <si>
    <t>ნაფი</t>
  </si>
  <si>
    <t>SB-220</t>
  </si>
  <si>
    <t>LIG-686</t>
  </si>
  <si>
    <t>მერსედესი</t>
  </si>
  <si>
    <t>8110</t>
  </si>
  <si>
    <t>ტუს-140</t>
  </si>
  <si>
    <t>ივეკო</t>
  </si>
  <si>
    <t>ოტოილი</t>
  </si>
  <si>
    <t>LCL-992</t>
  </si>
  <si>
    <t>მ-50</t>
  </si>
  <si>
    <t>MQ-887QM</t>
  </si>
  <si>
    <t>N 4009</t>
  </si>
  <si>
    <t>RF852FR</t>
  </si>
  <si>
    <t>მერსედეს-ბენც</t>
  </si>
  <si>
    <t>811 დ</t>
  </si>
  <si>
    <t>TUS140</t>
  </si>
  <si>
    <t>0402</t>
  </si>
  <si>
    <t>BB929AA</t>
  </si>
  <si>
    <t>4009</t>
  </si>
  <si>
    <t>MMN-380</t>
  </si>
  <si>
    <t>0408</t>
  </si>
  <si>
    <t>DA-400-TU</t>
  </si>
  <si>
    <t>ვანჰოლი</t>
  </si>
  <si>
    <t>DND-454</t>
  </si>
  <si>
    <t>დაფი</t>
  </si>
  <si>
    <t>SB-20</t>
  </si>
  <si>
    <t>BEB-594</t>
  </si>
  <si>
    <t>ISUZU</t>
  </si>
  <si>
    <t>BOGDAN</t>
  </si>
  <si>
    <t>XTX684</t>
  </si>
  <si>
    <t>WBVC-714</t>
  </si>
  <si>
    <t>XTX682</t>
  </si>
  <si>
    <t>IVEGO</t>
  </si>
  <si>
    <t>OTOYOL</t>
  </si>
  <si>
    <t>XTX676</t>
  </si>
  <si>
    <t>DAF</t>
  </si>
  <si>
    <t>SB 220</t>
  </si>
  <si>
    <t>BEB594</t>
  </si>
  <si>
    <t>KASSBOHRER</t>
  </si>
  <si>
    <t>S 215 SL</t>
  </si>
  <si>
    <t>BCB763</t>
  </si>
  <si>
    <t>0641 D</t>
  </si>
  <si>
    <t>EDE-617</t>
  </si>
  <si>
    <t>NEOPLAN</t>
  </si>
  <si>
    <t>409</t>
  </si>
  <si>
    <t>1986</t>
  </si>
  <si>
    <t>CGG948</t>
  </si>
  <si>
    <t>PEGASO</t>
  </si>
  <si>
    <t>6100</t>
  </si>
  <si>
    <t>IIJ348</t>
  </si>
  <si>
    <t>EOS</t>
  </si>
  <si>
    <t>GOACH</t>
  </si>
  <si>
    <t>EOS888</t>
  </si>
  <si>
    <t>TOURISMO</t>
  </si>
  <si>
    <t>SB220</t>
  </si>
  <si>
    <t>WBW714</t>
  </si>
  <si>
    <t xml:space="preserve">   </t>
  </si>
  <si>
    <t>WOM 331</t>
  </si>
  <si>
    <t>238733536</t>
  </si>
  <si>
    <t>სს მოგზაური</t>
  </si>
  <si>
    <t xml:space="preserve">410 D  </t>
  </si>
  <si>
    <t>BUB 386</t>
  </si>
  <si>
    <t>მერსედეს</t>
  </si>
  <si>
    <t xml:space="preserve">ბენც 207 D </t>
  </si>
  <si>
    <t>GML 402</t>
  </si>
  <si>
    <t>ფოლქსვაგენ</t>
  </si>
  <si>
    <t xml:space="preserve">VW   </t>
  </si>
  <si>
    <t>LRL 812</t>
  </si>
  <si>
    <t xml:space="preserve">LT 35  </t>
  </si>
  <si>
    <t>NN 376 KK</t>
  </si>
  <si>
    <t xml:space="preserve">სპრინტერ 312 D </t>
  </si>
  <si>
    <t>DFD 389</t>
  </si>
  <si>
    <t xml:space="preserve">სპრინტერ   </t>
  </si>
  <si>
    <t>AE 363 AA</t>
  </si>
  <si>
    <t>ფორდ-ტრანზიტ</t>
  </si>
  <si>
    <t xml:space="preserve">100 LTD  </t>
  </si>
  <si>
    <t>LZL 552</t>
  </si>
  <si>
    <t xml:space="preserve">312 D-KA  </t>
  </si>
  <si>
    <t>YIY 187</t>
  </si>
  <si>
    <t xml:space="preserve">42492 D  </t>
  </si>
  <si>
    <t>WVV 962</t>
  </si>
  <si>
    <t>BE 444 QU</t>
  </si>
  <si>
    <t>BC 312 AC</t>
  </si>
  <si>
    <t xml:space="preserve">308 D  </t>
  </si>
  <si>
    <t>LCL 280</t>
  </si>
  <si>
    <t xml:space="preserve">208 D  </t>
  </si>
  <si>
    <t>LL 458 MM</t>
  </si>
  <si>
    <t>NN 291 KK</t>
  </si>
  <si>
    <t xml:space="preserve">409 D  </t>
  </si>
  <si>
    <t>OXO 041</t>
  </si>
  <si>
    <t>QWQ 562</t>
  </si>
  <si>
    <t>NN 876 KK</t>
  </si>
  <si>
    <t>KIM 422</t>
  </si>
  <si>
    <t xml:space="preserve">407 D  </t>
  </si>
  <si>
    <t>GMB 544</t>
  </si>
  <si>
    <t>DUD 126</t>
  </si>
  <si>
    <t xml:space="preserve">410 D VAN </t>
  </si>
  <si>
    <t>ZUZ 459</t>
  </si>
  <si>
    <t xml:space="preserve">310   </t>
  </si>
  <si>
    <t>LOO 144</t>
  </si>
  <si>
    <t>100 GL 42492 D</t>
  </si>
  <si>
    <t>WMW 965</t>
  </si>
  <si>
    <t xml:space="preserve">408 D  </t>
  </si>
  <si>
    <t>DND 198</t>
  </si>
  <si>
    <t>BC 416 AC</t>
  </si>
  <si>
    <t>AKO 457</t>
  </si>
  <si>
    <t>MTM 396</t>
  </si>
  <si>
    <t xml:space="preserve">BUS   </t>
  </si>
  <si>
    <t>DEK 412</t>
  </si>
  <si>
    <t>KRK 339</t>
  </si>
  <si>
    <t>OO 435 NN</t>
  </si>
  <si>
    <t>TST 094</t>
  </si>
  <si>
    <t>LIG 139</t>
  </si>
  <si>
    <t>AEW 718</t>
  </si>
  <si>
    <t>IIJ 635</t>
  </si>
  <si>
    <t xml:space="preserve">412 D  </t>
  </si>
  <si>
    <t>WFW 669</t>
  </si>
  <si>
    <t xml:space="preserve">208 D-KA  </t>
  </si>
  <si>
    <t>FJF 960</t>
  </si>
  <si>
    <t>PGP 816</t>
  </si>
  <si>
    <t>FREIGHTLINER</t>
  </si>
  <si>
    <t xml:space="preserve">SPRINTER   </t>
  </si>
  <si>
    <t>AZN 444</t>
  </si>
  <si>
    <t>დაიმლერ-ბენც</t>
  </si>
  <si>
    <t>OBO 686</t>
  </si>
  <si>
    <t xml:space="preserve">SPRINTER 2500  </t>
  </si>
  <si>
    <t>AI 443 AA</t>
  </si>
  <si>
    <t xml:space="preserve">სპრინტერ 412 D </t>
  </si>
  <si>
    <t>BE 747 BD</t>
  </si>
  <si>
    <t xml:space="preserve">312 D  </t>
  </si>
  <si>
    <t>ZES 219</t>
  </si>
  <si>
    <t>KSK 368</t>
  </si>
  <si>
    <t xml:space="preserve">410 D-KA  </t>
  </si>
  <si>
    <t>MN 216 NM</t>
  </si>
  <si>
    <t>GUU 461</t>
  </si>
  <si>
    <t>VGX 777</t>
  </si>
  <si>
    <t>IM 062 ER</t>
  </si>
  <si>
    <t xml:space="preserve">208 D-KB  </t>
  </si>
  <si>
    <t>RSS 689</t>
  </si>
  <si>
    <t xml:space="preserve">210 D  </t>
  </si>
  <si>
    <t>LL 058 TT</t>
  </si>
  <si>
    <t>SNS 380</t>
  </si>
  <si>
    <t>NZN 952</t>
  </si>
  <si>
    <t>დაფ</t>
  </si>
  <si>
    <t xml:space="preserve">PE04E   </t>
  </si>
  <si>
    <t>FAN 795</t>
  </si>
  <si>
    <t>VHV 690</t>
  </si>
  <si>
    <t xml:space="preserve">310 D  </t>
  </si>
  <si>
    <t>FOT 455</t>
  </si>
  <si>
    <t xml:space="preserve">ბას დიზელ  </t>
  </si>
  <si>
    <t>DND 204</t>
  </si>
  <si>
    <t xml:space="preserve">სპრინტერ 308 D </t>
  </si>
  <si>
    <t>VGV 367</t>
  </si>
  <si>
    <t xml:space="preserve">ფიატი ტურბო დეილი </t>
  </si>
  <si>
    <t>JRJ 564</t>
  </si>
  <si>
    <t>QZQ 790</t>
  </si>
  <si>
    <t xml:space="preserve">L   </t>
  </si>
  <si>
    <t>OQQ 728</t>
  </si>
  <si>
    <t>EKA 450</t>
  </si>
  <si>
    <t xml:space="preserve">100 L  </t>
  </si>
  <si>
    <t>GPG 538</t>
  </si>
  <si>
    <t>FOT 645</t>
  </si>
  <si>
    <t>MMW 265</t>
  </si>
  <si>
    <t xml:space="preserve">სპრინტერ 412 D-KA </t>
  </si>
  <si>
    <t>CXC 120</t>
  </si>
  <si>
    <t>ATA 902</t>
  </si>
  <si>
    <t>IM 735 ER</t>
  </si>
  <si>
    <t>RF 570 FR</t>
  </si>
  <si>
    <t>EL 368 LE</t>
  </si>
  <si>
    <t xml:space="preserve">207 D  </t>
  </si>
  <si>
    <t>WBW 230</t>
  </si>
  <si>
    <t>AD 140 BC</t>
  </si>
  <si>
    <t>WVW 355</t>
  </si>
  <si>
    <t>DTT 561</t>
  </si>
  <si>
    <t xml:space="preserve">სპრინტერ 312 D-KA </t>
  </si>
  <si>
    <t>MN 322 NM</t>
  </si>
  <si>
    <t>MQ 894 QM</t>
  </si>
  <si>
    <t xml:space="preserve">S 315 HDH </t>
  </si>
  <si>
    <t>BTJ 999</t>
  </si>
  <si>
    <t xml:space="preserve"> QGQ 410</t>
  </si>
  <si>
    <t>QTQ 590</t>
  </si>
  <si>
    <t>WBW 610</t>
  </si>
  <si>
    <t xml:space="preserve">350L   </t>
  </si>
  <si>
    <t>CSS 787</t>
  </si>
  <si>
    <t>JIM 610</t>
  </si>
  <si>
    <t xml:space="preserve">E220   </t>
  </si>
  <si>
    <t>MFC 917</t>
  </si>
  <si>
    <t>SER 526</t>
  </si>
  <si>
    <t xml:space="preserve">409   </t>
  </si>
  <si>
    <t>WBW 354</t>
  </si>
  <si>
    <t>KVK 024</t>
  </si>
  <si>
    <t xml:space="preserve">308 D-KA  </t>
  </si>
  <si>
    <t>RLR 094</t>
  </si>
  <si>
    <t>BLB 486</t>
  </si>
  <si>
    <t>CCG 440</t>
  </si>
  <si>
    <t>კავზ</t>
  </si>
  <si>
    <t xml:space="preserve">3270   </t>
  </si>
  <si>
    <t>DAO 922</t>
  </si>
  <si>
    <t xml:space="preserve">685   </t>
  </si>
  <si>
    <t>DID 869</t>
  </si>
  <si>
    <t>XX 034 XX</t>
  </si>
  <si>
    <t>LUK 853</t>
  </si>
  <si>
    <t xml:space="preserve">209 D  </t>
  </si>
  <si>
    <t>NAI 516</t>
  </si>
  <si>
    <t>JZJ846</t>
  </si>
  <si>
    <t>ME006LO</t>
  </si>
  <si>
    <t xml:space="preserve">TRANSIT   </t>
  </si>
  <si>
    <t>DEK412</t>
  </si>
  <si>
    <t xml:space="preserve">903,6 KA  </t>
  </si>
  <si>
    <t>BE 999 JI</t>
  </si>
  <si>
    <t>SYS 453</t>
  </si>
  <si>
    <t>BLB 180</t>
  </si>
  <si>
    <t>OKR 084</t>
  </si>
  <si>
    <t>NG 386 GN</t>
  </si>
  <si>
    <t>II 301 QQ</t>
  </si>
  <si>
    <t>GNG 968</t>
  </si>
  <si>
    <t xml:space="preserve">100 D-L  </t>
  </si>
  <si>
    <t>LIL 781</t>
  </si>
  <si>
    <t>პაზ</t>
  </si>
  <si>
    <t xml:space="preserve">672   </t>
  </si>
  <si>
    <t>HAB 675</t>
  </si>
  <si>
    <t>DGO 888</t>
  </si>
  <si>
    <t>TSU 045</t>
  </si>
  <si>
    <t>SA 004 FO</t>
  </si>
  <si>
    <t>OKR 272</t>
  </si>
  <si>
    <t>LCL 349</t>
  </si>
  <si>
    <t>BN 694 NB</t>
  </si>
  <si>
    <t xml:space="preserve">სპრინტერ 208 D </t>
  </si>
  <si>
    <t>IM 053 ER</t>
  </si>
  <si>
    <t>EDE 551</t>
  </si>
  <si>
    <t>TA 001 RI</t>
  </si>
  <si>
    <t xml:space="preserve">311 CDI  </t>
  </si>
  <si>
    <t>MA 100 DE</t>
  </si>
  <si>
    <t>AKA930</t>
  </si>
  <si>
    <t>LBL022</t>
  </si>
  <si>
    <t>CGG813</t>
  </si>
  <si>
    <t>ფანცულაია კახა</t>
  </si>
  <si>
    <t>RVR-349</t>
  </si>
  <si>
    <t>55001009280</t>
  </si>
  <si>
    <t>მიქაუტაძე ემზარი</t>
  </si>
  <si>
    <t>ფორდი</t>
  </si>
  <si>
    <t>TRANSIT 2,5 D</t>
  </si>
  <si>
    <t>FZZ861</t>
  </si>
  <si>
    <t>55001003979</t>
  </si>
  <si>
    <t>გეგენავა</t>
  </si>
  <si>
    <t>SPRINTER 310 DKA</t>
  </si>
  <si>
    <t>IMR207</t>
  </si>
  <si>
    <t>55001021861</t>
  </si>
  <si>
    <t>ჯანათი</t>
  </si>
  <si>
    <t>ჯანელიძე</t>
  </si>
  <si>
    <t>IKAD</t>
  </si>
  <si>
    <t>TRANSIT 350 IL</t>
  </si>
  <si>
    <t>UDU 677</t>
  </si>
  <si>
    <t>56001000902</t>
  </si>
  <si>
    <t>ჭანკვეტაძე აკაკი</t>
  </si>
  <si>
    <t>ლურსმანაშვილი სოსო</t>
  </si>
  <si>
    <t>RVR612</t>
  </si>
  <si>
    <t>56001012476</t>
  </si>
  <si>
    <t>ლურსმანაშვილი გელა</t>
  </si>
  <si>
    <t>414 D</t>
  </si>
  <si>
    <t>II427TT</t>
  </si>
  <si>
    <t>56001000238</t>
  </si>
  <si>
    <t>მაჩაიძე მერაბ</t>
  </si>
  <si>
    <t>ADP730</t>
  </si>
  <si>
    <t>54001013119</t>
  </si>
  <si>
    <t>ბრეგვაძე თამაზი</t>
  </si>
  <si>
    <t>WJW283</t>
  </si>
  <si>
    <t>54001047404</t>
  </si>
  <si>
    <t>სამხარაძე დომენტი</t>
  </si>
  <si>
    <t>614 D</t>
  </si>
  <si>
    <t>BBN554</t>
  </si>
  <si>
    <t>38001006801</t>
  </si>
  <si>
    <t>გაბაძე უშანგი</t>
  </si>
  <si>
    <t>MERSEDES</t>
  </si>
  <si>
    <t>sprinter</t>
  </si>
  <si>
    <t>DZD-685</t>
  </si>
  <si>
    <t>ფანცხავა ელგუჯა</t>
  </si>
  <si>
    <t>EME-514</t>
  </si>
  <si>
    <t>ჩიხლაძე გურამ</t>
  </si>
  <si>
    <t>FORDI</t>
  </si>
  <si>
    <t>TRANZITI</t>
  </si>
  <si>
    <t>QQO-777</t>
  </si>
  <si>
    <t>შვანგირაძე თენგიზ</t>
  </si>
  <si>
    <t>SMT-578</t>
  </si>
  <si>
    <t>ფუტკარძე დავით</t>
  </si>
  <si>
    <t>FZF 791</t>
  </si>
  <si>
    <t>41001003241</t>
  </si>
  <si>
    <t>გაბადაძე ზურაბი</t>
  </si>
  <si>
    <t>413CDI</t>
  </si>
  <si>
    <t>MR444ZA</t>
  </si>
  <si>
    <t>41001025214</t>
  </si>
  <si>
    <t>გვენეტაძე მირზა</t>
  </si>
  <si>
    <t>SPRINTER312D</t>
  </si>
  <si>
    <t>GO77AH</t>
  </si>
  <si>
    <t>41001013417</t>
  </si>
  <si>
    <t>გოჩა</t>
  </si>
  <si>
    <t>აშოთია</t>
  </si>
  <si>
    <t>HTH408</t>
  </si>
  <si>
    <t>38001010067</t>
  </si>
  <si>
    <t>მერაბ</t>
  </si>
  <si>
    <t>ბერიძე</t>
  </si>
  <si>
    <t>KRK473</t>
  </si>
  <si>
    <t>38001009373</t>
  </si>
  <si>
    <t>ლაბაძე ლერი</t>
  </si>
  <si>
    <t>YIY550</t>
  </si>
  <si>
    <t>38001007784</t>
  </si>
  <si>
    <t>მიქაბერიძე გელა</t>
  </si>
  <si>
    <t>BA953BA</t>
  </si>
  <si>
    <t>38001008567</t>
  </si>
  <si>
    <t>ჭიღლაძე</t>
  </si>
  <si>
    <t>MMW624</t>
  </si>
  <si>
    <t>38001005699</t>
  </si>
  <si>
    <t xml:space="preserve">კილაძე შოთა </t>
  </si>
  <si>
    <t>WMN208</t>
  </si>
  <si>
    <t>38001027333</t>
  </si>
  <si>
    <t>EVE423</t>
  </si>
  <si>
    <t>შეყლაშვილი ზაზა</t>
  </si>
  <si>
    <t>TRANST</t>
  </si>
  <si>
    <t>IKA873</t>
  </si>
  <si>
    <t>38001007264</t>
  </si>
  <si>
    <t>ბესიკი</t>
  </si>
  <si>
    <t>ნოზაძე</t>
  </si>
  <si>
    <t>PFP463</t>
  </si>
  <si>
    <t>21001005646</t>
  </si>
  <si>
    <t>ჭუმბურიძე ლევანი</t>
  </si>
  <si>
    <t>IMR040</t>
  </si>
  <si>
    <t>21001012309</t>
  </si>
  <si>
    <t>გიორგაძე ირაკლი</t>
  </si>
  <si>
    <t>KRK 518</t>
  </si>
  <si>
    <t>ცხვარაძე მინდია</t>
  </si>
  <si>
    <t>SPRINTER 408 D-KA</t>
  </si>
  <si>
    <t>RGR 730</t>
  </si>
  <si>
    <t>17001023525</t>
  </si>
  <si>
    <t>გეგიძე სულხან</t>
  </si>
  <si>
    <t>SPRINTER 311 CDI</t>
  </si>
  <si>
    <t>AY046YA</t>
  </si>
  <si>
    <t>17001021249</t>
  </si>
  <si>
    <t>ფაიქიძე ვასილი</t>
  </si>
  <si>
    <t>BE 999 GI</t>
  </si>
  <si>
    <t>17001026653</t>
  </si>
  <si>
    <t>ნამიჭეიშვილი მიხეილ</t>
  </si>
  <si>
    <t>აბულაძე გოდერძი</t>
  </si>
  <si>
    <t xml:space="preserve"> ავტობუსი</t>
  </si>
  <si>
    <t>907 KA 35</t>
  </si>
  <si>
    <t>EN777DL</t>
  </si>
  <si>
    <t>09001002573</t>
  </si>
  <si>
    <t>ენდელაძე ირაკლი</t>
  </si>
  <si>
    <t>908 KA 35</t>
  </si>
  <si>
    <t>IAE777</t>
  </si>
  <si>
    <t>09001012179</t>
  </si>
  <si>
    <t>ამირან</t>
  </si>
  <si>
    <t>ენდელაძე</t>
  </si>
  <si>
    <t>909 KA 35</t>
  </si>
  <si>
    <t>VL999KO</t>
  </si>
  <si>
    <t>09001009316</t>
  </si>
  <si>
    <t>კბილაშვილი ვალერი</t>
  </si>
  <si>
    <t>ფორდ ტრანზითი</t>
  </si>
  <si>
    <t>430 E 2,2L</t>
  </si>
  <si>
    <t>2011</t>
  </si>
  <si>
    <t>FCF741</t>
  </si>
  <si>
    <t>ააიპ საზოგადოებრივი მოძრაობა ქართული ოცნება</t>
  </si>
  <si>
    <t>FCF549</t>
  </si>
  <si>
    <t>FCF732</t>
  </si>
  <si>
    <t>SPRINTER 315 CDI</t>
  </si>
  <si>
    <t>WW019OO</t>
  </si>
  <si>
    <t>01003010723</t>
  </si>
  <si>
    <t>მჭედლიშვილი გია</t>
  </si>
  <si>
    <t xml:space="preserve">SPRINTER </t>
  </si>
  <si>
    <t>GDZ007</t>
  </si>
  <si>
    <t>12001041252</t>
  </si>
  <si>
    <t>ძმანაშვილი ჯამბულათ</t>
  </si>
  <si>
    <t>SA030LO</t>
  </si>
  <si>
    <t>01003004965</t>
  </si>
  <si>
    <t>თეთრაძე გელა</t>
  </si>
  <si>
    <t>GIA475</t>
  </si>
  <si>
    <t>01006005105</t>
  </si>
  <si>
    <t>იასაღაშვილი გიორგი</t>
  </si>
  <si>
    <t>SPRINTER 515 CDI</t>
  </si>
  <si>
    <t>OO141VV</t>
  </si>
  <si>
    <t>31001005419</t>
  </si>
  <si>
    <t>ყირიმელი გიორგი</t>
  </si>
  <si>
    <t>BB550LL</t>
  </si>
  <si>
    <t>მოსიაშვილი იოსებ</t>
  </si>
  <si>
    <t>MERCEDES-BENC</t>
  </si>
  <si>
    <t>SPRINTER 314</t>
  </si>
  <si>
    <t>QTQ314</t>
  </si>
  <si>
    <t>62007008110</t>
  </si>
  <si>
    <t>ლაგვილავა მამუკა ი/მ</t>
  </si>
  <si>
    <t>WVV321</t>
  </si>
  <si>
    <t>02001005830</t>
  </si>
  <si>
    <t xml:space="preserve"> მამუკა</t>
  </si>
  <si>
    <t>ვაჩეიშვილი</t>
  </si>
  <si>
    <t>62006019310</t>
  </si>
  <si>
    <t>ბერაია მანუჩარ ი/მ</t>
  </si>
  <si>
    <t>AI798AA</t>
  </si>
  <si>
    <t>02001005114</t>
  </si>
  <si>
    <t>ზაზა</t>
  </si>
  <si>
    <t>გაბელაია</t>
  </si>
  <si>
    <t>312 D-KA</t>
  </si>
  <si>
    <t>SS256BB</t>
  </si>
  <si>
    <t>29001025166</t>
  </si>
  <si>
    <t>ციცხვაია გოგი ი/მ</t>
  </si>
  <si>
    <t>BA334AB</t>
  </si>
  <si>
    <t>29001017806</t>
  </si>
  <si>
    <t>მონიავა მალხაზ ი/მ</t>
  </si>
  <si>
    <t>CGG 246</t>
  </si>
  <si>
    <t>29001032932</t>
  </si>
  <si>
    <t>ნაჭყებია მიხეილ ი/მ</t>
  </si>
  <si>
    <t>SPRINTER 416</t>
  </si>
  <si>
    <t>BB093GG</t>
  </si>
  <si>
    <t>29001014410</t>
  </si>
  <si>
    <t>კარტოზია ოლეგ ი/მ</t>
  </si>
  <si>
    <t>SPRINTER 313CDI</t>
  </si>
  <si>
    <t>JOL101</t>
  </si>
  <si>
    <t>39001007576</t>
  </si>
  <si>
    <t>ჯოლია გენადი ი/მ</t>
  </si>
  <si>
    <t>TTS659</t>
  </si>
  <si>
    <t>01024053161</t>
  </si>
  <si>
    <t>გვარამია სერიოჟა ი/მ</t>
  </si>
  <si>
    <t>NNM574</t>
  </si>
  <si>
    <t>39001014417</t>
  </si>
  <si>
    <t>ჯიქია ედემი ი/მ</t>
  </si>
  <si>
    <t>TTS980</t>
  </si>
  <si>
    <t>ჯიჯელავა აკაკი ი/მ</t>
  </si>
  <si>
    <t>KBA 888</t>
  </si>
  <si>
    <t>42001001971</t>
  </si>
  <si>
    <t>ალექსანდრია ბესიკი ი/მ</t>
  </si>
  <si>
    <t>XV777GJ</t>
  </si>
  <si>
    <t>42001009056</t>
  </si>
  <si>
    <t>ჟღენტი ვასილ ი/მ</t>
  </si>
  <si>
    <t>BB389HH</t>
  </si>
  <si>
    <t>42001023715</t>
  </si>
  <si>
    <t>მოლაშხია</t>
  </si>
  <si>
    <t xml:space="preserve"> SPRINTER 2500</t>
  </si>
  <si>
    <t>DOJ</t>
  </si>
  <si>
    <t>OKO179</t>
  </si>
  <si>
    <t>62004020693</t>
  </si>
  <si>
    <t>ქობალია კარლო ი/მ</t>
  </si>
  <si>
    <t>დარსალია რამინ ი/მ</t>
  </si>
  <si>
    <t>TRANZIT 2,5D</t>
  </si>
  <si>
    <t>MAO580</t>
  </si>
  <si>
    <t>62007004059</t>
  </si>
  <si>
    <t>პერტაია ლაზარე  ი/მ</t>
  </si>
  <si>
    <t>ZAZ474</t>
  </si>
  <si>
    <t>48001000528</t>
  </si>
  <si>
    <t>გულუა ზაზა ი/მ</t>
  </si>
  <si>
    <t>412D</t>
  </si>
  <si>
    <t>ST809ST</t>
  </si>
  <si>
    <t>51001000311</t>
  </si>
  <si>
    <t>შანავა მიხეილ ი/მ</t>
  </si>
  <si>
    <t>VNV433</t>
  </si>
  <si>
    <t>51001001879</t>
  </si>
  <si>
    <t>კვარაცხელია ჯამბულ ი/მ</t>
  </si>
  <si>
    <t>FKF773</t>
  </si>
  <si>
    <t>58001002405</t>
  </si>
  <si>
    <t>გვასალია ირაკლი ი/მ</t>
  </si>
  <si>
    <t>VX899XV</t>
  </si>
  <si>
    <t>წურწუმია რეზო ი/მ</t>
  </si>
  <si>
    <t>KIK410</t>
  </si>
  <si>
    <t>58001024240</t>
  </si>
  <si>
    <t xml:space="preserve"> პაატა</t>
  </si>
  <si>
    <t>კინწურაშვილი</t>
  </si>
  <si>
    <t xml:space="preserve">PAZ </t>
  </si>
  <si>
    <t>32054</t>
  </si>
  <si>
    <t>AED153</t>
  </si>
  <si>
    <t>ოზურგეთის მუნიციპალიტეტის გამგეობის საწარმო - შპს მუნიციპალური ტრანსპორტი</t>
  </si>
  <si>
    <t>ACZ382</t>
  </si>
  <si>
    <t>3205</t>
  </si>
  <si>
    <t>OAK527</t>
  </si>
  <si>
    <t>A 09201</t>
  </si>
  <si>
    <t>2010</t>
  </si>
  <si>
    <t>KVK856</t>
  </si>
  <si>
    <t>AEJ965</t>
  </si>
  <si>
    <t>ABK773</t>
  </si>
  <si>
    <t>412 D</t>
  </si>
  <si>
    <t>MIV111</t>
  </si>
  <si>
    <t>26001012856</t>
  </si>
  <si>
    <t>მორჩილაძე მორის ი/მ</t>
  </si>
  <si>
    <t>LT084TL</t>
  </si>
  <si>
    <t>26001001819</t>
  </si>
  <si>
    <t>ჩხაიძე ვანო ი/მ</t>
  </si>
  <si>
    <t xml:space="preserve"> 312 D-KA</t>
  </si>
  <si>
    <t>BBT064</t>
  </si>
  <si>
    <t>61001012405</t>
  </si>
  <si>
    <t>ხოფერია ბეჟან ი/მ</t>
  </si>
  <si>
    <t>MKM884</t>
  </si>
  <si>
    <t>გალოგრე დავით ი/მ</t>
  </si>
  <si>
    <t xml:space="preserve"> DODGE</t>
  </si>
  <si>
    <t>AI302IA</t>
  </si>
  <si>
    <t>46001002796</t>
  </si>
  <si>
    <t>სიხარულიძე დავით ი/მ</t>
  </si>
  <si>
    <t>GIA313</t>
  </si>
  <si>
    <t>46001000784</t>
  </si>
  <si>
    <t>გიორგაძე გია ი/მ</t>
  </si>
  <si>
    <t>SPRINTER 411 CDI</t>
  </si>
  <si>
    <t>ვენი</t>
  </si>
  <si>
    <t>VAV 399</t>
  </si>
  <si>
    <t>SPRINTER  312 D</t>
  </si>
  <si>
    <t>BG646GB</t>
  </si>
  <si>
    <t>VQV 634</t>
  </si>
  <si>
    <t>SPRINTER 903 KA</t>
  </si>
  <si>
    <t>VI339IV</t>
  </si>
  <si>
    <t>EKE273</t>
  </si>
  <si>
    <t>AD622AD</t>
  </si>
  <si>
    <t>WVN546</t>
  </si>
  <si>
    <t>VOO488</t>
  </si>
  <si>
    <t>GQQ908</t>
  </si>
  <si>
    <t>RR015GG</t>
  </si>
  <si>
    <t>TOO688</t>
  </si>
  <si>
    <t>SSC241</t>
  </si>
  <si>
    <t>LL267LI</t>
  </si>
  <si>
    <t>CQ341QC</t>
  </si>
  <si>
    <t>903,6 KA</t>
  </si>
  <si>
    <t>NNC913</t>
  </si>
  <si>
    <t>YCY316</t>
  </si>
  <si>
    <t>ZYZ182</t>
  </si>
  <si>
    <t>TRANSIT 350 LD</t>
  </si>
  <si>
    <t>GNG017</t>
  </si>
  <si>
    <t>44001001542</t>
  </si>
  <si>
    <t>წამალაიძე ვაჟა ი/მ</t>
  </si>
  <si>
    <t>ხეთაგური ზეზვა ი/მ</t>
  </si>
  <si>
    <t>RXR894</t>
  </si>
  <si>
    <t>44001000994</t>
  </si>
  <si>
    <t>მაისურაძე ტარიელ ი/მ</t>
  </si>
  <si>
    <t>UU255WW</t>
  </si>
  <si>
    <t>44001004685</t>
  </si>
  <si>
    <t>როსტომ</t>
  </si>
  <si>
    <t>ღუდუშაური</t>
  </si>
  <si>
    <t>XOZ 200</t>
  </si>
  <si>
    <t>16001001965</t>
  </si>
  <si>
    <t>ხოზორაშვილი გიორგი ი/მ</t>
  </si>
  <si>
    <t>ZMZ 254</t>
  </si>
  <si>
    <t>16001017329</t>
  </si>
  <si>
    <t>ღარიბაშვილი დემური ი/მ</t>
  </si>
  <si>
    <t>PLP 795</t>
  </si>
  <si>
    <t>16001003878</t>
  </si>
  <si>
    <t>გელიაშვილი გია ი/მ</t>
  </si>
  <si>
    <t>280 2,3D</t>
  </si>
  <si>
    <t xml:space="preserve">1999 </t>
  </si>
  <si>
    <t>KIZ-504</t>
  </si>
  <si>
    <t>23001001118</t>
  </si>
  <si>
    <t>ხადილაშვილი გიორგი ი/მ</t>
  </si>
  <si>
    <t>ZVI - 087</t>
  </si>
  <si>
    <t>23001010499</t>
  </si>
  <si>
    <t>სეთური ზვიად ი/მ</t>
  </si>
  <si>
    <t>SPRINTER 312 D-KA</t>
  </si>
  <si>
    <t>ZPZ - 180</t>
  </si>
  <si>
    <t>23001000935</t>
  </si>
  <si>
    <t>აბრამიშვილი ვაჟა ი/მ</t>
  </si>
  <si>
    <t>608 D</t>
  </si>
  <si>
    <t>1979</t>
  </si>
  <si>
    <t>KOB-357</t>
  </si>
  <si>
    <t>417881046  </t>
  </si>
  <si>
    <t>TRANSIT TD</t>
  </si>
  <si>
    <t>AA-467-UU</t>
  </si>
  <si>
    <t>SPRINTER 308 D</t>
  </si>
  <si>
    <t>VBV-312</t>
  </si>
  <si>
    <t>SPRINTER 212 2,9D</t>
  </si>
  <si>
    <t>AA-072-MN</t>
  </si>
  <si>
    <t>AA0-043-YY</t>
  </si>
  <si>
    <t>PLP-901</t>
  </si>
  <si>
    <t>AIA-662</t>
  </si>
  <si>
    <t>TRANSIT BUS DIESEL</t>
  </si>
  <si>
    <t>DD-779-II</t>
  </si>
  <si>
    <t>TRANSIT 100LB</t>
  </si>
  <si>
    <t>BS-375-BS</t>
  </si>
  <si>
    <t>EFE-096</t>
  </si>
  <si>
    <t>BRI-783</t>
  </si>
  <si>
    <t>TRANSIT GL 2,5 D</t>
  </si>
  <si>
    <t>USU-078</t>
  </si>
  <si>
    <t>ALL-848</t>
  </si>
  <si>
    <t>LLG-779</t>
  </si>
  <si>
    <t>OBO-920</t>
  </si>
  <si>
    <t>BS-806-BC</t>
  </si>
  <si>
    <t>CQ-532-CQ</t>
  </si>
  <si>
    <t>UOU-248</t>
  </si>
  <si>
    <t>407 D</t>
  </si>
  <si>
    <t>TOO-919</t>
  </si>
  <si>
    <t>JOO-705</t>
  </si>
  <si>
    <t>SPRINTER 310 2,9 D</t>
  </si>
  <si>
    <t>EFE-099</t>
  </si>
  <si>
    <t>AA-902-RR</t>
  </si>
  <si>
    <t>EFE-938</t>
  </si>
  <si>
    <t>TRANSIT 190 LWB</t>
  </si>
  <si>
    <t>JIM-272</t>
  </si>
  <si>
    <t>TOO-446</t>
  </si>
  <si>
    <t>HHH-659</t>
  </si>
  <si>
    <t>GRG-337</t>
  </si>
  <si>
    <t>KSK-914</t>
  </si>
  <si>
    <t>VUV215</t>
  </si>
  <si>
    <t>ME-500-LA</t>
  </si>
  <si>
    <t>308 2,3D</t>
  </si>
  <si>
    <t>WVV-373</t>
  </si>
  <si>
    <t>SPRINTER 210 D</t>
  </si>
  <si>
    <t>ZEZ-977</t>
  </si>
  <si>
    <t>SPRINTER 210 2,9 D</t>
  </si>
  <si>
    <t>ZZL-158</t>
  </si>
  <si>
    <t>IFI-180</t>
  </si>
  <si>
    <t>BS-947-BS</t>
  </si>
  <si>
    <t>PA0-050</t>
  </si>
  <si>
    <t>GG-962-II</t>
  </si>
  <si>
    <t>ZEZ-431</t>
  </si>
  <si>
    <t>OGO-557</t>
  </si>
  <si>
    <t>WW-804-HH</t>
  </si>
  <si>
    <t>YYV-460</t>
  </si>
  <si>
    <t>LOL-355</t>
  </si>
  <si>
    <t>ESE-925</t>
  </si>
  <si>
    <t>AC-753-CA</t>
  </si>
  <si>
    <t>XFX-968</t>
  </si>
  <si>
    <t>CGC-569</t>
  </si>
  <si>
    <t>410 D VAN</t>
  </si>
  <si>
    <t>WSW-285</t>
  </si>
  <si>
    <t>AA-616-TT</t>
  </si>
  <si>
    <t>VGV-307</t>
  </si>
  <si>
    <t>IMQ-500</t>
  </si>
  <si>
    <t>MQN-084</t>
  </si>
  <si>
    <t>ICI-534</t>
  </si>
  <si>
    <t>IOO-402</t>
  </si>
  <si>
    <t>TRANSIT 150 LTD</t>
  </si>
  <si>
    <t>EKE-618</t>
  </si>
  <si>
    <t>TURBODAILY 59-12</t>
  </si>
  <si>
    <t>TTO-417</t>
  </si>
  <si>
    <t>ACT-417</t>
  </si>
  <si>
    <t>TAM-843</t>
  </si>
  <si>
    <t>210KB</t>
  </si>
  <si>
    <t>EFE-378</t>
  </si>
  <si>
    <t>VNU-385</t>
  </si>
  <si>
    <t>FRF-419</t>
  </si>
  <si>
    <t>GOO-261</t>
  </si>
  <si>
    <t>QCD-063</t>
  </si>
  <si>
    <t>TRANSIT 100LD</t>
  </si>
  <si>
    <t>YSY-504</t>
  </si>
  <si>
    <t>AVV-276</t>
  </si>
  <si>
    <t>410 2,9D</t>
  </si>
  <si>
    <t>IYI-745</t>
  </si>
  <si>
    <t>DTO-353</t>
  </si>
  <si>
    <t>709 D 4,0</t>
  </si>
  <si>
    <t>OB-966-VO</t>
  </si>
  <si>
    <t>VBV-519</t>
  </si>
  <si>
    <t>AB-773-DC</t>
  </si>
  <si>
    <t>ESE-110</t>
  </si>
  <si>
    <t>TRANSIT 100 DL</t>
  </si>
  <si>
    <t>TEM-439</t>
  </si>
  <si>
    <t>TH-711-HT</t>
  </si>
  <si>
    <t>LL-246-LT</t>
  </si>
  <si>
    <t>VIB-406</t>
  </si>
  <si>
    <t>WUV-198</t>
  </si>
  <si>
    <t>MAGIRUS</t>
  </si>
  <si>
    <t>DEUTZ BUS</t>
  </si>
  <si>
    <t>KAK-469</t>
  </si>
  <si>
    <t>VSA-692</t>
  </si>
  <si>
    <t>SER-333</t>
  </si>
  <si>
    <t>211 CDI</t>
  </si>
  <si>
    <t>LNL-425</t>
  </si>
  <si>
    <t>GIO-023</t>
  </si>
  <si>
    <t>SPRINTER 208 CDI</t>
  </si>
  <si>
    <t>AVV-419</t>
  </si>
  <si>
    <t>OOC-625</t>
  </si>
  <si>
    <t>QBO-229</t>
  </si>
  <si>
    <t>AEM-756</t>
  </si>
  <si>
    <t>SPRINTER 3500</t>
  </si>
  <si>
    <t>SRS-286</t>
  </si>
  <si>
    <t>WUV-126</t>
  </si>
  <si>
    <t>FIF-527</t>
  </si>
  <si>
    <t>CIC-559</t>
  </si>
  <si>
    <t xml:space="preserve">MAN </t>
  </si>
  <si>
    <t>NUTZFAHRZEUGE</t>
  </si>
  <si>
    <t>QII643</t>
  </si>
  <si>
    <t>ააიპ ბორჯომის საზოგადოებრივი ტრანსპორტირება</t>
  </si>
  <si>
    <t>QII674</t>
  </si>
  <si>
    <t>SAZ</t>
  </si>
  <si>
    <t>NP-HC40</t>
  </si>
  <si>
    <t>2014</t>
  </si>
  <si>
    <t>AA932AB</t>
  </si>
  <si>
    <t>MAX135</t>
  </si>
  <si>
    <t>ნადირაძე გიორგი ი/მ</t>
  </si>
  <si>
    <t>100 LD</t>
  </si>
  <si>
    <t>CSS 421</t>
  </si>
  <si>
    <t>24001019763</t>
  </si>
  <si>
    <t>ბულბულაშვილი გოჩა ი/მ</t>
  </si>
  <si>
    <t>კიტრიაშვილი ვაჟა ი/მ</t>
  </si>
  <si>
    <t>SPRINTER 212 2,8 D</t>
  </si>
  <si>
    <t>FQF 820</t>
  </si>
  <si>
    <t>24001022381</t>
  </si>
  <si>
    <t>თეზელაშვილი მურაზ ი/მ</t>
  </si>
  <si>
    <t>ტრანზით</t>
  </si>
  <si>
    <t>GZG167</t>
  </si>
  <si>
    <t>შპს ტრანს-ექსპრესი 2002</t>
  </si>
  <si>
    <t>GPC280</t>
  </si>
  <si>
    <t>სპრინტერი</t>
  </si>
  <si>
    <t>AA207RR</t>
  </si>
  <si>
    <t>EUE052</t>
  </si>
  <si>
    <t>JPJ057</t>
  </si>
  <si>
    <t>ტრანზით 2,5 D</t>
  </si>
  <si>
    <t>NW865WN</t>
  </si>
  <si>
    <t>ტრაზით 100</t>
  </si>
  <si>
    <t>FAP959</t>
  </si>
  <si>
    <t>TOURNEO</t>
  </si>
  <si>
    <t>AL717IK</t>
  </si>
  <si>
    <t>SAA167</t>
  </si>
  <si>
    <t>LLK137</t>
  </si>
  <si>
    <t>ტრანზით 100</t>
  </si>
  <si>
    <t>ROR503</t>
  </si>
  <si>
    <t>შპს მედიატორი</t>
  </si>
  <si>
    <t>NFN826</t>
  </si>
  <si>
    <t>ტრანზით 100 D</t>
  </si>
  <si>
    <t>LHL451</t>
  </si>
  <si>
    <t>BNB095</t>
  </si>
  <si>
    <t>BV803VB</t>
  </si>
  <si>
    <t>GRG450</t>
  </si>
  <si>
    <t>VZV403</t>
  </si>
  <si>
    <t>ALX186</t>
  </si>
  <si>
    <t>GB716BG</t>
  </si>
  <si>
    <t>IPI380</t>
  </si>
  <si>
    <t>GEO13LA</t>
  </si>
  <si>
    <t>შპს მაგისტრალი XXI</t>
  </si>
  <si>
    <t>IID 115</t>
  </si>
  <si>
    <t>QGQ029</t>
  </si>
  <si>
    <t>HFH937</t>
  </si>
  <si>
    <t>PMP986</t>
  </si>
  <si>
    <t>TJT132</t>
  </si>
  <si>
    <t>MHM595</t>
  </si>
  <si>
    <t>AN621AN</t>
  </si>
  <si>
    <t>CAG712</t>
  </si>
  <si>
    <t>SC645CS</t>
  </si>
  <si>
    <t>PET 800</t>
  </si>
  <si>
    <t>შპს ინტერ ტრანსი</t>
  </si>
  <si>
    <t>QFQ 438</t>
  </si>
  <si>
    <t>LL 215 NN</t>
  </si>
  <si>
    <t>OVV 898</t>
  </si>
  <si>
    <t>ფოლქსვაგენ ლტ</t>
  </si>
  <si>
    <t>GSN 888</t>
  </si>
  <si>
    <t>დოჯი</t>
  </si>
  <si>
    <t>UO 953 OU</t>
  </si>
  <si>
    <t>BQ 575 QB</t>
  </si>
  <si>
    <t>KQK 219</t>
  </si>
  <si>
    <t>VII 638</t>
  </si>
  <si>
    <t>HUH 458</t>
  </si>
  <si>
    <t>SPRINTER 308 CDI</t>
  </si>
  <si>
    <t>DYD441</t>
  </si>
  <si>
    <t>შპს ბოლნისის მუნიციპალური ტრანსპორტის სამსახური</t>
  </si>
  <si>
    <t>HIGER BUS</t>
  </si>
  <si>
    <t>KLQ 6770 G</t>
  </si>
  <si>
    <t>2015</t>
  </si>
  <si>
    <t>GB940BG</t>
  </si>
  <si>
    <t>GB941BG</t>
  </si>
  <si>
    <t>GB942BG</t>
  </si>
  <si>
    <t>SPRINTER 903,6 KA</t>
  </si>
  <si>
    <t>KLK638</t>
  </si>
  <si>
    <t>LLC061</t>
  </si>
  <si>
    <t>ZHZ199</t>
  </si>
  <si>
    <t>DBL264</t>
  </si>
  <si>
    <t>309 DKA</t>
  </si>
  <si>
    <t>ZEZ901</t>
  </si>
  <si>
    <t>WBW493</t>
  </si>
  <si>
    <t>IEI661</t>
  </si>
  <si>
    <t>BWB698</t>
  </si>
  <si>
    <t>GEO096</t>
  </si>
  <si>
    <t>HII296</t>
  </si>
  <si>
    <t>AE206AE</t>
  </si>
  <si>
    <t>SSQ539</t>
  </si>
  <si>
    <t>JRJ626</t>
  </si>
  <si>
    <t>BTM649</t>
  </si>
  <si>
    <t>JRJ863</t>
  </si>
  <si>
    <t>HNN869</t>
  </si>
  <si>
    <t>QRR291</t>
  </si>
  <si>
    <t>SPRINTER 410 D</t>
  </si>
  <si>
    <t>WN258NW</t>
  </si>
  <si>
    <t>TRANSIT 150 LD</t>
  </si>
  <si>
    <t>MRM486</t>
  </si>
  <si>
    <t>ORO281</t>
  </si>
  <si>
    <t>SS616GG</t>
  </si>
  <si>
    <t>VV889OO</t>
  </si>
  <si>
    <t>LKL914</t>
  </si>
  <si>
    <t>WMW976</t>
  </si>
  <si>
    <t>BH109HB</t>
  </si>
  <si>
    <t>QDQ872</t>
  </si>
  <si>
    <t>UGU962</t>
  </si>
  <si>
    <t>AA829MM</t>
  </si>
  <si>
    <t>RA555FK</t>
  </si>
  <si>
    <t>AA739PP</t>
  </si>
  <si>
    <t>MNN203</t>
  </si>
  <si>
    <t>TRANSIT 100 GL 2,4 D</t>
  </si>
  <si>
    <t>KJK208</t>
  </si>
  <si>
    <t>შპს ჟღენტი და ტრანსკომპანია</t>
  </si>
  <si>
    <t>EORD</t>
  </si>
  <si>
    <t>TRANSIT100L</t>
  </si>
  <si>
    <t>AZE510</t>
  </si>
  <si>
    <t>TRANSIT 100 LTD</t>
  </si>
  <si>
    <t>PQP970</t>
  </si>
  <si>
    <t>SPRINTER 211 CDI</t>
  </si>
  <si>
    <t>TT924FF</t>
  </si>
  <si>
    <t>WWN131</t>
  </si>
  <si>
    <t>MFM632</t>
  </si>
  <si>
    <t>SSI364</t>
  </si>
  <si>
    <t>BB762ZZ</t>
  </si>
  <si>
    <t>XVX496</t>
  </si>
  <si>
    <t>QZQ218</t>
  </si>
  <si>
    <t>TRANSIT 100 D</t>
  </si>
  <si>
    <t>BYB948</t>
  </si>
  <si>
    <t>COO127</t>
  </si>
  <si>
    <t>AWA310</t>
  </si>
  <si>
    <t>RUD300</t>
  </si>
  <si>
    <t>WOM677</t>
  </si>
  <si>
    <t>BIB692</t>
  </si>
  <si>
    <t>GG846LL</t>
  </si>
  <si>
    <t>LUL476</t>
  </si>
  <si>
    <t>JE601MO</t>
  </si>
  <si>
    <t>WW456OO</t>
  </si>
  <si>
    <t>RQR994</t>
  </si>
  <si>
    <t>M24</t>
  </si>
  <si>
    <t>QS179SQ</t>
  </si>
  <si>
    <t>EAS490</t>
  </si>
  <si>
    <t>RFR627</t>
  </si>
  <si>
    <t>AAA978</t>
  </si>
  <si>
    <t>FF971TT</t>
  </si>
  <si>
    <t>RXR771</t>
  </si>
  <si>
    <t>NN764VV</t>
  </si>
  <si>
    <t>QQ284QG</t>
  </si>
  <si>
    <t>XU101CA</t>
  </si>
  <si>
    <t>NHN342</t>
  </si>
  <si>
    <t>JCJ438</t>
  </si>
  <si>
    <t>UJJ513</t>
  </si>
  <si>
    <t>1983</t>
  </si>
  <si>
    <t>VV513YY</t>
  </si>
  <si>
    <t>GG405BB</t>
  </si>
  <si>
    <t>TRANSIT 90T350</t>
  </si>
  <si>
    <t>PDP265</t>
  </si>
  <si>
    <t>SS587SB</t>
  </si>
  <si>
    <t>BG514BG</t>
  </si>
  <si>
    <t>OV487OV</t>
  </si>
  <si>
    <t>QU464UQ</t>
  </si>
  <si>
    <t>VLV764</t>
  </si>
  <si>
    <t>IID988</t>
  </si>
  <si>
    <t>52R96</t>
  </si>
  <si>
    <t>ERM444</t>
  </si>
  <si>
    <t>BBO784</t>
  </si>
  <si>
    <t>JKJ330</t>
  </si>
  <si>
    <t>MOW170</t>
  </si>
  <si>
    <t>OJJ405</t>
  </si>
  <si>
    <t>GE252LA</t>
  </si>
  <si>
    <t>15001002896</t>
  </si>
  <si>
    <t>ანდიაშვილი გელა ი/მ</t>
  </si>
  <si>
    <t>PCP954</t>
  </si>
  <si>
    <t>15001009038</t>
  </si>
  <si>
    <t>მუსხელიშვილი გელა ი/მ</t>
  </si>
  <si>
    <t>SPRINTER 3136 CDI</t>
  </si>
  <si>
    <t>TB007RZ</t>
  </si>
  <si>
    <t>15001001594</t>
  </si>
  <si>
    <t>ტაბრიზ</t>
  </si>
  <si>
    <t>ორუჯოვი</t>
  </si>
  <si>
    <t>PQP601</t>
  </si>
  <si>
    <t>15001002930</t>
  </si>
  <si>
    <t>ვალიევი ილკინ ი/მ</t>
  </si>
  <si>
    <t>სპრინტერ208</t>
  </si>
  <si>
    <t>AYA048</t>
  </si>
  <si>
    <t>52001019608</t>
  </si>
  <si>
    <t>კვანჭიანი ვლადიმერ ი/მ</t>
  </si>
  <si>
    <t>IIN501</t>
  </si>
  <si>
    <t>61009007050</t>
  </si>
  <si>
    <t xml:space="preserve"> გურამ</t>
  </si>
  <si>
    <t>კახაძე</t>
  </si>
  <si>
    <t>ტრანზიტ 75</t>
  </si>
  <si>
    <t>EUE980</t>
  </si>
  <si>
    <t>61009009694</t>
  </si>
  <si>
    <t>აბულაძე ნუგზარი ი/მ</t>
  </si>
  <si>
    <t xml:space="preserve"> ჯაბა</t>
  </si>
  <si>
    <t>OBV 750</t>
  </si>
  <si>
    <t>TRANSIT 330 LTD</t>
  </si>
  <si>
    <t>VA535XO</t>
  </si>
  <si>
    <t>CZC 453</t>
  </si>
  <si>
    <t>RGR 680</t>
  </si>
  <si>
    <t>MGO 100</t>
  </si>
  <si>
    <t>TRANSIT 120T330</t>
  </si>
  <si>
    <t>VVG 167</t>
  </si>
  <si>
    <t>13001024965</t>
  </si>
  <si>
    <t>ილაშვილი ბიძინა ი/მ</t>
  </si>
  <si>
    <t>FTT 614</t>
  </si>
  <si>
    <t>13001008962</t>
  </si>
  <si>
    <t>ბონდო</t>
  </si>
  <si>
    <t>რუსიშვილი</t>
  </si>
  <si>
    <t>ჭანყოშვილი ალექსანდრე ი/მ</t>
  </si>
  <si>
    <t>BJO 777</t>
  </si>
  <si>
    <t>13001053794</t>
  </si>
  <si>
    <t>ალექსანდრე</t>
  </si>
  <si>
    <t>რუაძე</t>
  </si>
  <si>
    <t>OMO040</t>
  </si>
  <si>
    <t>25001003315</t>
  </si>
  <si>
    <t>შველიძე მალხაზი ი/მ</t>
  </si>
  <si>
    <t>ZKZ035</t>
  </si>
  <si>
    <t>25001009222</t>
  </si>
  <si>
    <t>ნოზაძე დიმიტრი ი/მ</t>
  </si>
  <si>
    <t>AA958FF</t>
  </si>
  <si>
    <t>40001005956</t>
  </si>
  <si>
    <t xml:space="preserve"> აკაკი</t>
  </si>
  <si>
    <t>ხუხიაშვილი</t>
  </si>
  <si>
    <t>JGJ 133</t>
  </si>
  <si>
    <t>45001001843</t>
  </si>
  <si>
    <t>სურამლიშვილი გივი ი/მ</t>
  </si>
  <si>
    <t>CRAFTER</t>
  </si>
  <si>
    <t>CL219LC</t>
  </si>
  <si>
    <t>45001028275</t>
  </si>
  <si>
    <t>ფუღიაშვილი</t>
  </si>
  <si>
    <t>FHF 218</t>
  </si>
  <si>
    <t>45001001304</t>
  </si>
  <si>
    <t>სანადირაძე ევგენი ი/მ</t>
  </si>
  <si>
    <t>OO814VV</t>
  </si>
  <si>
    <t>45001004048</t>
  </si>
  <si>
    <t>ზაუტაშვილი ვახტანგ ი/მ</t>
  </si>
  <si>
    <t>ქისტაური ამირან ი/მ</t>
  </si>
  <si>
    <t>ცისკარაული ომარ ი/მ</t>
  </si>
  <si>
    <t>მინივენი</t>
  </si>
  <si>
    <t>HONDA</t>
  </si>
  <si>
    <t>CRV 2,01 16V 4WD</t>
  </si>
  <si>
    <t>ZCZ919</t>
  </si>
  <si>
    <t>14001007512</t>
  </si>
  <si>
    <t xml:space="preserve">ჯორკოშვილი </t>
  </si>
  <si>
    <t>NISSAN</t>
  </si>
  <si>
    <t>LAFESTA</t>
  </si>
  <si>
    <t>AA327VA</t>
  </si>
  <si>
    <t>14001004741</t>
  </si>
  <si>
    <t>მამუკა</t>
  </si>
  <si>
    <t>სეფიაშვილი</t>
  </si>
  <si>
    <t>E180Z</t>
  </si>
  <si>
    <t>AM752A</t>
  </si>
  <si>
    <t>20001006362</t>
  </si>
  <si>
    <t>მამედოვი ელდარ ი/მ</t>
  </si>
  <si>
    <t>DU852UD</t>
  </si>
  <si>
    <t>08001000344</t>
  </si>
  <si>
    <t>მაისურაძე გია ი/მ</t>
  </si>
  <si>
    <t>TRANZIT</t>
  </si>
  <si>
    <t>BB442RR</t>
  </si>
  <si>
    <t>20001044788</t>
  </si>
  <si>
    <t>თუშიშვილი</t>
  </si>
  <si>
    <t>TOYOTA</t>
  </si>
  <si>
    <t>IPSUM</t>
  </si>
  <si>
    <t>AM505MA</t>
  </si>
  <si>
    <t>20001000677</t>
  </si>
  <si>
    <t>ზურაბი</t>
  </si>
  <si>
    <t xml:space="preserve">ლილუაშვილი </t>
  </si>
  <si>
    <t>AD309DA</t>
  </si>
  <si>
    <t>08001021042</t>
  </si>
  <si>
    <t>ჭიჭინაძე თამაზი ი/მ</t>
  </si>
  <si>
    <t xml:space="preserve">MITSUBISHI </t>
  </si>
  <si>
    <t>DELICA</t>
  </si>
  <si>
    <t>BB257PP</t>
  </si>
  <si>
    <t>08001001541</t>
  </si>
  <si>
    <t>კოჭლამაზაშვილი ვაჟა ი/მ</t>
  </si>
  <si>
    <t>RTR446</t>
  </si>
  <si>
    <t>08001017996</t>
  </si>
  <si>
    <t>შათირიშვილი პაატა ი/მ</t>
  </si>
  <si>
    <t>ROSA</t>
  </si>
  <si>
    <t>LWL129</t>
  </si>
  <si>
    <t>შპს ჯეოტივი</t>
  </si>
  <si>
    <t>COASTER</t>
  </si>
  <si>
    <t>2013</t>
  </si>
  <si>
    <t>FFT562</t>
  </si>
  <si>
    <t>M23</t>
  </si>
  <si>
    <t>STS505</t>
  </si>
  <si>
    <t>HBH403</t>
  </si>
  <si>
    <t>NKN028</t>
  </si>
  <si>
    <t>FFT563</t>
  </si>
  <si>
    <t>AA263HH</t>
  </si>
  <si>
    <t>HBH402</t>
  </si>
  <si>
    <t>BB853OB</t>
  </si>
  <si>
    <t xml:space="preserve">TOYOTA </t>
  </si>
  <si>
    <t>2012</t>
  </si>
  <si>
    <t>BB083OB</t>
  </si>
  <si>
    <t>XLX302</t>
  </si>
  <si>
    <t>XLX304</t>
  </si>
  <si>
    <t>MAX</t>
  </si>
  <si>
    <t>ა(ა)იპ ბორჯომის საზოგადოებრივი ტრანსპორტი</t>
  </si>
  <si>
    <t>BB280PP</t>
  </si>
  <si>
    <t>LIK276</t>
  </si>
  <si>
    <t>UCU 452</t>
  </si>
  <si>
    <t>NP-21</t>
  </si>
  <si>
    <t>UCU453</t>
  </si>
  <si>
    <t>AA 932 AB</t>
  </si>
  <si>
    <t>PAZ</t>
  </si>
  <si>
    <t>4234-00</t>
  </si>
  <si>
    <t>GNA641</t>
  </si>
  <si>
    <t>GNA642</t>
  </si>
  <si>
    <t>GNA643</t>
  </si>
  <si>
    <t>GNA644</t>
  </si>
  <si>
    <t>3206</t>
  </si>
  <si>
    <t>CG146GC</t>
  </si>
  <si>
    <t>AA931BB</t>
  </si>
  <si>
    <t>JPJ830</t>
  </si>
  <si>
    <t>03001013450</t>
  </si>
  <si>
    <t>დავაძე</t>
  </si>
  <si>
    <t>DXD656</t>
  </si>
  <si>
    <t>16001009349</t>
  </si>
  <si>
    <t>ხითარიშვილი ემზარ ი/მ</t>
  </si>
  <si>
    <t>TRANSIT 350 LTD</t>
  </si>
  <si>
    <t>IPI754</t>
  </si>
  <si>
    <t>03001002005</t>
  </si>
  <si>
    <t>მაჩიტაძე გოჩა ი/მ</t>
  </si>
  <si>
    <t>SPRINTER 906KA35 311 CDI</t>
  </si>
  <si>
    <t>AM100EX</t>
  </si>
  <si>
    <t>03001001740</t>
  </si>
  <si>
    <t>გიგოლაშვილი ზაზა ი/მ</t>
  </si>
  <si>
    <t>SPBINTER 311 CD</t>
  </si>
  <si>
    <t>OSO966</t>
  </si>
  <si>
    <t>03001002189</t>
  </si>
  <si>
    <t>თუმანიშვილი</t>
  </si>
  <si>
    <t>აბესალომ</t>
  </si>
  <si>
    <t xml:space="preserve"> TRANSIT 190 L</t>
  </si>
  <si>
    <t>UNU472</t>
  </si>
  <si>
    <t>05001003560</t>
  </si>
  <si>
    <t>ცალქალამანიძე ანზორ ი/მ</t>
  </si>
  <si>
    <t>LWL414</t>
  </si>
  <si>
    <t>05001003234</t>
  </si>
  <si>
    <t>ივანიძე ლევან ი/მ</t>
  </si>
  <si>
    <t xml:space="preserve"> TRANSIT 100 L</t>
  </si>
  <si>
    <t>JJ828II</t>
  </si>
  <si>
    <t>05001001320</t>
  </si>
  <si>
    <t>მანუჩარ</t>
  </si>
  <si>
    <t>სესაძე</t>
  </si>
  <si>
    <t>მანასიანი ნორაირ ი/მ</t>
  </si>
  <si>
    <t>AAK020KA</t>
  </si>
  <si>
    <t>გევორგ</t>
  </si>
  <si>
    <t>დარბინიან</t>
  </si>
  <si>
    <t>S215HDH</t>
  </si>
  <si>
    <t>SH900LO</t>
  </si>
  <si>
    <t>07001004631</t>
  </si>
  <si>
    <t xml:space="preserve"> შალვა </t>
  </si>
  <si>
    <t>TRANSIT 150 D</t>
  </si>
  <si>
    <t>HI005NG</t>
  </si>
  <si>
    <t>07001002888</t>
  </si>
  <si>
    <t>მკოიან მაკარ ი/მ</t>
  </si>
  <si>
    <t>AC934CA</t>
  </si>
  <si>
    <t>32001014495</t>
  </si>
  <si>
    <t>გრიგორიან მისაკ ი/მ</t>
  </si>
  <si>
    <t>QHQ 831</t>
  </si>
  <si>
    <t>32001010072</t>
  </si>
  <si>
    <t>ხაჩატურ</t>
  </si>
  <si>
    <t>ხაჩატრიან</t>
  </si>
  <si>
    <t>IIO385</t>
  </si>
  <si>
    <t>32001003769</t>
  </si>
  <si>
    <t>ბდოიან არმენ ი/მ</t>
  </si>
  <si>
    <t>308 CDI</t>
  </si>
  <si>
    <t>JJO889</t>
  </si>
  <si>
    <t>32001007428</t>
  </si>
  <si>
    <t>მარგარიან არამაის ი/მ</t>
  </si>
  <si>
    <t>32053</t>
  </si>
  <si>
    <t>DFD-870</t>
  </si>
  <si>
    <t>შპს ახალი ტრანსპორტი</t>
  </si>
  <si>
    <t>LIG-203</t>
  </si>
  <si>
    <t>LIG-204</t>
  </si>
  <si>
    <t>LIG-224</t>
  </si>
  <si>
    <t>LIG-205</t>
  </si>
  <si>
    <t>LIG-220</t>
  </si>
  <si>
    <t>LIG-221</t>
  </si>
  <si>
    <t>SPRINTER312 D</t>
  </si>
  <si>
    <t xml:space="preserve"> YGY 312 </t>
  </si>
  <si>
    <t>27001003303</t>
  </si>
  <si>
    <t>ბენდელიანი ბადრი ი/მ</t>
  </si>
  <si>
    <t>WVV440</t>
  </si>
  <si>
    <t>27001001732</t>
  </si>
  <si>
    <t>გაზდელიანი თემური ი/მ</t>
  </si>
  <si>
    <t>VAN</t>
  </si>
  <si>
    <t>JJO 269</t>
  </si>
  <si>
    <t>27001000186</t>
  </si>
  <si>
    <t>გაბო</t>
  </si>
  <si>
    <t>ბაბლუანი</t>
  </si>
  <si>
    <t>ZBZ404</t>
  </si>
  <si>
    <t>27001006452</t>
  </si>
  <si>
    <t>ონიანი გივი ი/მ</t>
  </si>
  <si>
    <t>VVW698</t>
  </si>
  <si>
    <t>01019014336</t>
  </si>
  <si>
    <t>რაზმაძე ვალერიანი ი/მ</t>
  </si>
  <si>
    <t>სულაძე მინდია ი/მ</t>
  </si>
  <si>
    <t>GLL089</t>
  </si>
  <si>
    <t>34001007045</t>
  </si>
  <si>
    <t>ლობჯანიძე რობიზონ ი/მ</t>
  </si>
  <si>
    <t>VXV438</t>
  </si>
  <si>
    <t>ონიანი ვაჟა ი/მ</t>
  </si>
  <si>
    <t>ფანჯავიძე გიორგი ი/მ</t>
  </si>
  <si>
    <t>BBN 838</t>
  </si>
  <si>
    <t>49001009096</t>
  </si>
  <si>
    <t>ბორის</t>
  </si>
  <si>
    <t>ბანძელაძე</t>
  </si>
  <si>
    <t xml:space="preserve">MERCEDES BENZ </t>
  </si>
  <si>
    <t>LLC 484</t>
  </si>
  <si>
    <t>49001001837</t>
  </si>
  <si>
    <t>დავითი</t>
  </si>
  <si>
    <t>კოპალიანი</t>
  </si>
  <si>
    <t>SPRINTERI 312 D-KA</t>
  </si>
  <si>
    <t>FAN 630</t>
  </si>
  <si>
    <t>49001004379</t>
  </si>
  <si>
    <t>ფუტკარაძე ალექსანდრე ი/მ</t>
  </si>
  <si>
    <t>FVF712</t>
  </si>
  <si>
    <t>27001000376</t>
  </si>
  <si>
    <t>ხმელიძე გოჩა ი/მ</t>
  </si>
  <si>
    <t>BAX022</t>
  </si>
  <si>
    <t>შპს აჭარატრანსრეგულირება</t>
  </si>
  <si>
    <t>MERS</t>
  </si>
  <si>
    <t>SS724ZZ</t>
  </si>
  <si>
    <t>NBE274</t>
  </si>
  <si>
    <t>BB572UU</t>
  </si>
  <si>
    <t>QQD905</t>
  </si>
  <si>
    <t>NNI952</t>
  </si>
  <si>
    <t>BA705AC</t>
  </si>
  <si>
    <t>BT060TB</t>
  </si>
  <si>
    <t>NNH810</t>
  </si>
  <si>
    <t>BM190MB</t>
  </si>
  <si>
    <t>HB784BH</t>
  </si>
  <si>
    <t>AKA470</t>
  </si>
  <si>
    <t>HH059TT</t>
  </si>
  <si>
    <t>UFU725</t>
  </si>
  <si>
    <t>GE004GA</t>
  </si>
  <si>
    <t>WWS215</t>
  </si>
  <si>
    <t>BAR809</t>
  </si>
  <si>
    <t>SCS113</t>
  </si>
  <si>
    <t>FORd</t>
  </si>
  <si>
    <t>TDT228</t>
  </si>
  <si>
    <t>FG256GF</t>
  </si>
  <si>
    <t>BT472TB</t>
  </si>
  <si>
    <t>LLS574</t>
  </si>
  <si>
    <t>NN954MM</t>
  </si>
  <si>
    <t>XK521KX</t>
  </si>
  <si>
    <t>BA640AC</t>
  </si>
  <si>
    <t>SG361GS</t>
  </si>
  <si>
    <t>BM175MB</t>
  </si>
  <si>
    <t>GGO029</t>
  </si>
  <si>
    <t>MP623PM</t>
  </si>
  <si>
    <t>BTM248</t>
  </si>
  <si>
    <t>ZTB007</t>
  </si>
  <si>
    <t>NPN985</t>
  </si>
  <si>
    <t>BN534MB</t>
  </si>
  <si>
    <t>BC996BD</t>
  </si>
  <si>
    <t>LT090TL</t>
  </si>
  <si>
    <t>NN712WW</t>
  </si>
  <si>
    <t>QB869BQ</t>
  </si>
  <si>
    <t>OFO456</t>
  </si>
  <si>
    <t>WV</t>
  </si>
  <si>
    <t>DOQ989</t>
  </si>
  <si>
    <t>GGP702</t>
  </si>
  <si>
    <t>TUS490</t>
  </si>
  <si>
    <t>NI334II</t>
  </si>
  <si>
    <t>BBR366</t>
  </si>
  <si>
    <t>LVN949</t>
  </si>
  <si>
    <t>GMB880</t>
  </si>
  <si>
    <t>XTX087</t>
  </si>
  <si>
    <t>TTF472</t>
  </si>
  <si>
    <t>LIG550</t>
  </si>
  <si>
    <t>GGO143</t>
  </si>
  <si>
    <t>RUS234</t>
  </si>
  <si>
    <t>HH897TT</t>
  </si>
  <si>
    <t>XYX731</t>
  </si>
  <si>
    <t>JII416</t>
  </si>
  <si>
    <t>YGY794</t>
  </si>
  <si>
    <t>DKT777</t>
  </si>
  <si>
    <t>TB992BT</t>
  </si>
  <si>
    <t>UBU799</t>
  </si>
  <si>
    <t>QKQ482</t>
  </si>
  <si>
    <t>NNI041</t>
  </si>
  <si>
    <t>LIA468</t>
  </si>
  <si>
    <t>BBS117</t>
  </si>
  <si>
    <t>906KA50</t>
  </si>
  <si>
    <t>BB636NN</t>
  </si>
  <si>
    <t>NN036MM</t>
  </si>
  <si>
    <t>IJL227</t>
  </si>
  <si>
    <t>BTM512</t>
  </si>
  <si>
    <t>GFG636</t>
  </si>
  <si>
    <t>GYG934</t>
  </si>
  <si>
    <t>BC168BF</t>
  </si>
  <si>
    <t>BMS904</t>
  </si>
  <si>
    <t>NBE553</t>
  </si>
  <si>
    <t>LT35D</t>
  </si>
  <si>
    <t>TB174BT</t>
  </si>
  <si>
    <t>ZZZ067</t>
  </si>
  <si>
    <t>FIAT</t>
  </si>
  <si>
    <t>DUCATO</t>
  </si>
  <si>
    <t>OSO417</t>
  </si>
  <si>
    <t>BAX450</t>
  </si>
  <si>
    <t>AA625FA</t>
  </si>
  <si>
    <t>YPY570</t>
  </si>
  <si>
    <t>CCQ966</t>
  </si>
  <si>
    <t>MEC188</t>
  </si>
  <si>
    <t>CCS769</t>
  </si>
  <si>
    <t>GG379GG</t>
  </si>
  <si>
    <t>LT39</t>
  </si>
  <si>
    <t>BM-777-TA</t>
  </si>
  <si>
    <t>შპს, ქედის ავტოსატრანსპორტო საწარმო</t>
  </si>
  <si>
    <t>AS-007-LO</t>
  </si>
  <si>
    <t>UUU-446</t>
  </si>
  <si>
    <t>LEO-022</t>
  </si>
  <si>
    <t>XXU-199</t>
  </si>
  <si>
    <t>RQR-099</t>
  </si>
  <si>
    <t>GGP-099</t>
  </si>
  <si>
    <t>AK-865-KA</t>
  </si>
  <si>
    <t>BBR-484</t>
  </si>
  <si>
    <t>OO-415-VV</t>
  </si>
  <si>
    <t>GQ-949-QG</t>
  </si>
  <si>
    <t>UOU-734</t>
  </si>
  <si>
    <t>AM-009-RO</t>
  </si>
  <si>
    <t>GFG-036</t>
  </si>
  <si>
    <t>SS-277-ZZ</t>
  </si>
  <si>
    <t>DB-777-MG</t>
  </si>
  <si>
    <t>SBB-272</t>
  </si>
  <si>
    <t>OM-900-AR</t>
  </si>
  <si>
    <t>DDQ-512</t>
  </si>
  <si>
    <t>DOODGE</t>
  </si>
  <si>
    <t>BX-323-XB</t>
  </si>
  <si>
    <t>CCO-830</t>
  </si>
  <si>
    <t>BOS-154</t>
  </si>
  <si>
    <t>OLC-677</t>
  </si>
  <si>
    <t>NBE-866</t>
  </si>
  <si>
    <t>GPB-238</t>
  </si>
  <si>
    <t>MP-566-PM</t>
  </si>
  <si>
    <t>CBB-680</t>
  </si>
  <si>
    <t>WTF-154</t>
  </si>
  <si>
    <t>SPRINTER 312 D KA</t>
  </si>
  <si>
    <t>GGO992</t>
  </si>
  <si>
    <t>SPRINTER 302</t>
  </si>
  <si>
    <t>BEF004</t>
  </si>
  <si>
    <t>SM444MS</t>
  </si>
  <si>
    <t>310 2,9D</t>
  </si>
  <si>
    <t>VH359HV</t>
  </si>
  <si>
    <t>BC907CB</t>
  </si>
  <si>
    <t>LT 35</t>
  </si>
  <si>
    <t>MB045BM</t>
  </si>
  <si>
    <t>212 2,9D</t>
  </si>
  <si>
    <t>ZDZ482</t>
  </si>
  <si>
    <t>TRANSIT 2,0</t>
  </si>
  <si>
    <t>OLC620</t>
  </si>
  <si>
    <t>VVO827</t>
  </si>
  <si>
    <t>TB557BT</t>
  </si>
  <si>
    <t>AA014AB</t>
  </si>
  <si>
    <t>MK422KM</t>
  </si>
  <si>
    <t>TYS337</t>
  </si>
  <si>
    <t>ZOR684</t>
  </si>
  <si>
    <t>LP019PL</t>
  </si>
  <si>
    <t>GBB758</t>
  </si>
  <si>
    <t>TRANSIT 150LD</t>
  </si>
  <si>
    <t>QQ558FF</t>
  </si>
  <si>
    <t>ZAZ290</t>
  </si>
  <si>
    <t>CCQ611</t>
  </si>
  <si>
    <t>BC770AC</t>
  </si>
  <si>
    <t>LIG847</t>
  </si>
  <si>
    <t>61010015075</t>
  </si>
  <si>
    <t>ფუტკარაძე შოთა ი/მ</t>
  </si>
  <si>
    <t>XYX997</t>
  </si>
  <si>
    <t>61010008515</t>
  </si>
  <si>
    <t>მუკუტაძე მურმან ი/მ</t>
  </si>
  <si>
    <t>VZY958</t>
  </si>
  <si>
    <t>61010006075</t>
  </si>
  <si>
    <t>ლეონიდ</t>
  </si>
  <si>
    <t>ბეჟანიძე</t>
  </si>
  <si>
    <t>LLS362</t>
  </si>
  <si>
    <t>61010004376</t>
  </si>
  <si>
    <t>ნაკაიძე მამუკა ი/მ</t>
  </si>
  <si>
    <t>WV939VW</t>
  </si>
  <si>
    <t>61010004421</t>
  </si>
  <si>
    <t>ჯემალ</t>
  </si>
  <si>
    <t>დავითაძე</t>
  </si>
  <si>
    <t>NIK211</t>
  </si>
  <si>
    <t>61010000825</t>
  </si>
  <si>
    <t>ქათამაძე</t>
  </si>
  <si>
    <t>HHN385</t>
  </si>
  <si>
    <t>61010012755</t>
  </si>
  <si>
    <t>ზაურ</t>
  </si>
  <si>
    <t>გოგიტიძე</t>
  </si>
  <si>
    <t>GX926XG</t>
  </si>
  <si>
    <t>61010011940</t>
  </si>
  <si>
    <t>KSK259</t>
  </si>
  <si>
    <t>61010001674</t>
  </si>
  <si>
    <t>ქამადაძე აბესალომ ი/მ</t>
  </si>
  <si>
    <t>CL541LC</t>
  </si>
  <si>
    <t>61010013029</t>
  </si>
  <si>
    <t>ბერიძე ამირან ი/მ</t>
  </si>
  <si>
    <t>211CDI</t>
  </si>
  <si>
    <t>AA381UU</t>
  </si>
  <si>
    <t>61009005295</t>
  </si>
  <si>
    <t>FORD TRANSIT 190 LTD</t>
  </si>
  <si>
    <t>მარკოიძე მერაბ ი/მ</t>
  </si>
  <si>
    <t>GFG058</t>
  </si>
  <si>
    <t>61009006415</t>
  </si>
  <si>
    <t>ბოლქვაძე შოთა ი/მ</t>
  </si>
  <si>
    <t>BE285BD</t>
  </si>
  <si>
    <t>61009014434</t>
  </si>
  <si>
    <t>ხინიკაძე თემურ ი/მ</t>
  </si>
  <si>
    <t>mercedes-benz</t>
  </si>
  <si>
    <t>wws-403</t>
  </si>
  <si>
    <t>შპს ჯორჯია ტრანსი</t>
  </si>
  <si>
    <t xml:space="preserve">FoRD </t>
  </si>
  <si>
    <t>NBE-595</t>
  </si>
  <si>
    <t>Transit 2,5 D</t>
  </si>
  <si>
    <t>TDT-411</t>
  </si>
  <si>
    <t>BBQ-462</t>
  </si>
  <si>
    <t>transit</t>
  </si>
  <si>
    <t>NBE-016</t>
  </si>
  <si>
    <t>208CDI</t>
  </si>
  <si>
    <t>BB687CC</t>
  </si>
  <si>
    <t>FPF-902</t>
  </si>
  <si>
    <t>Transit FT190L</t>
  </si>
  <si>
    <t>FAN-595</t>
  </si>
  <si>
    <t xml:space="preserve">Transit 2,5D </t>
  </si>
  <si>
    <t>OLC-546</t>
  </si>
  <si>
    <t>OFO-470</t>
  </si>
  <si>
    <t>BBQ-526</t>
  </si>
  <si>
    <t>Transit2,5D</t>
  </si>
  <si>
    <t xml:space="preserve">Transit150L </t>
  </si>
  <si>
    <t>CCO-115</t>
  </si>
  <si>
    <t>NGN-995</t>
  </si>
  <si>
    <t>NBE-939</t>
  </si>
  <si>
    <t>TDT-286</t>
  </si>
  <si>
    <t>BE958BD</t>
  </si>
  <si>
    <t>Transit100LTD</t>
  </si>
  <si>
    <t>WTF625</t>
  </si>
  <si>
    <t>Transit190LD</t>
  </si>
  <si>
    <t>LP091PL</t>
  </si>
  <si>
    <t>VZY-946</t>
  </si>
  <si>
    <t>NI785Ka</t>
  </si>
  <si>
    <t>TB741BT</t>
  </si>
  <si>
    <t>BC159BF</t>
  </si>
  <si>
    <t>HPH922</t>
  </si>
  <si>
    <t>Transit350LTD</t>
  </si>
  <si>
    <t>BE144DB</t>
  </si>
  <si>
    <t>Sprinter310D</t>
  </si>
  <si>
    <t>NNH326</t>
  </si>
  <si>
    <t>BT123TB</t>
  </si>
  <si>
    <t>DodGe</t>
  </si>
  <si>
    <t>Sprinter2500</t>
  </si>
  <si>
    <t>QB360BQ</t>
  </si>
  <si>
    <t>SG302GS</t>
  </si>
  <si>
    <t>Sprinter</t>
  </si>
  <si>
    <t>ST843TS</t>
  </si>
  <si>
    <t>DoDGe</t>
  </si>
  <si>
    <t>sprinter2500</t>
  </si>
  <si>
    <t>BI949TB</t>
  </si>
  <si>
    <t>SPRINTEER 903D KA</t>
  </si>
  <si>
    <t>BX305XB</t>
  </si>
  <si>
    <t>MWN-918</t>
  </si>
  <si>
    <t>Transit100L</t>
  </si>
  <si>
    <t>WTF-872</t>
  </si>
  <si>
    <t>VH568HV</t>
  </si>
  <si>
    <t>MMV115</t>
  </si>
  <si>
    <t>GFG335</t>
  </si>
  <si>
    <t>SZ884ZS</t>
  </si>
  <si>
    <t>BTM387</t>
  </si>
  <si>
    <t xml:space="preserve">BT124TB </t>
  </si>
  <si>
    <t>sprinter412D</t>
  </si>
  <si>
    <t>FOT286</t>
  </si>
  <si>
    <t>BA033BA</t>
  </si>
  <si>
    <t>AMS726</t>
  </si>
  <si>
    <t>sprinter416D</t>
  </si>
  <si>
    <t>TX339XT</t>
  </si>
  <si>
    <t>sprinter208D</t>
  </si>
  <si>
    <t>XSX027</t>
  </si>
  <si>
    <t>ST285TS</t>
  </si>
  <si>
    <t>BBM819</t>
  </si>
  <si>
    <t>BTM164</t>
  </si>
  <si>
    <t>GI500OC</t>
  </si>
  <si>
    <t>BB644CC</t>
  </si>
  <si>
    <t>XHX162</t>
  </si>
  <si>
    <t>MMV258</t>
  </si>
  <si>
    <t>LP989PL</t>
  </si>
  <si>
    <t>SS596MM</t>
  </si>
  <si>
    <t>HHN324</t>
  </si>
  <si>
    <t>VZZ581</t>
  </si>
  <si>
    <t>CCS268</t>
  </si>
  <si>
    <t>GGP694</t>
  </si>
  <si>
    <t>BKB550</t>
  </si>
  <si>
    <t>EJE082</t>
  </si>
  <si>
    <t>KSK243</t>
  </si>
  <si>
    <t>XWX908</t>
  </si>
  <si>
    <t>ILL257</t>
  </si>
  <si>
    <t>LLQ608</t>
  </si>
  <si>
    <t>SprinTer</t>
  </si>
  <si>
    <t>MU001KO</t>
  </si>
  <si>
    <t>ReNauLT</t>
  </si>
  <si>
    <t>Master</t>
  </si>
  <si>
    <t>CCO081</t>
  </si>
  <si>
    <t>BTM861</t>
  </si>
  <si>
    <t>GFG947</t>
  </si>
  <si>
    <t>TTS746</t>
  </si>
  <si>
    <t>GFG057</t>
  </si>
  <si>
    <t>ZOR788</t>
  </si>
  <si>
    <t>TDT393</t>
  </si>
  <si>
    <t>BM133MB</t>
  </si>
  <si>
    <t>RBR521</t>
  </si>
  <si>
    <t xml:space="preserve">Sprinter </t>
  </si>
  <si>
    <t>BBQ970</t>
  </si>
  <si>
    <t>AA805JJ</t>
  </si>
  <si>
    <t xml:space="preserve">transit </t>
  </si>
  <si>
    <t>XHX175</t>
  </si>
  <si>
    <t>RC039BD</t>
  </si>
  <si>
    <t>DS259SD</t>
  </si>
  <si>
    <t>BA225AC</t>
  </si>
  <si>
    <t>Spinter</t>
  </si>
  <si>
    <t>BNL555</t>
  </si>
  <si>
    <t>BAT501</t>
  </si>
  <si>
    <t>VV991OO</t>
  </si>
  <si>
    <t>GAS819</t>
  </si>
  <si>
    <t>MAI191OO</t>
  </si>
  <si>
    <t>XQX089</t>
  </si>
  <si>
    <t>Sprinetr</t>
  </si>
  <si>
    <t>TNB555</t>
  </si>
  <si>
    <t>CCS776</t>
  </si>
  <si>
    <t>LEO055</t>
  </si>
  <si>
    <t>HB678BH</t>
  </si>
  <si>
    <t>HB336BH</t>
  </si>
  <si>
    <t>LCL435</t>
  </si>
  <si>
    <t>spronter</t>
  </si>
  <si>
    <t>TT886ZZ</t>
  </si>
  <si>
    <t>CCS383</t>
  </si>
  <si>
    <t>OFO-192</t>
  </si>
  <si>
    <t>VH998HV</t>
  </si>
  <si>
    <t>HB863BH</t>
  </si>
  <si>
    <t>sPrinter</t>
  </si>
  <si>
    <t>SG416GS</t>
  </si>
  <si>
    <t>LLZ975</t>
  </si>
  <si>
    <t>GGQ176</t>
  </si>
  <si>
    <t>GGQ884</t>
  </si>
  <si>
    <t>FPF-678</t>
  </si>
  <si>
    <t>TTF815</t>
  </si>
  <si>
    <t>TTF448</t>
  </si>
  <si>
    <t>WWS123</t>
  </si>
  <si>
    <t>AMS-416</t>
  </si>
  <si>
    <t>VITO 111 CDI</t>
  </si>
  <si>
    <t>ZUK004</t>
  </si>
  <si>
    <t>01017008426</t>
  </si>
  <si>
    <t>მარიამიძე ზურაბი/მ</t>
  </si>
  <si>
    <t>ED101OQ</t>
  </si>
  <si>
    <t>01001074961</t>
  </si>
  <si>
    <t>ედიშერ</t>
  </si>
  <si>
    <t>ჩაბაიძე</t>
  </si>
  <si>
    <t>VI110IV</t>
  </si>
  <si>
    <t>01013008493</t>
  </si>
  <si>
    <t>მახარაშვილი</t>
  </si>
  <si>
    <t>N 516 SHD-H</t>
  </si>
  <si>
    <t>MB644BM</t>
  </si>
  <si>
    <t>FLAT 380 E 12,38</t>
  </si>
  <si>
    <t>ZA010ZA</t>
  </si>
  <si>
    <t>QB151BQ</t>
  </si>
  <si>
    <t>LT 35 TD</t>
  </si>
  <si>
    <t>ZBM100</t>
  </si>
  <si>
    <t>SS889BB</t>
  </si>
  <si>
    <t>JGJ105</t>
  </si>
  <si>
    <t>BB065CC</t>
  </si>
  <si>
    <t>61009016233</t>
  </si>
  <si>
    <t>ვაჟა</t>
  </si>
  <si>
    <t>წულუკიძე</t>
  </si>
  <si>
    <t>S 215 HDH</t>
  </si>
  <si>
    <t>HOH979</t>
  </si>
  <si>
    <t>01001003578</t>
  </si>
  <si>
    <t>შავლაძე თამაზ ი/მ</t>
  </si>
  <si>
    <t>EURORAIDER,35</t>
  </si>
  <si>
    <t>XX818MM</t>
  </si>
  <si>
    <t>46001003023</t>
  </si>
  <si>
    <t>ჯინჭარაძე კახაბერ ი/მ</t>
  </si>
  <si>
    <t>IU006ZA</t>
  </si>
  <si>
    <t>04001004256</t>
  </si>
  <si>
    <t>იუზა</t>
  </si>
  <si>
    <t>შარაბიძე</t>
  </si>
  <si>
    <t>MP312PM</t>
  </si>
  <si>
    <t>33001004004</t>
  </si>
  <si>
    <t>შარაძე დავით ი/მ</t>
  </si>
  <si>
    <t>MAC222</t>
  </si>
  <si>
    <t>26001001355</t>
  </si>
  <si>
    <t>ქირია რევაზ ი/მ</t>
  </si>
  <si>
    <t>აბულაძე გოდერძი ი/მ</t>
  </si>
  <si>
    <t>18001032369</t>
  </si>
  <si>
    <t>აბულაძე თამაზ ი/მ</t>
  </si>
  <si>
    <t>LT 45</t>
  </si>
  <si>
    <t>XSO777</t>
  </si>
  <si>
    <t>18001002336</t>
  </si>
  <si>
    <t>მიროტაძე ამირან ი/მ</t>
  </si>
  <si>
    <t>მიქაბერიძე გელა ი/მ</t>
  </si>
  <si>
    <t>შეყლაშვილი ზაზა ი/მ</t>
  </si>
  <si>
    <t>გაბადაძე ზურაბი ი/მ</t>
  </si>
  <si>
    <t>გვენეტაძე მირზა ი/მ</t>
  </si>
  <si>
    <t>ფანცხავა ელგუჯა ი/მ</t>
  </si>
  <si>
    <t>გაბაძე უშანგი ი/მ</t>
  </si>
  <si>
    <t>ლურსმანაშვილი გელა ი/მ</t>
  </si>
  <si>
    <t>16</t>
  </si>
  <si>
    <t>ფანცულაია კახა ი/მ</t>
  </si>
  <si>
    <t xml:space="preserve"> S 315 HD</t>
  </si>
  <si>
    <t>კეზუა ზურაბ ი/მ</t>
  </si>
  <si>
    <t>ჟღენტი ვასილი ი/მ</t>
  </si>
  <si>
    <t>310 2.9D</t>
  </si>
  <si>
    <t>TRANSIT 2.5D</t>
  </si>
  <si>
    <t>246754150</t>
  </si>
  <si>
    <t>შპს ქედის ავტოსატრანსპორტო საწარმო</t>
  </si>
  <si>
    <t>მარკოიძე მერაბ  ი/მ</t>
  </si>
  <si>
    <t>ხინიკაძე თემურ  ი/მ</t>
  </si>
  <si>
    <t>TRANSIT 100 GL 2.5 D</t>
  </si>
  <si>
    <t>TRANSIT 2.5 D</t>
  </si>
  <si>
    <t>სულხან</t>
  </si>
  <si>
    <t>გეგიძე</t>
  </si>
  <si>
    <t>ფაიქიძე ვასილი ი/მ</t>
  </si>
  <si>
    <t>ჭანკვეტაძე აკაკი ი/მ</t>
  </si>
  <si>
    <t>S 550</t>
  </si>
  <si>
    <t>GI777TU</t>
  </si>
  <si>
    <t>01011036181</t>
  </si>
  <si>
    <t>ტუშური გიორგი ი/მ</t>
  </si>
  <si>
    <t>CC682II</t>
  </si>
  <si>
    <t>436035924</t>
  </si>
  <si>
    <t>შპს ლომო 2015</t>
  </si>
  <si>
    <t>TOURNKO</t>
  </si>
  <si>
    <t>AE777RO</t>
  </si>
  <si>
    <t>202461638</t>
  </si>
  <si>
    <t>შპს ვისტა ჯორჯია</t>
  </si>
  <si>
    <t>GGS724</t>
  </si>
  <si>
    <t>სირგინავა ზვიად ი/მ</t>
  </si>
  <si>
    <t>NG386GN</t>
  </si>
  <si>
    <t>ცომაია ნუგზარ ი/მ</t>
  </si>
  <si>
    <t>KIA</t>
  </si>
  <si>
    <t>CERATO</t>
  </si>
  <si>
    <t>CC871GG</t>
  </si>
  <si>
    <t>CC679GG</t>
  </si>
  <si>
    <t>CC851GG</t>
  </si>
  <si>
    <t>CC677GG</t>
  </si>
  <si>
    <t>BOVA</t>
  </si>
  <si>
    <t>1982</t>
  </si>
  <si>
    <t>TT150CB</t>
  </si>
  <si>
    <t>შპს თბილისის სატრანსპორტო კომპანია</t>
  </si>
  <si>
    <t>CCQ215</t>
  </si>
  <si>
    <t>CC675GG</t>
  </si>
  <si>
    <t>CC855GG</t>
  </si>
  <si>
    <t>CC678GG</t>
  </si>
  <si>
    <t>CC695GG</t>
  </si>
  <si>
    <t>RDR074</t>
  </si>
  <si>
    <t>24001005865</t>
  </si>
  <si>
    <t>გუგულაშვილი</t>
  </si>
  <si>
    <t>LPL237</t>
  </si>
  <si>
    <t>სამხარაული</t>
  </si>
  <si>
    <t>ზვიად სირგინავა</t>
  </si>
  <si>
    <t>ნუგზარ ცომაია</t>
  </si>
  <si>
    <t>SPRINTER 313 ICD</t>
  </si>
  <si>
    <t>VI615IV</t>
  </si>
  <si>
    <t>61009004647</t>
  </si>
  <si>
    <t>ESCAPE</t>
  </si>
  <si>
    <t>NBN353</t>
  </si>
  <si>
    <t>ნადიმ</t>
  </si>
  <si>
    <t>AL717EX</t>
  </si>
  <si>
    <t>28001004614</t>
  </si>
  <si>
    <t xml:space="preserve">ალექსი </t>
  </si>
  <si>
    <t>გურგენიშვილი</t>
  </si>
  <si>
    <t>,,,</t>
  </si>
  <si>
    <r>
      <rPr>
        <b/>
        <sz val="10"/>
        <rFont val="Sylfaen"/>
        <family val="1"/>
        <charset val="204"/>
      </rPr>
      <t>ბუღალტერი</t>
    </r>
    <r>
      <rPr>
        <sz val="10"/>
        <rFont val="Sylfaen"/>
        <family val="1"/>
        <charset val="204"/>
      </rPr>
      <t xml:space="preserve"> (ან საამისოდ უფლებამოსილი </t>
    </r>
  </si>
  <si>
    <t>ბ,ა,</t>
  </si>
  <si>
    <t>ავტობუსი (15+1)</t>
  </si>
  <si>
    <t>PYP 577</t>
  </si>
  <si>
    <t>ღარიბაშვილი</t>
  </si>
  <si>
    <t>V230</t>
  </si>
  <si>
    <t>AA293WA</t>
  </si>
  <si>
    <t>01001087078</t>
  </si>
  <si>
    <t>კაპანაძე</t>
  </si>
  <si>
    <t>GQG828</t>
  </si>
  <si>
    <t>მერაბი</t>
  </si>
  <si>
    <t>კაციტაძე</t>
  </si>
  <si>
    <t>აკაკი</t>
  </si>
  <si>
    <t>N516 SHD-H</t>
  </si>
  <si>
    <t>0403</t>
  </si>
  <si>
    <t>EVE724</t>
  </si>
  <si>
    <t>FLAT 380E 12.38</t>
  </si>
  <si>
    <t>AM009RO</t>
  </si>
  <si>
    <t>SRB272</t>
  </si>
  <si>
    <t>TTF845</t>
  </si>
  <si>
    <t>UOU734</t>
  </si>
  <si>
    <t>ST795TS</t>
  </si>
  <si>
    <t>SPRINTER 308</t>
  </si>
  <si>
    <t>WTF004</t>
  </si>
  <si>
    <t>GFG036</t>
  </si>
  <si>
    <t>DB777MG</t>
  </si>
  <si>
    <t>OM900AR</t>
  </si>
  <si>
    <t>CCO868</t>
  </si>
  <si>
    <t>TRAVEGO ISSHD</t>
  </si>
  <si>
    <t>XBB838</t>
  </si>
  <si>
    <t>ბაგრატ ბაბუჩაიშვილი</t>
  </si>
  <si>
    <t>OTAKA</t>
  </si>
  <si>
    <t>SULTAN C 1255</t>
  </si>
  <si>
    <t>LKG111</t>
  </si>
  <si>
    <t>61006004224</t>
  </si>
  <si>
    <t>მალხაზ ბაბუჩაიშვილი</t>
  </si>
  <si>
    <t>SPRINTER TRUCK/CAM</t>
  </si>
  <si>
    <t>JJI056</t>
  </si>
  <si>
    <t>თამაზ შანთაძე</t>
  </si>
  <si>
    <t>VVG167</t>
  </si>
  <si>
    <t>ბიძინა ილაშვილი</t>
  </si>
  <si>
    <t>FTT614</t>
  </si>
  <si>
    <t>მამუკა სეფიაშვილი</t>
  </si>
  <si>
    <t>AM752MA</t>
  </si>
  <si>
    <t>ელდარი მამედოვი</t>
  </si>
  <si>
    <t>JGJ133</t>
  </si>
  <si>
    <t>გივი სურამლიშვილი</t>
  </si>
  <si>
    <t>LT 35D</t>
  </si>
  <si>
    <t>TRANSIT 1001</t>
  </si>
  <si>
    <t>MGO100</t>
  </si>
  <si>
    <t>RGR680</t>
  </si>
  <si>
    <t>TRANSIT150 L</t>
  </si>
  <si>
    <t>CZC453</t>
  </si>
  <si>
    <t>DCG151</t>
  </si>
  <si>
    <t>სიმონი</t>
  </si>
  <si>
    <t>მაისურაძე</t>
  </si>
  <si>
    <t>SPRINTER 311CDI</t>
  </si>
  <si>
    <t>მალხაზ შველიძე</t>
  </si>
  <si>
    <t>PSP814</t>
  </si>
  <si>
    <t>მურთაზ ძნელაძე</t>
  </si>
  <si>
    <t>გია გიორგაძე</t>
  </si>
  <si>
    <t>N 216 SHD</t>
  </si>
  <si>
    <t>YIY565</t>
  </si>
  <si>
    <t>01021015268</t>
  </si>
  <si>
    <t>მოსე ჩიჩუა</t>
  </si>
  <si>
    <t>0303</t>
  </si>
  <si>
    <t>BBQ865</t>
  </si>
  <si>
    <t>მანასე ჯაველიძე</t>
  </si>
  <si>
    <t>მორის მორჩილაძე</t>
  </si>
  <si>
    <t>FZF037</t>
  </si>
  <si>
    <t>თენგიზ პატარაია</t>
  </si>
  <si>
    <t>ვაჟა წამალაიძე</t>
  </si>
  <si>
    <t>ტარიელი მაისურაძე</t>
  </si>
  <si>
    <t>FZF133</t>
  </si>
  <si>
    <t>VAV399</t>
  </si>
  <si>
    <t>VQV634</t>
  </si>
  <si>
    <t>ZVI087</t>
  </si>
  <si>
    <t>სეთური</t>
  </si>
  <si>
    <t>TRANSIT 190L</t>
  </si>
  <si>
    <t>XOZ200</t>
  </si>
  <si>
    <t>გიორგი ხოზორაშვილი</t>
  </si>
  <si>
    <t xml:space="preserve">814 D </t>
  </si>
  <si>
    <t>JI349IJ</t>
  </si>
  <si>
    <t>თეიმურაზ ორტოლაშვილი</t>
  </si>
  <si>
    <t>RVR770</t>
  </si>
  <si>
    <t>YGY312</t>
  </si>
  <si>
    <t>ბადრი ბენდელიანი</t>
  </si>
  <si>
    <t>თემური გაზდელიანი</t>
  </si>
  <si>
    <t>GGT325</t>
  </si>
  <si>
    <t>04001006795</t>
  </si>
  <si>
    <t>კახაბერ უთმელიძე</t>
  </si>
  <si>
    <t>TRANSIT 350 EL</t>
  </si>
  <si>
    <t>CC202QQ</t>
  </si>
  <si>
    <t>04001013667</t>
  </si>
  <si>
    <t>თემურ გოგორელიანი</t>
  </si>
  <si>
    <t>მისაკ გრიგორიან</t>
  </si>
  <si>
    <t>IZI521</t>
  </si>
  <si>
    <t>სედრაკ შახბაზიან</t>
  </si>
  <si>
    <t xml:space="preserve">LL920LI </t>
  </si>
  <si>
    <t>MITSUBISHI</t>
  </si>
  <si>
    <t>WCW583</t>
  </si>
  <si>
    <t>05001008474</t>
  </si>
  <si>
    <t>არამ ხაჩატურიან</t>
  </si>
  <si>
    <t>XLX550</t>
  </si>
  <si>
    <t>შპს ადიგენის ავტოსატრანსპორტო საწარმო 2</t>
  </si>
  <si>
    <t>NGN902</t>
  </si>
  <si>
    <t>TRANSIT 2500C</t>
  </si>
  <si>
    <t>IUR080</t>
  </si>
  <si>
    <t>WCW030</t>
  </si>
  <si>
    <t>კონსტანტინე ლაცაბიძე</t>
  </si>
  <si>
    <t>SPRINTER 313 D</t>
  </si>
  <si>
    <t>QN212NQ</t>
  </si>
  <si>
    <t>01019002758</t>
  </si>
  <si>
    <t>გიორგი მეხრიშვილი</t>
  </si>
  <si>
    <t>TRANSIT 150L</t>
  </si>
  <si>
    <t>BRI710</t>
  </si>
  <si>
    <t>გიორგი ცალქალამანიძე</t>
  </si>
  <si>
    <t>95.9 E18</t>
  </si>
  <si>
    <t>CPC535</t>
  </si>
  <si>
    <t>VBV519</t>
  </si>
  <si>
    <t>A09201</t>
  </si>
  <si>
    <t>GEL734</t>
  </si>
  <si>
    <t>11.180 HOCL</t>
  </si>
  <si>
    <t>GEL745</t>
  </si>
  <si>
    <t>11190HOCL</t>
  </si>
  <si>
    <t>BB391OO</t>
  </si>
  <si>
    <t>GEL751</t>
  </si>
  <si>
    <t>GO777AH</t>
  </si>
  <si>
    <t>NRN656</t>
  </si>
  <si>
    <t>მურადი ხეცურიანი</t>
  </si>
  <si>
    <t>TRANSIT 125T350</t>
  </si>
  <si>
    <t>KZK253</t>
  </si>
  <si>
    <t>TRANSIT 350EL</t>
  </si>
  <si>
    <t>UDU677</t>
  </si>
  <si>
    <t>აკაკი ჭანკვეტაძე</t>
  </si>
  <si>
    <t>EME514</t>
  </si>
  <si>
    <t>გურამ ჩიხლაძე</t>
  </si>
  <si>
    <t>DZD685</t>
  </si>
  <si>
    <t>ელგუჯა ფანცხავა</t>
  </si>
  <si>
    <t>3204</t>
  </si>
  <si>
    <t>BU888SI</t>
  </si>
  <si>
    <t>COACH</t>
  </si>
  <si>
    <t>EL911LE</t>
  </si>
  <si>
    <t>RRS588</t>
  </si>
  <si>
    <t xml:space="preserve">SPRINTER 312 D </t>
  </si>
  <si>
    <t xml:space="preserve"> </t>
  </si>
  <si>
    <t>315 CDI</t>
  </si>
  <si>
    <t xml:space="preserve"> S 31 5HDH</t>
  </si>
  <si>
    <t>BTJ999</t>
  </si>
  <si>
    <t>ბეჟან კაცაძე</t>
  </si>
  <si>
    <t>GGP453</t>
  </si>
  <si>
    <t>გოჩა კანკაძე</t>
  </si>
  <si>
    <t>312 D SPRINTER</t>
  </si>
  <si>
    <t>RRS859</t>
  </si>
  <si>
    <t>იუზა ჭიქაშუა</t>
  </si>
  <si>
    <t>EDE676</t>
  </si>
  <si>
    <t>ირაკლი ენდელაძე</t>
  </si>
  <si>
    <t>ლევანი ჭუმბურიძე</t>
  </si>
  <si>
    <t>ირაკლი გიორგაძე</t>
  </si>
  <si>
    <t>SPRINTER 313 CDO</t>
  </si>
  <si>
    <t>CSS063</t>
  </si>
  <si>
    <t>EL894LE</t>
  </si>
  <si>
    <t>სატვირთო-სამგზავრო</t>
  </si>
  <si>
    <t>TRANSIT 75 T260S</t>
  </si>
  <si>
    <t>ნუგზარი აბულაძე</t>
  </si>
  <si>
    <t>QQ412FF</t>
  </si>
  <si>
    <t>VH915HV</t>
  </si>
  <si>
    <t>AS204SA</t>
  </si>
  <si>
    <t>UBB245</t>
  </si>
  <si>
    <t>FFE593</t>
  </si>
  <si>
    <t>SPRINTER A</t>
  </si>
  <si>
    <t>YGY805</t>
  </si>
  <si>
    <t>TRANSIT 150LTD</t>
  </si>
  <si>
    <t>WGW123</t>
  </si>
  <si>
    <t>ISS 677</t>
  </si>
  <si>
    <t>ლევანი ლაზარაშვილი</t>
  </si>
  <si>
    <t>ილკინ ვალიევი</t>
  </si>
  <si>
    <t>MM593VV</t>
  </si>
  <si>
    <t>ჯანგებაშვილი</t>
  </si>
  <si>
    <t>TEMSA</t>
  </si>
  <si>
    <t>PRESTIJ SUPERDELUXE</t>
  </si>
  <si>
    <t>BC816AC</t>
  </si>
  <si>
    <t>შპს მეტრო პლუსი</t>
  </si>
  <si>
    <t>PO676OP</t>
  </si>
  <si>
    <t>PO625OP</t>
  </si>
  <si>
    <t>LTL628</t>
  </si>
  <si>
    <t>შპს დაკა ჯორჯია</t>
  </si>
  <si>
    <t>ზაზაგულუა</t>
  </si>
  <si>
    <t>SPINTER 2500</t>
  </si>
  <si>
    <t>კარლო ქობალია</t>
  </si>
  <si>
    <t>ედემი ჯიქია</t>
  </si>
  <si>
    <t>სერიოჟა გვარამია</t>
  </si>
  <si>
    <t>316 SHD</t>
  </si>
  <si>
    <t>GAV999</t>
  </si>
  <si>
    <t>ვალერ გამისონია</t>
  </si>
  <si>
    <t>S 315 HD</t>
  </si>
  <si>
    <t>TB126TB</t>
  </si>
  <si>
    <t>გოგიტა კორკელია</t>
  </si>
  <si>
    <t>გოგი ციცხვაია</t>
  </si>
  <si>
    <t>BA331AB</t>
  </si>
  <si>
    <t>მალხაზ მონიავა</t>
  </si>
  <si>
    <t>TE111GI</t>
  </si>
  <si>
    <t>QTQ 314</t>
  </si>
  <si>
    <t>მამუკა ლაგვილავა</t>
  </si>
  <si>
    <t>SSB 605</t>
  </si>
  <si>
    <t>E 180Z</t>
  </si>
  <si>
    <t>ZU565ZU</t>
  </si>
  <si>
    <t>19001076454</t>
  </si>
  <si>
    <t>გიორგი ბობოხია</t>
  </si>
  <si>
    <t>16.290</t>
  </si>
  <si>
    <t>KBA888</t>
  </si>
  <si>
    <t>ბესიკი ალექსანდრია</t>
  </si>
  <si>
    <t>TRANSIT 430 E2,2L</t>
  </si>
  <si>
    <t>404411837</t>
  </si>
  <si>
    <t>ა(ა)იპ საზოგადოებრივი მოძრაობა ქართული ოცნება</t>
  </si>
  <si>
    <t>ტელევიზორი SANYO- 24K50 საკიდით SUREFIX142</t>
  </si>
  <si>
    <t>შ.პ.ს. მენეჯმენტ სერვისი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</si>
  <si>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</si>
  <si>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</si>
  <si>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</si>
  <si>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</si>
  <si>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</si>
  <si>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</si>
  <si>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</si>
  <si>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</si>
  <si>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</si>
  <si>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</si>
  <si>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</si>
  <si>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</si>
  <si>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</si>
  <si>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</si>
  <si>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</si>
  <si>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</si>
  <si>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</si>
  <si>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</si>
  <si>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</si>
  <si>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</si>
  <si>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</si>
  <si>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</si>
  <si>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</si>
  <si>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</si>
  <si>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</si>
  <si>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</si>
  <si>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</si>
  <si>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</si>
  <si>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</si>
  <si>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</si>
  <si>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</si>
  <si>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</si>
  <si>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</si>
  <si>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კრედიტი</t>
  </si>
  <si>
    <t>საქართველოს საარჩევნო კოდექსის 56-ე მუხლის 1 ნაწილი</t>
  </si>
  <si>
    <t>ქ. თბილისი. ფორე მოსულიშვილის ქ. #1</t>
  </si>
  <si>
    <t>ფართის იჯარა</t>
  </si>
  <si>
    <t>12 თვე</t>
  </si>
  <si>
    <t>202.81</t>
  </si>
  <si>
    <t>54001007223</t>
  </si>
  <si>
    <t>ქემერტელიძე კახაბერ ი/მ</t>
  </si>
  <si>
    <t>გორი, წერეთლის ქ. #3</t>
  </si>
  <si>
    <t>3,5 თვე</t>
  </si>
  <si>
    <t>59001013426</t>
  </si>
  <si>
    <t xml:space="preserve">რაზმიაშვილი ანა ი/მ </t>
  </si>
  <si>
    <t>ქ. თბილისი  ვეკუა ქ. #10</t>
  </si>
  <si>
    <t>2 თვე</t>
  </si>
  <si>
    <t>01001024792</t>
  </si>
  <si>
    <t>კაპანაძე მარსელი ი/მ</t>
  </si>
  <si>
    <t>ქ. თბილისი, ქეთევან წამებულის ქ. #47</t>
  </si>
  <si>
    <t>6 თვე</t>
  </si>
  <si>
    <t>01028000992</t>
  </si>
  <si>
    <t>როსტიაშვილი ზურაბ ი/მ</t>
  </si>
  <si>
    <t>ქ. თბილისი ქეთევან წამებულის ქ. #47</t>
  </si>
  <si>
    <t>5 თვე</t>
  </si>
  <si>
    <t>1 თვე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</si>
  <si>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</si>
  <si>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</si>
  <si>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</si>
  <si>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</si>
  <si>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</si>
  <si>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</si>
  <si>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</si>
  <si>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</si>
  <si>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</si>
  <si>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</si>
  <si>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</si>
  <si>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</si>
  <si>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</si>
  <si>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</si>
  <si>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</si>
  <si>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</si>
  <si>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</si>
  <si>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</si>
  <si>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</si>
  <si>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</si>
  <si>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</si>
  <si>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</si>
  <si>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</si>
  <si>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7 თვე</t>
  </si>
  <si>
    <t>შპს ვახტანგი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</si>
  <si>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</si>
  <si>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</si>
  <si>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</si>
  <si>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</si>
  <si>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</si>
  <si>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შუახევი დ. შუახევი რუსთაველის ქ. #27</t>
  </si>
  <si>
    <t>3 თვე</t>
  </si>
  <si>
    <t>447860020</t>
  </si>
  <si>
    <t>სპს ოთარ სურმანიძე და კომპანია</t>
  </si>
  <si>
    <t>ქედა, აბუსერიძის ქ. #11</t>
  </si>
  <si>
    <t>61008000273</t>
  </si>
  <si>
    <t>ამირან დიასამიძე ი/მ</t>
  </si>
  <si>
    <t>ქ. ნინოწმინდა, თავისუფლების ქ. #25</t>
  </si>
  <si>
    <t>9 თვე</t>
  </si>
  <si>
    <t>32001016304</t>
  </si>
  <si>
    <t>მზიკიან მამბრე ი/მ</t>
  </si>
  <si>
    <t>ქ. თბილისი, გორგასალის ქ. 77</t>
  </si>
  <si>
    <t>01011019836</t>
  </si>
  <si>
    <t>ნამიჭეიშვილი</t>
  </si>
  <si>
    <t>ქ. ბორჯომი, შ. რუსთაველის ქ. #147</t>
  </si>
  <si>
    <t>10 თვე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</si>
  <si>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</si>
  <si>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</si>
  <si>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</si>
  <si>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</si>
  <si>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</si>
  <si>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</si>
  <si>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8 თვე</t>
  </si>
  <si>
    <t>01004000999</t>
  </si>
  <si>
    <t>ზედგინიძე ზურაბ ი/მ</t>
  </si>
  <si>
    <t>4 თვე</t>
  </si>
  <si>
    <t>საგარეჯო, დ. აღმაშენებლის ქ. #10</t>
  </si>
  <si>
    <t>ლეილა</t>
  </si>
  <si>
    <t>ოდიკაძე</t>
  </si>
  <si>
    <t>ქ. ყვარელი, შ. რუსთაველის ქ. #4</t>
  </si>
  <si>
    <t>241582373</t>
  </si>
  <si>
    <t>შპს კახეთის ღვინის მარანი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</si>
  <si>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</si>
  <si>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</si>
  <si>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</si>
  <si>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</si>
  <si>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</si>
  <si>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</si>
  <si>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ხობი, 9 აპრილის ქ. #3</t>
  </si>
  <si>
    <t>244552480</t>
  </si>
  <si>
    <t>შპს ლასარი</t>
  </si>
  <si>
    <t>ქ. ბათუმი, მარაჯნიშვილისა და ასათიანის კვეთა</t>
  </si>
  <si>
    <t>შპს სახლი ძველ ბათუმში</t>
  </si>
  <si>
    <t>ქ. თერჯოლა, რუსთაველის ქ. #105</t>
  </si>
  <si>
    <t>21001015020</t>
  </si>
  <si>
    <t>ჩუბინიძე დარეჯანი ი/მ</t>
  </si>
  <si>
    <t>ქ. ახალქალაქი, ჩარენცის ქ. #11/1</t>
  </si>
  <si>
    <t>10,5 თვე</t>
  </si>
  <si>
    <t>07001022059</t>
  </si>
  <si>
    <t>მურადიანი ლუსაბერ ი/მ</t>
  </si>
  <si>
    <t>ქ. ქობულეთი, დ. აღმაშენებლის გამზირი #98</t>
  </si>
  <si>
    <t>იოსებ ჟღენტი ი/მ</t>
  </si>
  <si>
    <t>შუახევი, დაბა შუახევი, რუსთაველის ქ. #22</t>
  </si>
  <si>
    <t>61009020031</t>
  </si>
  <si>
    <t>შაინიძე ნესტან ი/მ</t>
  </si>
  <si>
    <t>ქ. ამბროლაური, კოსტავას ქ. #7</t>
  </si>
  <si>
    <t>04001002980</t>
  </si>
  <si>
    <t>გოცირიძე ომარი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</si>
  <si>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</si>
  <si>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</si>
  <si>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</si>
  <si>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</si>
  <si>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</si>
  <si>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გორი, ბესარიონ ჯუღაშვილის ქ. #13</t>
  </si>
  <si>
    <t>59001122360</t>
  </si>
  <si>
    <t>ბუთხუზი მარიამი ი/მ</t>
  </si>
  <si>
    <t>კასპი, სოფელი მეტეხი</t>
  </si>
  <si>
    <t>1,5 თვე</t>
  </si>
  <si>
    <t>24001028284</t>
  </si>
  <si>
    <t>ალექსანდრე ასლამაზაშვილი ი/მ</t>
  </si>
  <si>
    <t>ქ. ზუგდიდი, კ. გამსახურდიას ქ. #35</t>
  </si>
  <si>
    <t>19001023247</t>
  </si>
  <si>
    <t>შენგელაია ავთანდილ ი/მ</t>
  </si>
  <si>
    <t>ქ. ბაღდათი, შ. რუსთაველის ქ. #22</t>
  </si>
  <si>
    <t>შპს ავა-მარიამი</t>
  </si>
  <si>
    <t>ქ. ქობულეთი, დ. აღმაშენებლის გამზირი #130</t>
  </si>
  <si>
    <t>61004000897</t>
  </si>
  <si>
    <t>ძუბენკო თამარა ი/მ</t>
  </si>
  <si>
    <t>202055122</t>
  </si>
  <si>
    <t>შპს ძველი უბანი</t>
  </si>
  <si>
    <t>ქ. ბათუმი, ფრიდონ ხალვაშის გამზირი #346 ბ</t>
  </si>
  <si>
    <t>61001016680</t>
  </si>
  <si>
    <t>შერვაშიძე ზვიად ი/მ</t>
  </si>
  <si>
    <t>ქ. მცხეთა, აღმაშენებლის ქ.</t>
  </si>
  <si>
    <t>236052515</t>
  </si>
  <si>
    <t>შპს მცხეთის წყალი</t>
  </si>
  <si>
    <t>ქ. თბილისი, ალ. ყაზბეგის გამზირი #14 ბ. 2</t>
  </si>
  <si>
    <t>01024044857</t>
  </si>
  <si>
    <t>ანდღულაძე მადონა ი/მ</t>
  </si>
  <si>
    <t>ქ. ზესტაფონი, დ. აღმაშენებლის ქ. #19</t>
  </si>
  <si>
    <t>405117136</t>
  </si>
  <si>
    <t>შპს 7 ლიდო</t>
  </si>
  <si>
    <t>ქ. თბილისი, ბ. ხმელნიცკის ქ. #149</t>
  </si>
  <si>
    <t>2,3 თვე</t>
  </si>
  <si>
    <t>01029003946</t>
  </si>
  <si>
    <t>დევნოზაშვილი თამაზი ი/მ</t>
  </si>
  <si>
    <t>ქ. თბილისი, გაგარინის ქ. #13-13ა</t>
  </si>
  <si>
    <t>01024021017</t>
  </si>
  <si>
    <t>გორდიაშვილი მალხაზ</t>
  </si>
  <si>
    <t>ქ. თბილისი, მელიტონ და ანდრია ბალანჩივაძეების ქ. #14</t>
  </si>
  <si>
    <t>09001006314</t>
  </si>
  <si>
    <t>ჟვანია გოგა ი/მ</t>
  </si>
  <si>
    <t>ქ. ქუთაისი, სულხან-საბას ქ. #19</t>
  </si>
  <si>
    <t>2,5 თვე</t>
  </si>
  <si>
    <t>212679564</t>
  </si>
  <si>
    <t>შპს აფთიაქი 19</t>
  </si>
  <si>
    <t>ქ. ქუთაისი, ზ. გამსახურდიას ქ. #13</t>
  </si>
  <si>
    <t>412680077</t>
  </si>
  <si>
    <t>შპს გოლა</t>
  </si>
  <si>
    <t>ქ. ქუთაისი, ჭავჭავაძის გამზ. #33</t>
  </si>
  <si>
    <t>212899416</t>
  </si>
  <si>
    <t>შპს დ. მანდარია და კომპანია</t>
  </si>
  <si>
    <t>ქ. ქუთაისი, ნ. დუმბაძის ქ. #73</t>
  </si>
  <si>
    <t>60003010941</t>
  </si>
  <si>
    <t>ლელა ჯიშკარიანი</t>
  </si>
  <si>
    <t xml:space="preserve">ქ. ქუთაისი, ლესელიძის ქ. #78 ა, </t>
  </si>
  <si>
    <t>60001040595</t>
  </si>
  <si>
    <t>ფუტურიძე ბარბარე ი/მ</t>
  </si>
  <si>
    <t>ქ. ქუთაისი, ახალგაზრდობის გამზირი,  შესახვევი 1-ლი, #2ა</t>
  </si>
  <si>
    <t>60002008593</t>
  </si>
  <si>
    <t>გუმბერიძე მევლუდი ი/მ</t>
  </si>
  <si>
    <t>ქ. ქუთაისი, კერვალიშვილის ქ. #1, შენობა #6</t>
  </si>
  <si>
    <t>60002009324</t>
  </si>
  <si>
    <t>ჯუღელი მეგი ი/მ</t>
  </si>
  <si>
    <t>ქ. ქუთაისი, თაბუკაშვილის ქ. #115</t>
  </si>
  <si>
    <t>60002015857</t>
  </si>
  <si>
    <t>კუპრაშვილი დავითი</t>
  </si>
  <si>
    <t>ქ. ქუთაისი, წერეთლის ქ. #117</t>
  </si>
  <si>
    <t>212842110</t>
  </si>
  <si>
    <t>შპს უსაფრთხოების სამსახური კასკადი</t>
  </si>
  <si>
    <t>ქ. ფოთი, დ. აღმაშენებლის ქ. #14</t>
  </si>
  <si>
    <t>215134753</t>
  </si>
  <si>
    <t>შპს იმექსი</t>
  </si>
  <si>
    <t>ქ. თბილისი, რუსთავის გზატკეცილი #19, კორ. 2</t>
  </si>
  <si>
    <t>2,9 თვე</t>
  </si>
  <si>
    <t>211386695</t>
  </si>
  <si>
    <t>შპს ავერსი-ფარმა</t>
  </si>
  <si>
    <t>ქ. ვანი, თავისუფლების ქ. #54</t>
  </si>
  <si>
    <t>17001003859</t>
  </si>
  <si>
    <t>კობელაშვილი თამარ ი/მ</t>
  </si>
  <si>
    <t>ქ. თბილისი, მუხიანი, მე-4ა მ/რ, კორ. #8</t>
  </si>
  <si>
    <t>2,3თვე</t>
  </si>
  <si>
    <t>204856263</t>
  </si>
  <si>
    <t>სს ბანკი რესპუბლიკა</t>
  </si>
  <si>
    <t>ქ. რუსთავი, ლეონიძის ქ. #16</t>
  </si>
  <si>
    <t>25001000113</t>
  </si>
  <si>
    <t>ქიმაძე ასმათი ი/მ</t>
  </si>
  <si>
    <t>ქ. რუსთავი, მ. კოსტავას ქ. #19</t>
  </si>
  <si>
    <t>35001004547</t>
  </si>
  <si>
    <t>ქუთელია თამილა ი/მ</t>
  </si>
  <si>
    <t>ქ. რუსთავი, მე-16 და მე-17 მ/რ შორის</t>
  </si>
  <si>
    <t>01027020920</t>
  </si>
  <si>
    <t>აკოევი თეიმურაზ ი/მ</t>
  </si>
  <si>
    <t>ქ. რუსთავი, ცურტაველის ქ. მიმდებარე ტერიტორია</t>
  </si>
  <si>
    <t>35001009074</t>
  </si>
  <si>
    <t>ჯავაშვილი იოსებ ი/მ</t>
  </si>
  <si>
    <t>ქ. რუსთავი, რჩეულიშვილის ქ. კორ. 6 ბ. 2</t>
  </si>
  <si>
    <t>37001006984</t>
  </si>
  <si>
    <t>მიქელაძე ნაზიბროლა ი/მ</t>
  </si>
  <si>
    <t>ქ. ქუთაისი, ი. ჭავჭავაძის გამზ. #53ა შენ. #4</t>
  </si>
  <si>
    <t>212673356</t>
  </si>
  <si>
    <t>შპს იმერეთი</t>
  </si>
  <si>
    <t>ქ. მარტვილი, თავისუფლების ქ. #14</t>
  </si>
  <si>
    <t>29001004059</t>
  </si>
  <si>
    <t>გეგია არველოდ ი/მ</t>
  </si>
  <si>
    <t>ქ. თბილისი, გურამიშვილის გამზ. #41</t>
  </si>
  <si>
    <t>2.3 თვე</t>
  </si>
  <si>
    <t>206318046</t>
  </si>
  <si>
    <t>შპს ეიმ ბილდინგ კომპანი</t>
  </si>
  <si>
    <t>ქ. თბილისი, ც. დადიანის ქ. #134</t>
  </si>
  <si>
    <t>205063982</t>
  </si>
  <si>
    <t>შპს დევილაქი</t>
  </si>
  <si>
    <t>ქ. თბილისი, ხეხილსანერგე მეურნეობა</t>
  </si>
  <si>
    <t>406056173</t>
  </si>
  <si>
    <t>შპს ბიზნესისა და ტექნოლოგიების აკადემია</t>
  </si>
  <si>
    <t>ქ. თბილისი, სარაჯიშვილის გამზ. #3</t>
  </si>
  <si>
    <t>202340984</t>
  </si>
  <si>
    <t>სს მიკროსაფინანსო ორგანიზაცია ალფა ექსპრესი</t>
  </si>
  <si>
    <t>ქ. თბილისი, ტიულენევის ქ. #11</t>
  </si>
  <si>
    <t>2,2 თვე</t>
  </si>
  <si>
    <t>212152980</t>
  </si>
  <si>
    <t>შპს ლეგი</t>
  </si>
  <si>
    <t>ქ. თბილისი, დ. აღმაშენებლის გამზირი #123</t>
  </si>
  <si>
    <t>201950068</t>
  </si>
  <si>
    <t>ა(ა)იპ კომპოზიტორთა შემოქმედებითი კავშირი</t>
  </si>
  <si>
    <t>ქ. ბათუმი, პუშკინის ქ. N 118</t>
  </si>
  <si>
    <t>2 ,5თვე</t>
  </si>
  <si>
    <t>245428372</t>
  </si>
  <si>
    <t>შ.პ.ს. აჭარის ავტონომიური რესპუბლიკის ონკოლოგიის ცენტრი</t>
  </si>
  <si>
    <t>ქ. ბათუმი, ტაბიძის ქ. N 3-ა</t>
  </si>
  <si>
    <t>445416568</t>
  </si>
  <si>
    <t>შ.პ.ს. ბუდუ</t>
  </si>
  <si>
    <t>ხობის მუნიციპალიტეტი, სოფელი ხამისკური</t>
  </si>
  <si>
    <t>220004616</t>
  </si>
  <si>
    <t>შ.პ.ს. ტერმინალი</t>
  </si>
  <si>
    <t>ტყიბულის რაიონი, სოფელი საწირე</t>
  </si>
  <si>
    <t>2,4 თვე</t>
  </si>
  <si>
    <t>400181860</t>
  </si>
  <si>
    <t>შ.პ.ს. ილერი</t>
  </si>
  <si>
    <t>ქ. თბილისი, ართვინის ქ. N 3</t>
  </si>
  <si>
    <t>6 დღე</t>
  </si>
  <si>
    <t>202887242</t>
  </si>
  <si>
    <t>შ.პ.ს თერმულ დაზიანებათა და აღდგენითი პლასტიკური ქირურგიის ცენტი</t>
  </si>
  <si>
    <t>ბაღდათის რაიონი, სოფელი საკრაულა</t>
  </si>
  <si>
    <t>18001028754</t>
  </si>
  <si>
    <t>კიკნაველიძე გელა ი/მ</t>
  </si>
  <si>
    <t>ბაღდათის რაიონი, სოფელი ვარციხე, 23-ე ქუჩა, N 9</t>
  </si>
  <si>
    <t>60002020315</t>
  </si>
  <si>
    <t>გუმბერიძე გიზო ი/მ</t>
  </si>
  <si>
    <t>ბაღდათის რაიონი, სოფელი როხი</t>
  </si>
  <si>
    <t>09001005888</t>
  </si>
  <si>
    <t>რომან ხოჯენაშვილი</t>
  </si>
  <si>
    <t>ქ. წყალტუბო, რუსთაველის ქ. N 6</t>
  </si>
  <si>
    <t>221272619</t>
  </si>
  <si>
    <t>შ.პ.ს. ალერგოლოგიის ასთმის და კლინიკური იმუნოლოგიის სამეცნიერო კვლევითი ინსტიტუტი</t>
  </si>
  <si>
    <t>ჩხოროწყუს რაიონი, სოფელი ლესიჭინე</t>
  </si>
  <si>
    <t>60002003607</t>
  </si>
  <si>
    <t>სიჭინავა ქეშუარდი ი/მ</t>
  </si>
  <si>
    <t>ოზურგეთი, სოფელი ცხემლისხიდი</t>
  </si>
  <si>
    <t>1,3 თვე</t>
  </si>
  <si>
    <t>33001013533</t>
  </si>
  <si>
    <t>გიორგაძე გელა ი/მ</t>
  </si>
  <si>
    <t>ზუგდიდი, სოფელი დარჩელი</t>
  </si>
  <si>
    <t>220389880</t>
  </si>
  <si>
    <t>მერკური შპს</t>
  </si>
  <si>
    <t xml:space="preserve">კასპი, გიორგი სააკაძის ქ. #5 </t>
  </si>
  <si>
    <t>432542705</t>
  </si>
  <si>
    <t>ჯერონი 2015 შპს</t>
  </si>
  <si>
    <t>ქ. ხაშური, რუსთაველის ქ. #2,  სართული-1</t>
  </si>
  <si>
    <t>243859749</t>
  </si>
  <si>
    <t>ლიტ ჯეო ინვესტი შპს</t>
  </si>
  <si>
    <t>ქ. დედოფლისწყარო, ალაზნის ქ. 5</t>
  </si>
  <si>
    <t>204378869</t>
  </si>
  <si>
    <t>საქართველოს ბანკი სს</t>
  </si>
  <si>
    <t>წალენჯიხა, ჯვარი, ფიფას ქ.</t>
  </si>
  <si>
    <t>242733930</t>
  </si>
  <si>
    <t>ჰიდრომშენი შპს</t>
  </si>
  <si>
    <t>ქ.თერჯოლა,რუსთაველის ქ. #82</t>
  </si>
  <si>
    <t>431948066</t>
  </si>
  <si>
    <t>შპს იმერეთის სამხარეო სამედიცინო ცენტრი-თერჯოლამედი</t>
  </si>
  <si>
    <t>წყალტუბო,რუსთაველის ქ.#2</t>
  </si>
  <si>
    <t>221286043</t>
  </si>
  <si>
    <t>შპს ბალნეო სარეაბილიტაციო ცენტრი</t>
  </si>
  <si>
    <t>წყალტუბო,რუსთაველის ქ.#9</t>
  </si>
  <si>
    <t>421267417</t>
  </si>
  <si>
    <t>შპს ორიონი</t>
  </si>
  <si>
    <t>საგარეჯო. რუსთაველის ქ. #175</t>
  </si>
  <si>
    <t>138.8</t>
  </si>
  <si>
    <t>ეკატერინე</t>
  </si>
  <si>
    <t>ქვლივიძე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</si>
  <si>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</si>
  <si>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</si>
  <si>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</si>
  <si>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</si>
  <si>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</si>
  <si>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</si>
  <si>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ტყიბული. შ. რუსთაველის ქ. #1 ბ. 27</t>
  </si>
  <si>
    <t>82.9</t>
  </si>
  <si>
    <t>01024083360</t>
  </si>
  <si>
    <t>ნიკოლოზ</t>
  </si>
  <si>
    <t>ქ. ყაზბეგი. ალ. ყაზბეგის ქ. #32</t>
  </si>
  <si>
    <t>01009003409</t>
  </si>
  <si>
    <t>ნინო</t>
  </si>
  <si>
    <t>ჩოფიკაშვილი</t>
  </si>
  <si>
    <t>ქ. კასპი მ. კოსტავას ქ. #5</t>
  </si>
  <si>
    <t>81.55</t>
  </si>
  <si>
    <t>მანანა</t>
  </si>
  <si>
    <t>ხვთისიაშვილი</t>
  </si>
  <si>
    <t>ქ. ამბროლაური, კოსტავას ქ. #1</t>
  </si>
  <si>
    <t>04001002669</t>
  </si>
  <si>
    <t>ციცინო</t>
  </si>
  <si>
    <t>ნეფარიძე</t>
  </si>
  <si>
    <t>ხარაგაული. დ. ხარაგაული. სოლომონ მეფის # 21</t>
  </si>
  <si>
    <t>60.8</t>
  </si>
  <si>
    <t>01018001780</t>
  </si>
  <si>
    <t>მზია</t>
  </si>
  <si>
    <t>არევაძე-წერეთელი</t>
  </si>
  <si>
    <t>დ. მესტია. თამარ მეფის ქ. #14</t>
  </si>
  <si>
    <t>62005023736</t>
  </si>
  <si>
    <t>ნინა</t>
  </si>
  <si>
    <t>ჯაფარიძე</t>
  </si>
  <si>
    <t>ქ. თბილისი. ცოტნე დადიანის ქ. #141</t>
  </si>
  <si>
    <t>126.77</t>
  </si>
  <si>
    <t>01013004758</t>
  </si>
  <si>
    <t>ლევან</t>
  </si>
  <si>
    <t>ელიაური</t>
  </si>
  <si>
    <t>ქ. თბილისი, მოსკოვის გამზ. #35 ბ. 61</t>
  </si>
  <si>
    <t>01029005026</t>
  </si>
  <si>
    <t>შოთა</t>
  </si>
  <si>
    <t>ჩაჩუა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</si>
  <si>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</si>
  <si>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</si>
  <si>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</si>
  <si>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</si>
  <si>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ჩოხატაური. დუმბაძის ქ. #3</t>
  </si>
  <si>
    <t>437.5</t>
  </si>
  <si>
    <t>46001015708</t>
  </si>
  <si>
    <t>ჩხიკვაძე</t>
  </si>
  <si>
    <t>ქ. ლაგოდეხი. ი. ჭავჭავაძის ქ. #2</t>
  </si>
  <si>
    <t>მამაცაშვილი</t>
  </si>
  <si>
    <t>ქ. ლაგოდეხი, ი. ჭავჭავაძის ქ. #2</t>
  </si>
  <si>
    <t>ხულო. დ. ხულო ტბელ აბუსერიძის ქ. #7</t>
  </si>
  <si>
    <t>112.5</t>
  </si>
  <si>
    <t>ბოლქვაძე</t>
  </si>
  <si>
    <t>დ. ასპინძა. გორგასლის ქ. #2</t>
  </si>
  <si>
    <t>რევაზი</t>
  </si>
  <si>
    <t>ქუქჩიშვილი</t>
  </si>
  <si>
    <t>ქ. ონი. დ. აღმაშენებლის ქ. #82</t>
  </si>
  <si>
    <t>მათე</t>
  </si>
  <si>
    <t>გობეჯიშვილი</t>
  </si>
  <si>
    <t>ქ. საჩხერე მერაბ კოსტავას ქ. #65</t>
  </si>
  <si>
    <t>ბურძენიძე</t>
  </si>
  <si>
    <t>ქ. ჭიათურა ეგ. ნინოშვილის ქ. #12 ბ. 9</t>
  </si>
  <si>
    <t>94.1</t>
  </si>
  <si>
    <t>მირმენი</t>
  </si>
  <si>
    <t>ქ. გურჯაანი. შ. რუსთაველის ქ. #15</t>
  </si>
  <si>
    <t>84.1</t>
  </si>
  <si>
    <t>13001053778</t>
  </si>
  <si>
    <t>ქ. ხაშური მ. კოსტავას ქ. #4</t>
  </si>
  <si>
    <t>01030016651</t>
  </si>
  <si>
    <t>დალი</t>
  </si>
  <si>
    <t>ტალახაძე</t>
  </si>
  <si>
    <t>ქ. წალენჯიხა. გ. მებონიას ქ. #2</t>
  </si>
  <si>
    <t>3760818</t>
  </si>
  <si>
    <t>ბადრი</t>
  </si>
  <si>
    <t>კვარაცხელია</t>
  </si>
  <si>
    <t>ქ. ახმეტა. ვაჟა-ფშაველას ქ.</t>
  </si>
  <si>
    <t>11 თვე</t>
  </si>
  <si>
    <t>23001000861</t>
  </si>
  <si>
    <t>ნელი</t>
  </si>
  <si>
    <t>ღეჩუაშვილი</t>
  </si>
  <si>
    <t>23001000324</t>
  </si>
  <si>
    <t>ნათელა</t>
  </si>
  <si>
    <t>ქ. ცაგერი. მ. კოსტავას ქ. #13 ბ. 3</t>
  </si>
  <si>
    <t>ზაირა</t>
  </si>
  <si>
    <t>ბენდელიანი</t>
  </si>
  <si>
    <t>ქ. ოზურგეთი. ი. ჭავჭავაძის ქ. #12</t>
  </si>
  <si>
    <t>80.3</t>
  </si>
  <si>
    <t>ნანი</t>
  </si>
  <si>
    <t>ძნელაძე</t>
  </si>
  <si>
    <t>ქ. მარტვილი. თავისუფლების მოედანი</t>
  </si>
  <si>
    <t>7,5 თვე</t>
  </si>
  <si>
    <t>ელენე</t>
  </si>
  <si>
    <t>წულაია</t>
  </si>
  <si>
    <t xml:space="preserve">ქ. ქარელი სტალინის ქ. #49 </t>
  </si>
  <si>
    <t>01024022690</t>
  </si>
  <si>
    <t>ნანა</t>
  </si>
  <si>
    <t>გიორგაშვილი</t>
  </si>
  <si>
    <t>ქ. ბოლნისი. აღმაშენებლის ქ. #54</t>
  </si>
  <si>
    <t>169.7</t>
  </si>
  <si>
    <t>24001022727</t>
  </si>
  <si>
    <t>ქვრივიშვილი</t>
  </si>
  <si>
    <t>ქ. თბილისი ი. ჭავჭავაძის გამზ. #20</t>
  </si>
  <si>
    <t>01001030978</t>
  </si>
  <si>
    <t>ასათიანი</t>
  </si>
  <si>
    <t>ქ. თიანეთი რუსთაველის ქ. #38</t>
  </si>
  <si>
    <t>41.25</t>
  </si>
  <si>
    <t>ჯანგირაშვილი</t>
  </si>
  <si>
    <t>ქ. დმანისი. 9 აპრილის ქ. #67</t>
  </si>
  <si>
    <t>562.5</t>
  </si>
  <si>
    <t>15001002982</t>
  </si>
  <si>
    <t>ხიდირნაბი</t>
  </si>
  <si>
    <t>დაშდამიროვი</t>
  </si>
  <si>
    <t>ქ. ხონი. მოსე ხონელის ქ. #5</t>
  </si>
  <si>
    <t>55001001060</t>
  </si>
  <si>
    <t>ტრიანდაფილიდი</t>
  </si>
  <si>
    <t>ქ. ხონი, მოსე ხონელის ქ. #5</t>
  </si>
  <si>
    <t>ქ. ვანი. ჯორჯიაშვილის ქ. #2</t>
  </si>
  <si>
    <t>17001000134</t>
  </si>
  <si>
    <t>ომარ</t>
  </si>
  <si>
    <t>კორძაძე</t>
  </si>
  <si>
    <t>ქ. დუშეთი, სტალინის ქ. #88</t>
  </si>
  <si>
    <t>01017019404</t>
  </si>
  <si>
    <t>ქ. რუსთავი. კოსტავას ქ. #14  ბ. #48</t>
  </si>
  <si>
    <t>64.3</t>
  </si>
  <si>
    <t>35001024663</t>
  </si>
  <si>
    <t>თათია</t>
  </si>
  <si>
    <t>კობრეშვილი</t>
  </si>
  <si>
    <t>ქ. თელავი. ჯორჯიაშვილის ქ. #7ა</t>
  </si>
  <si>
    <t>01026004996</t>
  </si>
  <si>
    <t>მალუძე</t>
  </si>
  <si>
    <t>ქ. თბილისი, მურმან ლებანიძის ქ. #7 ბ. #3</t>
  </si>
  <si>
    <t>5,5 თვე</t>
  </si>
  <si>
    <t>მგალობლიშვილი</t>
  </si>
  <si>
    <t>ქ. თბილისი. დ. აღმაშენებლის გამზირი #39</t>
  </si>
  <si>
    <t>185.53</t>
  </si>
  <si>
    <t>01030006499</t>
  </si>
  <si>
    <t>ლენტეხი. დაბა ლენტეხი. სტალინის ქ. #8</t>
  </si>
  <si>
    <t>100.4</t>
  </si>
  <si>
    <t>27001007074</t>
  </si>
  <si>
    <t>ქურასბედიანი</t>
  </si>
  <si>
    <t>ქ. ბათუმი, ფრიდონ ხალვაშის მე-7 შესახვევი #11</t>
  </si>
  <si>
    <t>4,5 თვე</t>
  </si>
  <si>
    <t>ბერიძე როინ ი/მ</t>
  </si>
  <si>
    <t>ქ. დუშეთი. რუსთაველის ქ. #46</t>
  </si>
  <si>
    <t>8,5 თვე</t>
  </si>
  <si>
    <t>160.7</t>
  </si>
  <si>
    <t>16001000957</t>
  </si>
  <si>
    <t>შვენა</t>
  </si>
  <si>
    <t>ზანდუკელი</t>
  </si>
  <si>
    <t>ქ. გარდაბანი. დ. აღმაშენებლის ქ. კორპუსი 17 ბ. #2-3</t>
  </si>
  <si>
    <t>113.4</t>
  </si>
  <si>
    <t>12001016317</t>
  </si>
  <si>
    <t>რამაზან</t>
  </si>
  <si>
    <t>ხალილოვი</t>
  </si>
  <si>
    <t>ქ. გარდაბანი, დ. აღმაშენებლის ქ. კორპუსი 17 ბ. #2-3</t>
  </si>
  <si>
    <t>ოზურგეთის მუნიციპალიტეტი, დაბა ნასაკირალი</t>
  </si>
  <si>
    <t>შუქრი</t>
  </si>
  <si>
    <t>პაიჭაძე</t>
  </si>
  <si>
    <t>ქ. თბილისი. მოედანი გულია. გვარდიის სამმართველოს მიმდებარედ</t>
  </si>
  <si>
    <t>183.25</t>
  </si>
  <si>
    <t>35001008650</t>
  </si>
  <si>
    <t>ფრიდონი</t>
  </si>
  <si>
    <t>აბესაძე</t>
  </si>
  <si>
    <t>ქ. ქუთაისი. გრიშაშვილის ქ. მე-4 შესახვევი #9/ რუსთაველის გამზირი #27</t>
  </si>
  <si>
    <t>102.03</t>
  </si>
  <si>
    <t>60001014677</t>
  </si>
  <si>
    <t>კოპალეიშვილი</t>
  </si>
  <si>
    <t>ქ. ხაშური. სააკაძის ქ. #94</t>
  </si>
  <si>
    <t>214.07</t>
  </si>
  <si>
    <t>57001016787</t>
  </si>
  <si>
    <t>მარკოზია</t>
  </si>
  <si>
    <t>ქ. თბილისი. ი. ჭვჭავაძის გამზ. #20 ბ. 3</t>
  </si>
  <si>
    <t>112.8</t>
  </si>
  <si>
    <t>01024081247</t>
  </si>
  <si>
    <t>ყარსელიშვილი</t>
  </si>
  <si>
    <t>ქ. თბილისი. სოხუმის ქ. #4-6ა</t>
  </si>
  <si>
    <t>185.58</t>
  </si>
  <si>
    <t>01005020223</t>
  </si>
  <si>
    <t>სანდრო</t>
  </si>
  <si>
    <t>მიქაუტაძე</t>
  </si>
  <si>
    <t>ქ. ონი. დავით აღმაშენებლის ქ. #51</t>
  </si>
  <si>
    <t>264.42</t>
  </si>
  <si>
    <t>01008005646</t>
  </si>
  <si>
    <t>61001070310</t>
  </si>
  <si>
    <t>იაკობ</t>
  </si>
  <si>
    <t>შერვაშიძე</t>
  </si>
  <si>
    <t>ქ. თბილისი. გაგარინის ქ. #13-13ა</t>
  </si>
  <si>
    <t>01024041389</t>
  </si>
  <si>
    <t>ჯუღელი</t>
  </si>
  <si>
    <t>ქ. თბილისი. დიდი დიღმის დასახლება. პეტრიწის ქ. კორპ. 13</t>
  </si>
  <si>
    <t>08001007479</t>
  </si>
  <si>
    <t>კაკაბლიშვილი</t>
  </si>
  <si>
    <t>ქ. თბილისი. ვაზისუბნის დასახლება. III მ/რ I კვ. კორ. 2 ბ. 15</t>
  </si>
  <si>
    <t>01012009109</t>
  </si>
  <si>
    <t>ლევანი</t>
  </si>
  <si>
    <t>დავითაშვილი</t>
  </si>
  <si>
    <t>ქ. ქუთაისი. რუსთაველის გამზირი #27</t>
  </si>
  <si>
    <t>60003009490</t>
  </si>
  <si>
    <t>გვეტაძე</t>
  </si>
  <si>
    <t>01024034419</t>
  </si>
  <si>
    <t>ვერა</t>
  </si>
  <si>
    <t>გორდიაშვილი</t>
  </si>
  <si>
    <t>01005003312</t>
  </si>
  <si>
    <t>გოქაძე</t>
  </si>
  <si>
    <t>ქ. თბილისი. აეროპორტის დასახლება. უ/ნ</t>
  </si>
  <si>
    <t>187.5</t>
  </si>
  <si>
    <t>01029009647</t>
  </si>
  <si>
    <t>ლიანა</t>
  </si>
  <si>
    <t>ქ. თბილისი. მოსკოვის გამზირი. კორ. 41 ბ. 32</t>
  </si>
  <si>
    <t>2,5თვე</t>
  </si>
  <si>
    <t>96.94</t>
  </si>
  <si>
    <t>01029000339</t>
  </si>
  <si>
    <t>რამაზ</t>
  </si>
  <si>
    <t>ხიპაშვილი</t>
  </si>
  <si>
    <t>ქ. ვანი. თავისუფლების ქ. #1</t>
  </si>
  <si>
    <t>2,7 თვე</t>
  </si>
  <si>
    <t>17001005526</t>
  </si>
  <si>
    <t>ნუგზარი</t>
  </si>
  <si>
    <t>ბაღდავაძე</t>
  </si>
  <si>
    <t>ქ. თბილისი. ფონიჭალა. ღოღობერიძის ქ. #23</t>
  </si>
  <si>
    <t>38.5</t>
  </si>
  <si>
    <t>01016008444</t>
  </si>
  <si>
    <t>ირმა</t>
  </si>
  <si>
    <t>ნიკოლიშვილი</t>
  </si>
  <si>
    <t>ქ. ქუთაისი. კლდიაშვილის ქ. #5</t>
  </si>
  <si>
    <t>76.36</t>
  </si>
  <si>
    <t>60001107670</t>
  </si>
  <si>
    <t>ლარინა</t>
  </si>
  <si>
    <t>არსენიშვილი</t>
  </si>
  <si>
    <t>ქ. ქუთაისი. რუსთაველის ქ. #141</t>
  </si>
  <si>
    <t>248.23</t>
  </si>
  <si>
    <t>60001147264</t>
  </si>
  <si>
    <t>ჩაკვეტაძე</t>
  </si>
  <si>
    <t>ქ. ქუთაისი. ავტომშენებლის ქ. #28</t>
  </si>
  <si>
    <t>179.05</t>
  </si>
  <si>
    <t>60003005800</t>
  </si>
  <si>
    <t>ივლიანე</t>
  </si>
  <si>
    <t>კვირიკაძე</t>
  </si>
  <si>
    <t>ქ. ქუთაისი. ნიკეას ქ. მე-2 შეს #58 ბ</t>
  </si>
  <si>
    <t>35.94</t>
  </si>
  <si>
    <t>60001046564</t>
  </si>
  <si>
    <t>ანიკო</t>
  </si>
  <si>
    <t>ქ. თბილისი. სოფელი ფონიჭალა. იეთიმ გურჯის ქ. #6</t>
  </si>
  <si>
    <t>12001008138</t>
  </si>
  <si>
    <t>კიზი</t>
  </si>
  <si>
    <t>მარალ ალაკბარ</t>
  </si>
  <si>
    <t>ქ. ფოთი. ჭანტურიას ქ. #2</t>
  </si>
  <si>
    <t>158.4</t>
  </si>
  <si>
    <t>42001010976</t>
  </si>
  <si>
    <t>თეიმურაზ</t>
  </si>
  <si>
    <t>გუდავაძე</t>
  </si>
  <si>
    <t>ქ. ფოთი. დ. აღმაშენებლის ქ. #21</t>
  </si>
  <si>
    <t>54.3</t>
  </si>
  <si>
    <t>42001000354</t>
  </si>
  <si>
    <t>გურალია</t>
  </si>
  <si>
    <t>ქ. ზესტაფონი. აღმაშენებლის ქ. #85</t>
  </si>
  <si>
    <t>18001000006</t>
  </si>
  <si>
    <t>აბაშიძე</t>
  </si>
  <si>
    <t>ქ. თბილისი. ლილოს დასახლება. სტურუას ქ.</t>
  </si>
  <si>
    <t>58001001300</t>
  </si>
  <si>
    <t>სურმავა</t>
  </si>
  <si>
    <t xml:space="preserve">ქ. თბილისი. ორხევის დასახლება. მუხაძის ქ. </t>
  </si>
  <si>
    <t>01027004971</t>
  </si>
  <si>
    <t>წიკლაური</t>
  </si>
  <si>
    <t>ქ. თბილისი. ს. თაყაიშვილის ქ. მ/რ IIIა. კორ. 342</t>
  </si>
  <si>
    <t>01013011729</t>
  </si>
  <si>
    <t>მამია</t>
  </si>
  <si>
    <t>მიშვიძე</t>
  </si>
  <si>
    <t>ქ. თბილისი. ლ. რჩეულიშვილის ქ. #11</t>
  </si>
  <si>
    <t>01015020823</t>
  </si>
  <si>
    <t>ბეგი</t>
  </si>
  <si>
    <t>მეგრელიშვილი</t>
  </si>
  <si>
    <t>ქ. რუსთავი. VIII მ/რ #3 ბ. 46</t>
  </si>
  <si>
    <t>55.29</t>
  </si>
  <si>
    <t>35001005906</t>
  </si>
  <si>
    <t>მღვდლიაშვილი</t>
  </si>
  <si>
    <t>ქ. რუსთავი. შარტავას გამზირი #5</t>
  </si>
  <si>
    <t>296.2</t>
  </si>
  <si>
    <t>35001025580</t>
  </si>
  <si>
    <t>ლანჩხუთი. სოფელი სუფსა</t>
  </si>
  <si>
    <t>01008017359</t>
  </si>
  <si>
    <t>ელგა</t>
  </si>
  <si>
    <t>შარიქაძე</t>
  </si>
  <si>
    <t>ოზურგეთი. სოფელი ნატანები</t>
  </si>
  <si>
    <t>61004062311</t>
  </si>
  <si>
    <t>გალინა</t>
  </si>
  <si>
    <t>გუჯარაიძე</t>
  </si>
  <si>
    <t>ქ. თბილისი. ვაზისუბნის დას. კორ. 10</t>
  </si>
  <si>
    <t xml:space="preserve"> 2,3თვე</t>
  </si>
  <si>
    <t>65.53</t>
  </si>
  <si>
    <t>01005022561</t>
  </si>
  <si>
    <t>ჩაჩანიძე</t>
  </si>
  <si>
    <t>ქ. ქუთაისი. ვაჟა ფშაველას ქ. #11</t>
  </si>
  <si>
    <t>57.02</t>
  </si>
  <si>
    <t>60002011408</t>
  </si>
  <si>
    <t>თეიმურაზი</t>
  </si>
  <si>
    <t>ქ. თბილისი. ქსნის ქ. #4ა</t>
  </si>
  <si>
    <t>59.9</t>
  </si>
  <si>
    <t>35001008109</t>
  </si>
  <si>
    <t>ბალიაშვილი</t>
  </si>
  <si>
    <t>ქ. თბილისი. ს. ტაბახმელა. თამარ მეფის ქ. #4</t>
  </si>
  <si>
    <t>01009007089</t>
  </si>
  <si>
    <t>მაკა</t>
  </si>
  <si>
    <t>თეთრიწყაროს რაიონი. დაბა მანგლისი. დიდგორის ქ. N 5</t>
  </si>
  <si>
    <t>35001016077</t>
  </si>
  <si>
    <t>ნოდარ</t>
  </si>
  <si>
    <t>დემეტრაშვილი</t>
  </si>
  <si>
    <t>თეთრიწყაროს რაიონი. სოფელი სამშვილდე</t>
  </si>
  <si>
    <t>22001009208</t>
  </si>
  <si>
    <t>ლელა</t>
  </si>
  <si>
    <t>ოგანიანი</t>
  </si>
  <si>
    <t>ხობის მუნიციპალიტეტი. სოფელი ნოჯიხევი. სტალინის  ქ. N 13</t>
  </si>
  <si>
    <t>58001008316</t>
  </si>
  <si>
    <t>შონია</t>
  </si>
  <si>
    <t>ხობის მუნიციპალიტეტი. სოფელი პატარა ფოთი</t>
  </si>
  <si>
    <t>58001002574</t>
  </si>
  <si>
    <t>58001005386</t>
  </si>
  <si>
    <t>სერგო</t>
  </si>
  <si>
    <t>ფირცხელავა</t>
  </si>
  <si>
    <t>ხობის მუნიციპალიტეტი. სოფელი ხეთა</t>
  </si>
  <si>
    <t>58001000751</t>
  </si>
  <si>
    <t>ზაური</t>
  </si>
  <si>
    <t>კაკაბაძე</t>
  </si>
  <si>
    <t>ხობის მუნიციპალიტეტი. სოფელი ქვემო ქვალონი</t>
  </si>
  <si>
    <t>62001026334</t>
  </si>
  <si>
    <t>გიგლა</t>
  </si>
  <si>
    <t>ჯანაშია</t>
  </si>
  <si>
    <t>გარდაბანი. სოფელი მუღანლო</t>
  </si>
  <si>
    <t>12001041430</t>
  </si>
  <si>
    <t>ბასტი</t>
  </si>
  <si>
    <t>ნოვრუზოვა</t>
  </si>
  <si>
    <t>ბაღდათის რაიონი. სოფელი დიმი. ქუჩა 1. ჩიხი III. N 1</t>
  </si>
  <si>
    <t>09001000561</t>
  </si>
  <si>
    <t>ვახტანგ</t>
  </si>
  <si>
    <t>კანჯარაძე</t>
  </si>
  <si>
    <t>ქ. თეთრიწყარო. თამარ მეფის ქ. N 37</t>
  </si>
  <si>
    <t>22001012821</t>
  </si>
  <si>
    <t>თენგიზ</t>
  </si>
  <si>
    <t>გაბიდაური</t>
  </si>
  <si>
    <t>თეთრიწყაროს რაიონი. სოფელი კოდა. კორპუსი N 10</t>
  </si>
  <si>
    <t>32.98</t>
  </si>
  <si>
    <t>59003001046</t>
  </si>
  <si>
    <t>ლილი</t>
  </si>
  <si>
    <t>ოზგებიშვილი</t>
  </si>
  <si>
    <t>თეთრიწყაროს რაიონი. სოფელი კოდა</t>
  </si>
  <si>
    <t>22001000682</t>
  </si>
  <si>
    <t>მონადირიშვილი</t>
  </si>
  <si>
    <t>თეთრიწყაროს რაიონი. სოფელი ჯორჯიაშვილი</t>
  </si>
  <si>
    <t>01027014672</t>
  </si>
  <si>
    <t>ვალერიან</t>
  </si>
  <si>
    <t>ამურველაშვილი</t>
  </si>
  <si>
    <t>ქ. ბათუმი. მაიაკოვსკის ქ. N 53</t>
  </si>
  <si>
    <t>61006017766</t>
  </si>
  <si>
    <t>ქ. ბათუმი. თამარის დასახლება N 24</t>
  </si>
  <si>
    <t>37.1</t>
  </si>
  <si>
    <t>61007003807</t>
  </si>
  <si>
    <t>მადონა</t>
  </si>
  <si>
    <t>თედორაძე</t>
  </si>
  <si>
    <t>ქ. ბათუმი. ურეხის დასახლება</t>
  </si>
  <si>
    <t>61006001446</t>
  </si>
  <si>
    <t>ავთანდილ</t>
  </si>
  <si>
    <t>ქ. ბათუმი. ფიროსმანის ქ. N 7 (7ა)</t>
  </si>
  <si>
    <t>61002018221</t>
  </si>
  <si>
    <t>იზოლდა</t>
  </si>
  <si>
    <t>ვადაჭკორია</t>
  </si>
  <si>
    <t>ქობულეთი. სოფელი ხალა. მაღაზია N 4</t>
  </si>
  <si>
    <t>61005004492</t>
  </si>
  <si>
    <t>ანზორ</t>
  </si>
  <si>
    <t>კონცელიძე</t>
  </si>
  <si>
    <t>ქ. ბათუმი. ნიჟარაძის ქ. N 13</t>
  </si>
  <si>
    <t>61010015037</t>
  </si>
  <si>
    <t>ქ. ბათუმი. ჯავახიშვილის ქ. N 26</t>
  </si>
  <si>
    <t>61002000982</t>
  </si>
  <si>
    <t>თამაზი</t>
  </si>
  <si>
    <t>ქ. ბათუმი. მეფე მირიანის ქ. N 27</t>
  </si>
  <si>
    <t>61006007396</t>
  </si>
  <si>
    <t>კირკიტაძე</t>
  </si>
  <si>
    <t>ქ. ბათუმი. ფარნავაზ მეფის ქ. N 144</t>
  </si>
  <si>
    <t>61001029830</t>
  </si>
  <si>
    <t>გურამ</t>
  </si>
  <si>
    <t>გუგუშვილი</t>
  </si>
  <si>
    <t>ქ. ბათუმი. ფრიდონ ხალვაშის გამზირი N 253</t>
  </si>
  <si>
    <t>61006011871</t>
  </si>
  <si>
    <t>ჯიმშერაძე</t>
  </si>
  <si>
    <t>ქ. ბათუმი. ნონეშვილის ქ. N 57</t>
  </si>
  <si>
    <t>61003011407</t>
  </si>
  <si>
    <t>გივი</t>
  </si>
  <si>
    <t>ქობულეთი. დაბა ჩაქვი. თამარ მეფის ქ. N 42</t>
  </si>
  <si>
    <t>61005004450</t>
  </si>
  <si>
    <t>ილიას</t>
  </si>
  <si>
    <t>ქ. ბათუმი. შერიფ ხიმშიაშვილის ქ. N 68ვ</t>
  </si>
  <si>
    <t>61006000708</t>
  </si>
  <si>
    <t>სულეიმან</t>
  </si>
  <si>
    <t>დოლიძე</t>
  </si>
  <si>
    <t>ქ. ბათუმი. სულაბერიძის და შაფათავას ქუჩების კვეთა</t>
  </si>
  <si>
    <t>61002020689</t>
  </si>
  <si>
    <t>ქაჯაია</t>
  </si>
  <si>
    <t>ქობულეთი. სოფელი საჩინო</t>
  </si>
  <si>
    <t>61005002669</t>
  </si>
  <si>
    <t>ჯამბული</t>
  </si>
  <si>
    <t>ქ. ბათუმი. ჟორდანიას ქ. N 22</t>
  </si>
  <si>
    <t>61002008409</t>
  </si>
  <si>
    <t>მამიეშვილი</t>
  </si>
  <si>
    <t>ხობის მუნიციპალიტეტი. სოფელი საგვიჩიო</t>
  </si>
  <si>
    <t>58001022883</t>
  </si>
  <si>
    <t>ხობის მუნიციპალიტეტი. სოფელი საჯიჯაო</t>
  </si>
  <si>
    <t>58001014422</t>
  </si>
  <si>
    <t>შუშანია</t>
  </si>
  <si>
    <t>ხობის მუნიციპალიტეტი. სოფელი ქარიატა</t>
  </si>
  <si>
    <t>58001024983</t>
  </si>
  <si>
    <t>ხარბედია</t>
  </si>
  <si>
    <t>58001023994</t>
  </si>
  <si>
    <t>რომანი</t>
  </si>
  <si>
    <t>ქვარცხავა</t>
  </si>
  <si>
    <t>ხობის მუნიციპალიტეტი. სოფელი ყულევი</t>
  </si>
  <si>
    <t>58001007252</t>
  </si>
  <si>
    <t>ელდარი</t>
  </si>
  <si>
    <t>ჩაკაბერია</t>
  </si>
  <si>
    <t>ხობის მუნიციპალიტეტი. სოფელი შავღელე</t>
  </si>
  <si>
    <t>61010005170</t>
  </si>
  <si>
    <t>გენადი</t>
  </si>
  <si>
    <t>ჯინჭარაძე</t>
  </si>
  <si>
    <t>ხობის მუნიციპალიტეტი. სოფელი შუა ხორგა</t>
  </si>
  <si>
    <t>58001014237</t>
  </si>
  <si>
    <t>ოთარი</t>
  </si>
  <si>
    <t>დათუაშვილი</t>
  </si>
  <si>
    <t>ხობის მუნიციპალიტეტი. სოფელი ჭალადიდი</t>
  </si>
  <si>
    <t>58001007525</t>
  </si>
  <si>
    <t>ნანული</t>
  </si>
  <si>
    <t>ჩაფიძე</t>
  </si>
  <si>
    <t>ხობის მუნიციპალიტეტი. ბიას საკრებულო</t>
  </si>
  <si>
    <t>01003006161</t>
  </si>
  <si>
    <t>ჭითაშვილი</t>
  </si>
  <si>
    <t>ტყიბულის რაიონი. სოფელი მუხურა</t>
  </si>
  <si>
    <t>41001021257</t>
  </si>
  <si>
    <t>თენგიზი</t>
  </si>
  <si>
    <t>უფლისაშვილი</t>
  </si>
  <si>
    <t>ბოლნისის რაიონი. დაბა კაზრეთი. კორპუსი 97/3</t>
  </si>
  <si>
    <t>66.2</t>
  </si>
  <si>
    <t>10002000196</t>
  </si>
  <si>
    <t>მახნიაშვილი</t>
  </si>
  <si>
    <t>ქ. დმანისი. ნანა დედოფლის ქ. N 2</t>
  </si>
  <si>
    <t>31.4</t>
  </si>
  <si>
    <t>01020001273</t>
  </si>
  <si>
    <t>ოქრიაშვილი</t>
  </si>
  <si>
    <t>ქ. თბილისი. გულუას მოედანი. გვარდიის სამმართველოს მიმდებარედ. სარდაფი</t>
  </si>
  <si>
    <t>139.34</t>
  </si>
  <si>
    <t>01005003162</t>
  </si>
  <si>
    <t>მედეა</t>
  </si>
  <si>
    <t>რამიშვილი</t>
  </si>
  <si>
    <t>ქ. გარდაბანი. ენერგეტიკის ქ. N 1</t>
  </si>
  <si>
    <t>12001070403</t>
  </si>
  <si>
    <t>მღებრიშვილი</t>
  </si>
  <si>
    <t>გარდაბანი. სოფელი ვახტანგისი</t>
  </si>
  <si>
    <t>12001006933</t>
  </si>
  <si>
    <t>აკბარ</t>
  </si>
  <si>
    <t>ომაროვი</t>
  </si>
  <si>
    <t>გარდაბანი. სოფელი კალინინო</t>
  </si>
  <si>
    <t>12001006072</t>
  </si>
  <si>
    <t>ნამიკ</t>
  </si>
  <si>
    <t>გარდაბანი. სოფელი ქესალო</t>
  </si>
  <si>
    <t>12001023188</t>
  </si>
  <si>
    <t>შახინ</t>
  </si>
  <si>
    <t>მამედოვი</t>
  </si>
  <si>
    <t>გარდაბანი. სოფელი მარტყოფი</t>
  </si>
  <si>
    <t>12002000121</t>
  </si>
  <si>
    <t>ჯერენაშვილი</t>
  </si>
  <si>
    <t>ბაღდათის რაიონი. სოფელი ნერგეეთი</t>
  </si>
  <si>
    <t>09001007688</t>
  </si>
  <si>
    <t>დანიელ</t>
  </si>
  <si>
    <t>ბახტიძე</t>
  </si>
  <si>
    <t>ბაღდათის რაიონი. სოფელი I ობჩა</t>
  </si>
  <si>
    <t>09001007471</t>
  </si>
  <si>
    <t>ლამარა</t>
  </si>
  <si>
    <t>შარაშიძე</t>
  </si>
  <si>
    <t>ქ. თბილისი. ვაჟა ფშაველას გამზ. #83 კვარ. #3 კორ. 22ა</t>
  </si>
  <si>
    <t>109.19</t>
  </si>
  <si>
    <t>01010001852</t>
  </si>
  <si>
    <t>ფანჩულიძე</t>
  </si>
  <si>
    <t>ქ. წალკა. მ. კოსტავას ქ. სახლი #75</t>
  </si>
  <si>
    <t>61009011791</t>
  </si>
  <si>
    <t>გურანდა</t>
  </si>
  <si>
    <t>ქ. თბილისი. დაბა წყნეთი. რუსთაველის ქ. #3ა</t>
  </si>
  <si>
    <t>55.74</t>
  </si>
  <si>
    <t>01004014697</t>
  </si>
  <si>
    <t>თინათინ</t>
  </si>
  <si>
    <t>დალაქიშვილი</t>
  </si>
  <si>
    <t>ჩხოროწყუს რაიონი. სოფელი ზუმი</t>
  </si>
  <si>
    <t>312.5</t>
  </si>
  <si>
    <t>48001004902</t>
  </si>
  <si>
    <t>სერიოჟა</t>
  </si>
  <si>
    <t>ლემონჯავა</t>
  </si>
  <si>
    <t>ჩხოროწყუს რაიონი. სოფელი ქვედა ჩხოროწყუ</t>
  </si>
  <si>
    <t>62004020899</t>
  </si>
  <si>
    <t>ჟუჟუნა</t>
  </si>
  <si>
    <t>გოგუა</t>
  </si>
  <si>
    <t>ქ. ახმეტა. საბეროს დას. ბესიკის ქ. #12</t>
  </si>
  <si>
    <t>246.5</t>
  </si>
  <si>
    <t>08001000656</t>
  </si>
  <si>
    <t>ბაინდურაშვილი</t>
  </si>
  <si>
    <t xml:space="preserve">ახმეტა. სოფელი მატანი </t>
  </si>
  <si>
    <t>08001000393</t>
  </si>
  <si>
    <t>მარკოზაშვილი</t>
  </si>
  <si>
    <t xml:space="preserve">ახმეტა. სოფელი ზემო ხოდაშენი </t>
  </si>
  <si>
    <t>08001016756</t>
  </si>
  <si>
    <t>მაყვალა</t>
  </si>
  <si>
    <t>ჩანქსელიანი</t>
  </si>
  <si>
    <t>ახმეტა. სოფელი ქვემო ალვანი</t>
  </si>
  <si>
    <t>კოჭლამაზაშვილი</t>
  </si>
  <si>
    <t>ახმეტა. სოფელი ოჟიო</t>
  </si>
  <si>
    <t>1,5თვე</t>
  </si>
  <si>
    <t>20001000779</t>
  </si>
  <si>
    <t>ლომიაშვილი</t>
  </si>
  <si>
    <t>ახმეტა. სოფელი დუისი</t>
  </si>
  <si>
    <t>08091000605</t>
  </si>
  <si>
    <t>მარგოშვილი</t>
  </si>
  <si>
    <t>ახმეტა. სოფელი ზემო ალვანი</t>
  </si>
  <si>
    <t>08001002261</t>
  </si>
  <si>
    <t>გარსევანიძე</t>
  </si>
  <si>
    <t>ახმეტა. სოფელი ქისტაური</t>
  </si>
  <si>
    <t>08001016716</t>
  </si>
  <si>
    <t>ხარაგაული. სოფელი ბორი</t>
  </si>
  <si>
    <t>42.79</t>
  </si>
  <si>
    <t>56001017515</t>
  </si>
  <si>
    <t>იოსებ</t>
  </si>
  <si>
    <t>სხილაძე</t>
  </si>
  <si>
    <t>მარნეული. სოფელი ყიზილაჯლო</t>
  </si>
  <si>
    <t>28001023083</t>
  </si>
  <si>
    <t>შაფაატ</t>
  </si>
  <si>
    <t>ჩირახოვი</t>
  </si>
  <si>
    <t>მარნეული. სოფელი ალგეთი</t>
  </si>
  <si>
    <t>28001025164</t>
  </si>
  <si>
    <t>ფაიგ</t>
  </si>
  <si>
    <t>ბაირამოვი</t>
  </si>
  <si>
    <t>მარნეული. სადახლოს ტერიტორიული ერთეული</t>
  </si>
  <si>
    <t>28001019234</t>
  </si>
  <si>
    <t>ქამილ</t>
  </si>
  <si>
    <t>გარაბალოვი</t>
  </si>
  <si>
    <t>მარნეული. სოფელი კასუმლო</t>
  </si>
  <si>
    <t>28001042341</t>
  </si>
  <si>
    <t>ფახრად</t>
  </si>
  <si>
    <t>ახმედოვი</t>
  </si>
  <si>
    <t>მარნეული. სოფელი შაუმიანი</t>
  </si>
  <si>
    <t>28001066042</t>
  </si>
  <si>
    <t>ვანიკ</t>
  </si>
  <si>
    <t>აკოფიანი</t>
  </si>
  <si>
    <t>ჩოხატაური. სოფელი ვანი</t>
  </si>
  <si>
    <t>167.6</t>
  </si>
  <si>
    <t>61005010881</t>
  </si>
  <si>
    <t>ჩოხატაური. სოფელი გოგოლესუბანი</t>
  </si>
  <si>
    <t>193.1</t>
  </si>
  <si>
    <t>46001003282</t>
  </si>
  <si>
    <t>სამსონ</t>
  </si>
  <si>
    <t>ჩოხატაური. სოფელი ბუკისციხე</t>
  </si>
  <si>
    <t>46001003548</t>
  </si>
  <si>
    <t>კიკვაძე</t>
  </si>
  <si>
    <t>ჩოხატაური. სოფელი შუაფარცხმა</t>
  </si>
  <si>
    <t>61606084010</t>
  </si>
  <si>
    <t>მარიამ</t>
  </si>
  <si>
    <t>ფირცხალაძე</t>
  </si>
  <si>
    <t>ჩოხატაური. სოფელი ჯვარცხმა</t>
  </si>
  <si>
    <t>46001004987</t>
  </si>
  <si>
    <t>მალხაზი</t>
  </si>
  <si>
    <t>უნგიაძე</t>
  </si>
  <si>
    <t>ჩხოროწყუს რაიონი. სოფელი კირცხი</t>
  </si>
  <si>
    <t>62006024504</t>
  </si>
  <si>
    <t>ქეთინო</t>
  </si>
  <si>
    <t>ღრუბელაძე</t>
  </si>
  <si>
    <t>დაბა ჩხოროწყუ. ჭავჭავაძის ქ. #8</t>
  </si>
  <si>
    <t>48001014405</t>
  </si>
  <si>
    <t>ბერაძე</t>
  </si>
  <si>
    <t>ჩხოროწყუს რაიონი. სოფელი ლეწურწუმე</t>
  </si>
  <si>
    <t>48001014720</t>
  </si>
  <si>
    <t>ეფსია</t>
  </si>
  <si>
    <t>ჩხოროწუს რაიონი. სოფელი მუხური</t>
  </si>
  <si>
    <t>48001018362</t>
  </si>
  <si>
    <t>გალაქტიონ</t>
  </si>
  <si>
    <t>ცქვიტარია</t>
  </si>
  <si>
    <t>ვანი. სოფელი შუამთა</t>
  </si>
  <si>
    <t>17001005469</t>
  </si>
  <si>
    <t>ხურციძე</t>
  </si>
  <si>
    <t>დუშეთი. სოფელი მჭადიჯვარი</t>
  </si>
  <si>
    <t>42.64</t>
  </si>
  <si>
    <t>16001008900</t>
  </si>
  <si>
    <t>ილია</t>
  </si>
  <si>
    <t>ქარჩაიძე</t>
  </si>
  <si>
    <t>ხონი. სოფელი მათხოჯი</t>
  </si>
  <si>
    <t>55001022385</t>
  </si>
  <si>
    <t>ანნა</t>
  </si>
  <si>
    <t>ქ. გურჯაანი. ნონეშვილის გამზირი #5</t>
  </si>
  <si>
    <t>48.2</t>
  </si>
  <si>
    <t>13001003123</t>
  </si>
  <si>
    <t>ბოღლოციშვილი</t>
  </si>
  <si>
    <t>გურჯაანი. სოფელი ველისციხე</t>
  </si>
  <si>
    <t>13001020372</t>
  </si>
  <si>
    <t>ნუნუ</t>
  </si>
  <si>
    <t>თერგიაშვილი</t>
  </si>
  <si>
    <t>ქ. გურჯაანი. სანაპიროს ქ.#6</t>
  </si>
  <si>
    <t>13001045199</t>
  </si>
  <si>
    <t>მარინე</t>
  </si>
  <si>
    <t>არჯევანიშვილი</t>
  </si>
  <si>
    <t>გურჯაანის რაიონი. სოფელი ვაზისუბანი #5</t>
  </si>
  <si>
    <t>13001001946</t>
  </si>
  <si>
    <t>ბრაგვაძე</t>
  </si>
  <si>
    <t xml:space="preserve">ზესტაფონი. სოფელი ზოვრეთი </t>
  </si>
  <si>
    <t>53001005829</t>
  </si>
  <si>
    <t>ნაზი</t>
  </si>
  <si>
    <t>ერგემლიძე</t>
  </si>
  <si>
    <t>ზესტაფონი. სოფელი მეორე სვირი</t>
  </si>
  <si>
    <t>18001011899</t>
  </si>
  <si>
    <t>ბაადური</t>
  </si>
  <si>
    <t>ბოგვერაძე</t>
  </si>
  <si>
    <t>ახალქალაქის რაიონი. საკრებულო კარტიკამი</t>
  </si>
  <si>
    <t>07001007644</t>
  </si>
  <si>
    <t>ელიზბარიან</t>
  </si>
  <si>
    <t>ახალქალაქის რაიონი. სოფელი სულდა</t>
  </si>
  <si>
    <t>07001036697</t>
  </si>
  <si>
    <t>ზარზანდ</t>
  </si>
  <si>
    <t>კუჯოიან</t>
  </si>
  <si>
    <t>ახალქალაქი. სოფელი არაგვა</t>
  </si>
  <si>
    <t>07001026703</t>
  </si>
  <si>
    <t>ამალია</t>
  </si>
  <si>
    <t>უნანიან</t>
  </si>
  <si>
    <t>ჩოხატაური. სოფელი ხიდისთავი</t>
  </si>
  <si>
    <t>60001048517</t>
  </si>
  <si>
    <t>ტაბიძე</t>
  </si>
  <si>
    <t>ჩოხატაური. სოფელი ახალშენი</t>
  </si>
  <si>
    <t>46001004709</t>
  </si>
  <si>
    <t>გიორგაძე</t>
  </si>
  <si>
    <t>წალენჯიხა.სოფელი ნაკიფუ</t>
  </si>
  <si>
    <t>51001004908</t>
  </si>
  <si>
    <t>გოგიტა</t>
  </si>
  <si>
    <t>ქ.წალენჯიხა სალიას ქ. 2</t>
  </si>
  <si>
    <t>72.9</t>
  </si>
  <si>
    <t>51001006139</t>
  </si>
  <si>
    <t>თამთა</t>
  </si>
  <si>
    <t>წალენჯიხა.სოფელი ლია</t>
  </si>
  <si>
    <t>24.51</t>
  </si>
  <si>
    <t>62006029149</t>
  </si>
  <si>
    <t>კორსანტია</t>
  </si>
  <si>
    <t>ქ. წალენჯიხა. მებონიას ქ.2</t>
  </si>
  <si>
    <t>62001014595</t>
  </si>
  <si>
    <t>სახოკია</t>
  </si>
  <si>
    <t>წალენჯიხა. სოფელი ჯგალი</t>
  </si>
  <si>
    <t>51001010725</t>
  </si>
  <si>
    <t>წალენჯიხა. სოფელი საჩინო</t>
  </si>
  <si>
    <t>51001023034</t>
  </si>
  <si>
    <t>ნაჭყებია</t>
  </si>
  <si>
    <t>ხონი. სოფელი ნახახულევი</t>
  </si>
  <si>
    <t>55001000892</t>
  </si>
  <si>
    <t>ვახტანგი</t>
  </si>
  <si>
    <t>ჯოხიძე</t>
  </si>
  <si>
    <t>ხონი. სოფელი საწულუკიძეო</t>
  </si>
  <si>
    <t>55001018870</t>
  </si>
  <si>
    <t>აპოლონი</t>
  </si>
  <si>
    <t>კუხალაშვილი</t>
  </si>
  <si>
    <t>ხონი. სოფელი გუბი</t>
  </si>
  <si>
    <t>55001001887</t>
  </si>
  <si>
    <t>ვაშაკიძე</t>
  </si>
  <si>
    <t>ხონი. სოფელი გოჩა-ჯიხაიში</t>
  </si>
  <si>
    <t>55001014466</t>
  </si>
  <si>
    <t>იამზე</t>
  </si>
  <si>
    <t>კეჟერაძე</t>
  </si>
  <si>
    <t>ქ. ოზურგეთი. ი.ჭავჭავაძის ქ.#12</t>
  </si>
  <si>
    <t>80.9</t>
  </si>
  <si>
    <t>33001003419</t>
  </si>
  <si>
    <t>მარინა</t>
  </si>
  <si>
    <t>დოლიძე-კეჭაღმაძე</t>
  </si>
  <si>
    <t>ვანი. სოფელი სალხინო</t>
  </si>
  <si>
    <t>17001006248</t>
  </si>
  <si>
    <t>ჯონდო</t>
  </si>
  <si>
    <t>კიკუტაძე</t>
  </si>
  <si>
    <t>ვანი. სოფელი დიხაშხო</t>
  </si>
  <si>
    <t>37.6</t>
  </si>
  <si>
    <t>17001010349</t>
  </si>
  <si>
    <t>ტყეშელაშვილი</t>
  </si>
  <si>
    <t>თელავი. სოფელი კურდღელაური</t>
  </si>
  <si>
    <t>20001004649</t>
  </si>
  <si>
    <t>შიო</t>
  </si>
  <si>
    <t>გოდერძიშვილი</t>
  </si>
  <si>
    <t>თელავი. სოფელი ნაფარეული</t>
  </si>
  <si>
    <t>20701072974</t>
  </si>
  <si>
    <t>გუშარაშვილი</t>
  </si>
  <si>
    <t>ქობულეთი. სოფელი ხუცუბანი ქ.#1. სახლი-10. სად-4. სართ.3. ბ-49</t>
  </si>
  <si>
    <t>55.2</t>
  </si>
  <si>
    <t>61004042638</t>
  </si>
  <si>
    <t>მესხიძე</t>
  </si>
  <si>
    <t>ქობულეთი. სოფელი ქობულეთი</t>
  </si>
  <si>
    <t>122.65</t>
  </si>
  <si>
    <t>61004005299</t>
  </si>
  <si>
    <t>ეთერ</t>
  </si>
  <si>
    <t>ქარცივაძე</t>
  </si>
  <si>
    <t>ქობულეთი. სოფელი კვირიკე. სად-1. სართ.4. ბ-#12</t>
  </si>
  <si>
    <t>64.34</t>
  </si>
  <si>
    <t>61004025280</t>
  </si>
  <si>
    <t>ბაუჟაძე</t>
  </si>
  <si>
    <t>ქობულეთი. სოფელი ჭახათი</t>
  </si>
  <si>
    <t>237.74</t>
  </si>
  <si>
    <t>61004038509</t>
  </si>
  <si>
    <t>ვლადიმერ</t>
  </si>
  <si>
    <t>ირემაძე</t>
  </si>
  <si>
    <t>ქ. ბათუმი. ანგისას ქ.#2 სართ.1. არასაცხოვრებელი ფართი # 6ა.</t>
  </si>
  <si>
    <t>61001026206</t>
  </si>
  <si>
    <t>ქ. ბათუმი. ანგისას ქ.#2 სართ.1. არასაცხოვრებელი ფართი # 6ბ.</t>
  </si>
  <si>
    <t>61010001794</t>
  </si>
  <si>
    <t>მჟავანაძე</t>
  </si>
  <si>
    <t>გარდაბანი. სოფელი გამარჯვება</t>
  </si>
  <si>
    <t>35001050105</t>
  </si>
  <si>
    <t>ხათუნა</t>
  </si>
  <si>
    <t>რობიტაშვილი</t>
  </si>
  <si>
    <t>გარდაბანი. სოფელი კრწანისი</t>
  </si>
  <si>
    <t>12001047559</t>
  </si>
  <si>
    <t>ზოიძე</t>
  </si>
  <si>
    <t>გარდაბანი. სოფელი ახალსოფელი</t>
  </si>
  <si>
    <t>12001074300</t>
  </si>
  <si>
    <t>მარტიაშვილი</t>
  </si>
  <si>
    <t>გარდაბანი. სოფელი კუმისი</t>
  </si>
  <si>
    <t>12001025596</t>
  </si>
  <si>
    <t>ივერი</t>
  </si>
  <si>
    <t>მდივნიშვილი</t>
  </si>
  <si>
    <t>ქ. ზესტაფონი. მელქაძის ქ. #1. სართ. 1. ბ-3</t>
  </si>
  <si>
    <t>01008051417</t>
  </si>
  <si>
    <t>დარბაიძე</t>
  </si>
  <si>
    <t>წალენჯიხა.სოფელი ფახულანი</t>
  </si>
  <si>
    <t>51001014048</t>
  </si>
  <si>
    <t>გერგედავა</t>
  </si>
  <si>
    <t>ქ.ჯვარი. ჯიქიას ქ. #8</t>
  </si>
  <si>
    <t>51001025294</t>
  </si>
  <si>
    <t>დარეჯან</t>
  </si>
  <si>
    <t>დადიანი</t>
  </si>
  <si>
    <t>წალენჯიხა. სოფელი ჩქვალერი</t>
  </si>
  <si>
    <t>51001025566</t>
  </si>
  <si>
    <t>ბეჟან</t>
  </si>
  <si>
    <t>ფიფია</t>
  </si>
  <si>
    <t>ქობულეთი. დაბა ჩაქვი. თამარ მეფის ქ. #70</t>
  </si>
  <si>
    <t>1,4 თვე</t>
  </si>
  <si>
    <t>61005001013</t>
  </si>
  <si>
    <t>ივანე</t>
  </si>
  <si>
    <t>გალიუკი</t>
  </si>
  <si>
    <t>ბოლნისი. სოფელი ტალავერი</t>
  </si>
  <si>
    <t>10001032430</t>
  </si>
  <si>
    <t>ბილალ</t>
  </si>
  <si>
    <t>აშიროვი</t>
  </si>
  <si>
    <t>ბოლნისი. სოფელი მამხუტი</t>
  </si>
  <si>
    <t>10001000756</t>
  </si>
  <si>
    <t>არიზ</t>
  </si>
  <si>
    <t>ბოლნისი. სოფ.რატევანი. ქ-15. ჩიხი-2. სახლი-1</t>
  </si>
  <si>
    <t>468.75</t>
  </si>
  <si>
    <t>10001063646</t>
  </si>
  <si>
    <t>ლაზარეშვილი</t>
  </si>
  <si>
    <t>ბოლნისი. სოფელი რაჭისუბანი</t>
  </si>
  <si>
    <t>10001050085</t>
  </si>
  <si>
    <t>რეხვიაშვილი</t>
  </si>
  <si>
    <t>ბოლნისი. სოფელი ტანძია</t>
  </si>
  <si>
    <t>10001002041</t>
  </si>
  <si>
    <t>ინგა</t>
  </si>
  <si>
    <t>ანსიანი</t>
  </si>
  <si>
    <t>ქ. ოზურგეთი. ვ. დოლიძის ქ.#7. სართ.1. ბინა-12</t>
  </si>
  <si>
    <t>33001008874</t>
  </si>
  <si>
    <t>ქეთევან</t>
  </si>
  <si>
    <t>ღლონტი</t>
  </si>
  <si>
    <t>ქ.თბილისი. ზაქარიაძის ქ. #15-ის მიმდებარედ</t>
  </si>
  <si>
    <t>01010011384</t>
  </si>
  <si>
    <t>ფირცხალავა</t>
  </si>
  <si>
    <t>თელავი. ელ. ახვლედიანის ქ. 79</t>
  </si>
  <si>
    <t>01017019732</t>
  </si>
  <si>
    <t>მარი</t>
  </si>
  <si>
    <t>ცალქალამანიძე</t>
  </si>
  <si>
    <t>საგარეჯო. ერეკლე მეორის ქ.#61</t>
  </si>
  <si>
    <t>485.05</t>
  </si>
  <si>
    <t>01017016730</t>
  </si>
  <si>
    <t>ანუაშვილი</t>
  </si>
  <si>
    <t>საგარეჯო. სოფელი ქეშალო</t>
  </si>
  <si>
    <t>36001007057</t>
  </si>
  <si>
    <t>ისმაილ</t>
  </si>
  <si>
    <t>ისაევი</t>
  </si>
  <si>
    <t>საგარეჯო. სოფელი იორმუღანლო. შენობა-ნაგებობა #02</t>
  </si>
  <si>
    <t>36001000736</t>
  </si>
  <si>
    <t>თავდიხ</t>
  </si>
  <si>
    <t>გაჯიევი</t>
  </si>
  <si>
    <t>მცხეთა. სოფელი ძეგვი. ცენტრალური უბანი</t>
  </si>
  <si>
    <t>31001020620</t>
  </si>
  <si>
    <t>ნატრაძე</t>
  </si>
  <si>
    <t>მცხეთა. სოფელი საგურამო</t>
  </si>
  <si>
    <t>2თვე</t>
  </si>
  <si>
    <t>01024012879</t>
  </si>
  <si>
    <t>კერესელიძე</t>
  </si>
  <si>
    <t>მცხეთა. სოფელი მუხრანი</t>
  </si>
  <si>
    <t>31001049270</t>
  </si>
  <si>
    <t>თემურ</t>
  </si>
  <si>
    <t>ნიბლიაშვილი</t>
  </si>
  <si>
    <t>ნინოწმინდა. სოფელი ეშტია</t>
  </si>
  <si>
    <t>170.5</t>
  </si>
  <si>
    <t>32001004690</t>
  </si>
  <si>
    <t>ხანუმ</t>
  </si>
  <si>
    <t>ერანოსიან</t>
  </si>
  <si>
    <t>მცხეთა. სოფელი წილკანი</t>
  </si>
  <si>
    <t>31001042023</t>
  </si>
  <si>
    <t>ლაშაური</t>
  </si>
  <si>
    <t>მცხეთა. სიფელი მისაქციელი</t>
  </si>
  <si>
    <t>31001034387</t>
  </si>
  <si>
    <t>ციალა</t>
  </si>
  <si>
    <t>კუპრაშვილი</t>
  </si>
  <si>
    <t>ქ.ზიგდიდი. რუსთაველის ქ. 27</t>
  </si>
  <si>
    <t>19001067986</t>
  </si>
  <si>
    <t>ესებუა</t>
  </si>
  <si>
    <t>ნინოწმინდა. სოფელი დიდი გონდურა</t>
  </si>
  <si>
    <t>39.74</t>
  </si>
  <si>
    <t>32001014362</t>
  </si>
  <si>
    <t>გეორგი</t>
  </si>
  <si>
    <t>ჩიჩოიან</t>
  </si>
  <si>
    <t>ნინოწმინდა. სოფელი გორელოვკა</t>
  </si>
  <si>
    <t>32001002643</t>
  </si>
  <si>
    <t>დავიდ</t>
  </si>
  <si>
    <t>არაქელიან</t>
  </si>
  <si>
    <t>ზუგდიდი. სოფელი კორცხელი</t>
  </si>
  <si>
    <t>19001080468</t>
  </si>
  <si>
    <t>ქ. ზუგდიდი. რუსთაველის ქ. 138</t>
  </si>
  <si>
    <t>142.5</t>
  </si>
  <si>
    <t>19001012048</t>
  </si>
  <si>
    <t>ნატალია</t>
  </si>
  <si>
    <t>მიქავა</t>
  </si>
  <si>
    <t>ქარელი. თამარ მეფის ქ. # 43</t>
  </si>
  <si>
    <t>43001005132</t>
  </si>
  <si>
    <t>გოგიჩაშვილი</t>
  </si>
  <si>
    <t>ხაშური. სოფელი ალი</t>
  </si>
  <si>
    <t>47.08</t>
  </si>
  <si>
    <t>35001009735</t>
  </si>
  <si>
    <t>ქიტიაშვილი-ნოზაძე</t>
  </si>
  <si>
    <t>ზუგდიდი. სოფელი ორსანტია</t>
  </si>
  <si>
    <t>19001028095</t>
  </si>
  <si>
    <t>გოდერძი</t>
  </si>
  <si>
    <t>ხაზალია</t>
  </si>
  <si>
    <t>ქ.ზიგდიდი. სოხუმის ქ.  111</t>
  </si>
  <si>
    <t>19001041801</t>
  </si>
  <si>
    <t>გოგილავა</t>
  </si>
  <si>
    <t>ქ. ზიგდიდი. წმინდა ნინო ქ. 1</t>
  </si>
  <si>
    <t>19001077929</t>
  </si>
  <si>
    <t>მარიკა</t>
  </si>
  <si>
    <t>კარტოზია</t>
  </si>
  <si>
    <t>ქ. ზიგდიდი. რუსთაველის ქ. 90</t>
  </si>
  <si>
    <t>19001028769</t>
  </si>
  <si>
    <t>ბერულავა</t>
  </si>
  <si>
    <t>ქ. ზუგდიდი. რუსთაველის ქ. 31</t>
  </si>
  <si>
    <t>149.42</t>
  </si>
  <si>
    <t>19001067502</t>
  </si>
  <si>
    <t>გრიგოლია</t>
  </si>
  <si>
    <t>ქ. ზიგდიდი. თამარ მეფის ქ. 19</t>
  </si>
  <si>
    <t>62006022216</t>
  </si>
  <si>
    <t>ბულისკერია</t>
  </si>
  <si>
    <t>ქარელი. სოფელი რუისი</t>
  </si>
  <si>
    <t>43001006052</t>
  </si>
  <si>
    <t>ეგნატაშვილი</t>
  </si>
  <si>
    <t>ქარელი. დაბა აგარა. ხორავას ქ. 5. სართული 1</t>
  </si>
  <si>
    <t>86.6</t>
  </si>
  <si>
    <t>01021003738</t>
  </si>
  <si>
    <t>გაგნიძე</t>
  </si>
  <si>
    <t>ბოლნისი. სოფელი ქვემო ბოლნისი</t>
  </si>
  <si>
    <t>10001012219</t>
  </si>
  <si>
    <t>ზიათხან</t>
  </si>
  <si>
    <t>ბოლნისი. სოფელი ნახიდური</t>
  </si>
  <si>
    <t>10001002647</t>
  </si>
  <si>
    <t>ილგამ</t>
  </si>
  <si>
    <t>ბოლნისი.სოფელი ქვეში</t>
  </si>
  <si>
    <t>10001018295</t>
  </si>
  <si>
    <t>ბესალაშვილი</t>
  </si>
  <si>
    <t>წალკა. სოფელი ავრალო</t>
  </si>
  <si>
    <t>87.25</t>
  </si>
  <si>
    <t>52001008719</t>
  </si>
  <si>
    <t>ტატიანა</t>
  </si>
  <si>
    <t>სოტიროვა</t>
  </si>
  <si>
    <t>წალკა. სოფელი ხაჩკოვი</t>
  </si>
  <si>
    <t>105.6</t>
  </si>
  <si>
    <t>52001013662</t>
  </si>
  <si>
    <t>სუირი</t>
  </si>
  <si>
    <t>ჩიდილიან</t>
  </si>
  <si>
    <t>წალკა. სოფელი განთიადი</t>
  </si>
  <si>
    <t>14.56</t>
  </si>
  <si>
    <t>33001006322</t>
  </si>
  <si>
    <t>მალხაზ</t>
  </si>
  <si>
    <t>წალკა. სოფელი კუში</t>
  </si>
  <si>
    <t>20.63</t>
  </si>
  <si>
    <t>52001010517</t>
  </si>
  <si>
    <t>ვართან</t>
  </si>
  <si>
    <t>მეგრაბიან</t>
  </si>
  <si>
    <t xml:space="preserve">წალკა. სოფელი აიაზმა </t>
  </si>
  <si>
    <t>19.76</t>
  </si>
  <si>
    <t>52001010617</t>
  </si>
  <si>
    <t>ლევონ</t>
  </si>
  <si>
    <t>მარკოსიან</t>
  </si>
  <si>
    <t>წალკა. სოფელი ბეშთაშენი</t>
  </si>
  <si>
    <t>52001001305</t>
  </si>
  <si>
    <t>ალექსანდრ</t>
  </si>
  <si>
    <t>კარიბოვი</t>
  </si>
  <si>
    <t>კასპი. სოფელი იგოეთი</t>
  </si>
  <si>
    <t>30.36</t>
  </si>
  <si>
    <t>24001015598</t>
  </si>
  <si>
    <t>მევლუდი</t>
  </si>
  <si>
    <t>ობგაიძე</t>
  </si>
  <si>
    <t>კასპი. სოფელი ახალქალაქი</t>
  </si>
  <si>
    <t>198.5</t>
  </si>
  <si>
    <t>24001017950</t>
  </si>
  <si>
    <t>ჯლანტიაშვილი</t>
  </si>
  <si>
    <t>კასპი. სოფელი მეტეხი</t>
  </si>
  <si>
    <t>149.68</t>
  </si>
  <si>
    <t>24001000085</t>
  </si>
  <si>
    <t>ზაქარია</t>
  </si>
  <si>
    <t>აბუაშვილი</t>
  </si>
  <si>
    <t>ქ. კასპი. სოფელი კავთისხევი</t>
  </si>
  <si>
    <t>90.5</t>
  </si>
  <si>
    <t>24001043304</t>
  </si>
  <si>
    <t>ლიზა</t>
  </si>
  <si>
    <t>ქ. კასპი. სოფელი ქვემოჭალა</t>
  </si>
  <si>
    <t>24001029525</t>
  </si>
  <si>
    <t>გიგა</t>
  </si>
  <si>
    <t>მესროფაშვილი</t>
  </si>
  <si>
    <t>ქ. კასპი. სააკაძის ქ. 53ა</t>
  </si>
  <si>
    <t>25.83</t>
  </si>
  <si>
    <t>01003004090</t>
  </si>
  <si>
    <t>ქ. მარნეული. მაზნიაშვილის ქ. 2</t>
  </si>
  <si>
    <t>67.24</t>
  </si>
  <si>
    <t>01008029624</t>
  </si>
  <si>
    <t>დემურ</t>
  </si>
  <si>
    <t>ელოშვილი</t>
  </si>
  <si>
    <t>თელავი. სოფელი ყარაჯალა</t>
  </si>
  <si>
    <t>20001012644</t>
  </si>
  <si>
    <t>ვახირ</t>
  </si>
  <si>
    <t>თელავი. სოფელი წინანდალი</t>
  </si>
  <si>
    <t>20001015503</t>
  </si>
  <si>
    <t>კალატოზიშვილი</t>
  </si>
  <si>
    <t>17001004755</t>
  </si>
  <si>
    <t>თანგული</t>
  </si>
  <si>
    <t>ერემეიშვილი</t>
  </si>
  <si>
    <t>ოზურგეთის მუნიციპალიტეტი. სოფელი კონჭკათი</t>
  </si>
  <si>
    <t>01015023521</t>
  </si>
  <si>
    <t>აროშიძე</t>
  </si>
  <si>
    <t>ხონი. სოფელი ახალშენი</t>
  </si>
  <si>
    <t>55001019124</t>
  </si>
  <si>
    <t>ჯაველიძე</t>
  </si>
  <si>
    <t>ხონი. სოფელი პატარა ჯიხაიში</t>
  </si>
  <si>
    <t>55001022679</t>
  </si>
  <si>
    <t>სვეტლანა</t>
  </si>
  <si>
    <t>ანდღულაძე</t>
  </si>
  <si>
    <t>ხონი. სოფელი გორდი</t>
  </si>
  <si>
    <t>55001004863</t>
  </si>
  <si>
    <t>ღაჭავა</t>
  </si>
  <si>
    <t>წალენჯიხა. სოფელი ეწერი</t>
  </si>
  <si>
    <t>51001025029</t>
  </si>
  <si>
    <t>ალბერტ</t>
  </si>
  <si>
    <t>წალენჯიხა. სოფელი მედანი</t>
  </si>
  <si>
    <t>51001013763</t>
  </si>
  <si>
    <t>გულვერ</t>
  </si>
  <si>
    <t>წალენჯიხა. სოფელი ობუჯი</t>
  </si>
  <si>
    <t>51001017875</t>
  </si>
  <si>
    <t>ემზარ</t>
  </si>
  <si>
    <t>საჯაია</t>
  </si>
  <si>
    <t>წალენჯიხა. სოფელი მიქავა</t>
  </si>
  <si>
    <t>51001014224</t>
  </si>
  <si>
    <t>დიმა</t>
  </si>
  <si>
    <t>ჯოლოხავა</t>
  </si>
  <si>
    <t>ახალქალაქი. სოფელი აზავრეთი</t>
  </si>
  <si>
    <t>07001014489</t>
  </si>
  <si>
    <t>აბგარ</t>
  </si>
  <si>
    <t>მანასიან</t>
  </si>
  <si>
    <t>ახალქალაქი. სოფელი ტურცხი</t>
  </si>
  <si>
    <t>07001006245</t>
  </si>
  <si>
    <t>ღევენიან</t>
  </si>
  <si>
    <t>ახალქალაქი. სოფელი ოკამი</t>
  </si>
  <si>
    <t>07001040902</t>
  </si>
  <si>
    <t>ტიტიბა</t>
  </si>
  <si>
    <t>ბალახაძე</t>
  </si>
  <si>
    <t>ვანი. სოფელი ზეინდარი</t>
  </si>
  <si>
    <t>17001005089</t>
  </si>
  <si>
    <t>გია</t>
  </si>
  <si>
    <t>ხელაძე</t>
  </si>
  <si>
    <t>ჩხოროწყუ. სოფელი ხაბუმე</t>
  </si>
  <si>
    <t>48001011744</t>
  </si>
  <si>
    <t>რევაზ</t>
  </si>
  <si>
    <t>ახალაია</t>
  </si>
  <si>
    <t>ჩხოროწყუ. სოფელი თაია</t>
  </si>
  <si>
    <t>48001020427</t>
  </si>
  <si>
    <t>ჩხოროწყუ. სოფელი ჭოღა</t>
  </si>
  <si>
    <t>48001015625</t>
  </si>
  <si>
    <t>ვანო</t>
  </si>
  <si>
    <t>შენგელია</t>
  </si>
  <si>
    <t>ჩხოროწყუ. სოფელი ნაფიჩხოვო</t>
  </si>
  <si>
    <t>01029001218</t>
  </si>
  <si>
    <t>დათო</t>
  </si>
  <si>
    <t>ჩხოროწყუ. სოფელი ნაკიანი. მე-9 ქ. #2</t>
  </si>
  <si>
    <t>48001005168</t>
  </si>
  <si>
    <t>ლაშა</t>
  </si>
  <si>
    <t>ჭეჟია</t>
  </si>
  <si>
    <t>ჩოხატაური. სოფელი კოხნარი</t>
  </si>
  <si>
    <t>46001010901</t>
  </si>
  <si>
    <t>ახალაძე</t>
  </si>
  <si>
    <t>ჩოხატაური. სოფელი შუა ამაღლება</t>
  </si>
  <si>
    <t>46001011645</t>
  </si>
  <si>
    <t>ჯიბუტი</t>
  </si>
  <si>
    <t>ჩოხატაური. სოფელი ქვემო ერკეთი</t>
  </si>
  <si>
    <t>46001001937</t>
  </si>
  <si>
    <t>რამაზი</t>
  </si>
  <si>
    <t>უჯმაჯურიძე</t>
  </si>
  <si>
    <t>ჩოხატაური. სოფელი ქვენობანი</t>
  </si>
  <si>
    <t>46001013212</t>
  </si>
  <si>
    <t>კუტუბიძე</t>
  </si>
  <si>
    <t>ჩხოროწყუ. სოფელი ახუთი</t>
  </si>
  <si>
    <t>48001016911</t>
  </si>
  <si>
    <t>ტყებუჩავა</t>
  </si>
  <si>
    <t>ზუგდიდი. სოფელი ახალი სამგორი</t>
  </si>
  <si>
    <t>12001046504</t>
  </si>
  <si>
    <t>მამულაძე</t>
  </si>
  <si>
    <t>ქ.თბილისი. დიღმის მას. კვარტალი-4. კორპ-5ა. არასაცხოვრებელი ფართი #2</t>
  </si>
  <si>
    <t>190.93</t>
  </si>
  <si>
    <t>01026002889</t>
  </si>
  <si>
    <t>ტატიშვილი</t>
  </si>
  <si>
    <t>ხონი. სოფელი კუხი</t>
  </si>
  <si>
    <t>55001015604</t>
  </si>
  <si>
    <t>სილაგაძე</t>
  </si>
  <si>
    <t>წალენჯიხა. სოფელი ჭალე</t>
  </si>
  <si>
    <t>51001024655</t>
  </si>
  <si>
    <t>მანია</t>
  </si>
  <si>
    <t>თეთრიწყარო. სოფელი წინწყარო</t>
  </si>
  <si>
    <t>183.2</t>
  </si>
  <si>
    <t>61010004213</t>
  </si>
  <si>
    <t>შაქრო</t>
  </si>
  <si>
    <t>მსახურაძე</t>
  </si>
  <si>
    <t>ქ.ბათუმი. გორგასლის ქ.55/ვაჟა-ფშაველას ქ. 46-48</t>
  </si>
  <si>
    <t>61001082439</t>
  </si>
  <si>
    <t>გელაძე</t>
  </si>
  <si>
    <t>ქ. ბათუმი. ფ. ხალვაშის გამზირი #76</t>
  </si>
  <si>
    <t>61006007512</t>
  </si>
  <si>
    <t>ტარიელ</t>
  </si>
  <si>
    <t>თებიძე</t>
  </si>
  <si>
    <t>მცხეთა. სოფელი წეროვანი</t>
  </si>
  <si>
    <t>1000.05</t>
  </si>
  <si>
    <t>01023002431</t>
  </si>
  <si>
    <t>ჩარიგოგდიშვილი</t>
  </si>
  <si>
    <t>ნინოწმინდა. სოფელი განძა</t>
  </si>
  <si>
    <t>32001006893</t>
  </si>
  <si>
    <t>მანველ</t>
  </si>
  <si>
    <t>აბგარიან</t>
  </si>
  <si>
    <t>ზუგდიდი. სოფელი კოკი</t>
  </si>
  <si>
    <t>19001075066</t>
  </si>
  <si>
    <t>გაბისონია</t>
  </si>
  <si>
    <t>ზუგდიდი. სოფელი ჭითაწყარი</t>
  </si>
  <si>
    <t>58001009173</t>
  </si>
  <si>
    <t>ლუკავა</t>
  </si>
  <si>
    <t>ზუგდიდი. სოფელი ნარაზენი</t>
  </si>
  <si>
    <t>79.03</t>
  </si>
  <si>
    <t>19001006946</t>
  </si>
  <si>
    <t>ბერიშვილი</t>
  </si>
  <si>
    <t>ზუგდიდი. სოფელი ჯიხაშკარი</t>
  </si>
  <si>
    <t>85.7</t>
  </si>
  <si>
    <t>19001071424</t>
  </si>
  <si>
    <t>ვაჟიკო</t>
  </si>
  <si>
    <t>ხაბურზანია</t>
  </si>
  <si>
    <t>ზუგდიდი. სოფელი ახალსოფელი. სართ.1 ბ-#8</t>
  </si>
  <si>
    <t>62005021742</t>
  </si>
  <si>
    <t>მურმან</t>
  </si>
  <si>
    <t>თოდუა</t>
  </si>
  <si>
    <t>ზუგდიდი. სოფელი ანაკლია</t>
  </si>
  <si>
    <t>19001018037</t>
  </si>
  <si>
    <t>ბესარიონ</t>
  </si>
  <si>
    <t xml:space="preserve">ხაშური. დაბა სურამი. რუსთაველის ქ. </t>
  </si>
  <si>
    <t>57001013560</t>
  </si>
  <si>
    <t>მელიქიძე</t>
  </si>
  <si>
    <t>ზუგდიდი. სოფელი ინგირი</t>
  </si>
  <si>
    <t>19001082797</t>
  </si>
  <si>
    <t>როზა</t>
  </si>
  <si>
    <t>ფაცურია</t>
  </si>
  <si>
    <t>წალკა. დაბა თრიალეთი</t>
  </si>
  <si>
    <t>50.5</t>
  </si>
  <si>
    <t>61009011574</t>
  </si>
  <si>
    <t>მარკოიძე</t>
  </si>
  <si>
    <t>წალკა. სოფელი არ-სარვანი</t>
  </si>
  <si>
    <t>52001019909</t>
  </si>
  <si>
    <t>შამმა</t>
  </si>
  <si>
    <t>გარაბაირამოვა</t>
  </si>
  <si>
    <t>41.02</t>
  </si>
  <si>
    <t>59003002939</t>
  </si>
  <si>
    <t>ლაფაჩი</t>
  </si>
  <si>
    <t>ქ. დუშეთი. სოფელი მაღაროსკარი</t>
  </si>
  <si>
    <t>ქ.ფოთი. ზერაგია ქ. 76</t>
  </si>
  <si>
    <t>63.2</t>
  </si>
  <si>
    <t>42001018457</t>
  </si>
  <si>
    <t>ლუდმილა</t>
  </si>
  <si>
    <t>მიკოლაიჩუკი</t>
  </si>
  <si>
    <t>ქ. ფოთი. ნინო ჟვანიას ქ. 5</t>
  </si>
  <si>
    <t>42001028873</t>
  </si>
  <si>
    <t>ხუბულავა</t>
  </si>
  <si>
    <t>ქ. ფოთი. კოსტავას ქ. 25</t>
  </si>
  <si>
    <t>48.3</t>
  </si>
  <si>
    <t>42001022602</t>
  </si>
  <si>
    <t>ზოია</t>
  </si>
  <si>
    <t>ედიბერიძე</t>
  </si>
  <si>
    <t xml:space="preserve">ქ. ფოთი. ნ. არზიანის ქ. 8. სართ-1. ბინა-117 </t>
  </si>
  <si>
    <t>16.39</t>
  </si>
  <si>
    <t>62005024670</t>
  </si>
  <si>
    <t>იაგო</t>
  </si>
  <si>
    <t>ნანავა</t>
  </si>
  <si>
    <t>ქ. ფოთი. გ. ჯიქიას ქ. 9. სართ.-9. ბ-42</t>
  </si>
  <si>
    <t>62005004149</t>
  </si>
  <si>
    <t>მელენტი</t>
  </si>
  <si>
    <t>ცაავა</t>
  </si>
  <si>
    <t>ქ. ფოთი. წმ.ნინოს ქ. 3. სართ-1. ბ-2</t>
  </si>
  <si>
    <t>58.95</t>
  </si>
  <si>
    <t>62006009098</t>
  </si>
  <si>
    <t>ინალიშვილი</t>
  </si>
  <si>
    <t>ქ. ფოთი. დუმბაძის ქ. 32</t>
  </si>
  <si>
    <t>59.4</t>
  </si>
  <si>
    <t>42001016928</t>
  </si>
  <si>
    <t>არმინდა</t>
  </si>
  <si>
    <t>ჯიშკარიანი</t>
  </si>
  <si>
    <t>ქ. ფოთი. რეკვავას ქ.1. სართ-1. ბ-2</t>
  </si>
  <si>
    <t>45.59</t>
  </si>
  <si>
    <t>42001018392</t>
  </si>
  <si>
    <t>გრიგალაშვილი</t>
  </si>
  <si>
    <t>ქ. ფოთი. 9 აპრილის ხეივანი #4. სართ-1</t>
  </si>
  <si>
    <t>28.68</t>
  </si>
  <si>
    <t>42001006754</t>
  </si>
  <si>
    <t>გრიგოლ</t>
  </si>
  <si>
    <t>გაგუა</t>
  </si>
  <si>
    <t>ქ. ფოთი. გეგიძის ქ. 15 სართ-4. ბ-22</t>
  </si>
  <si>
    <t>51.95</t>
  </si>
  <si>
    <t>42001031901</t>
  </si>
  <si>
    <t>კირვალიძე</t>
  </si>
  <si>
    <t>ლანჩხუთი. სოფელი ღრმაღელე</t>
  </si>
  <si>
    <t>26001014246</t>
  </si>
  <si>
    <t>კარკუსაშვილი</t>
  </si>
  <si>
    <t>ქ. ფოთი. ჭავჭავაძის ქ. 183</t>
  </si>
  <si>
    <t>54.6</t>
  </si>
  <si>
    <t>42001014662</t>
  </si>
  <si>
    <t>კარლო</t>
  </si>
  <si>
    <t>ლეფსაია</t>
  </si>
  <si>
    <t>ქ. ფოთი. გაბუნიას ქ. 70</t>
  </si>
  <si>
    <t>63.04</t>
  </si>
  <si>
    <t>42001003456</t>
  </si>
  <si>
    <t>კილასონია</t>
  </si>
  <si>
    <t>ქ. ფოთი. ჯავახიშვილის ქ. 30/1. სართ-1. ბ-38</t>
  </si>
  <si>
    <t>37.63</t>
  </si>
  <si>
    <t>62001012092</t>
  </si>
  <si>
    <t>ქ. ფოთი. ლერმონტოვის ქ. 32</t>
  </si>
  <si>
    <t>44.8</t>
  </si>
  <si>
    <t>62004010089</t>
  </si>
  <si>
    <t>ჯეირან</t>
  </si>
  <si>
    <t>ქ. ფოთი. გაგრაის ქ.14</t>
  </si>
  <si>
    <t>42.89</t>
  </si>
  <si>
    <t>62001012244</t>
  </si>
  <si>
    <t>ქ. ფოთი. გამსახურდიას ქ. 82</t>
  </si>
  <si>
    <t>51.2</t>
  </si>
  <si>
    <t>42001028764</t>
  </si>
  <si>
    <t>ირინა</t>
  </si>
  <si>
    <t>ნადარეიშვილი</t>
  </si>
  <si>
    <t>ქ. ფოთი. ასათიანის ქ.16</t>
  </si>
  <si>
    <t>66.7</t>
  </si>
  <si>
    <t>42001032878</t>
  </si>
  <si>
    <t>თარგამაძე</t>
  </si>
  <si>
    <t>ქ. ფოთი. გურიის ქ. 65</t>
  </si>
  <si>
    <t>47.5</t>
  </si>
  <si>
    <t>42001022942</t>
  </si>
  <si>
    <t>ჯუმბერ</t>
  </si>
  <si>
    <t>კილაძე</t>
  </si>
  <si>
    <t>ქ. ფოთი. კონსტიტუციის ქ. 64</t>
  </si>
  <si>
    <t>39.3</t>
  </si>
  <si>
    <t>42001001698</t>
  </si>
  <si>
    <t>პარკაია</t>
  </si>
  <si>
    <t>ქ. ფოთი. გურიის 187. სართ-1. ბ-2</t>
  </si>
  <si>
    <t>69.89</t>
  </si>
  <si>
    <t>62006025679</t>
  </si>
  <si>
    <t>ეთერია</t>
  </si>
  <si>
    <t>ქ. ფოთი. ფაზისის ქ. 37</t>
  </si>
  <si>
    <t>68.2</t>
  </si>
  <si>
    <t>42001000183</t>
  </si>
  <si>
    <t>გურგენაძე</t>
  </si>
  <si>
    <t>ქ. ფოთი. დემეტრე თავდადებულის ქ. 20</t>
  </si>
  <si>
    <t>64.8</t>
  </si>
  <si>
    <t>42001004909</t>
  </si>
  <si>
    <t>ბიდიკო</t>
  </si>
  <si>
    <t>კაკულია</t>
  </si>
  <si>
    <t>ქ. ფოთი.დ. აღმაშენებლის ქ. 30</t>
  </si>
  <si>
    <t>48.4</t>
  </si>
  <si>
    <t>42001013579</t>
  </si>
  <si>
    <t>შეროზია</t>
  </si>
  <si>
    <t>ქ. ფოთი. 9 აპრილის ხეივანი 31. სართ-1. ბ-43</t>
  </si>
  <si>
    <t>42001013015</t>
  </si>
  <si>
    <t>სიმონ</t>
  </si>
  <si>
    <t>აბაკელია</t>
  </si>
  <si>
    <t>ქ. ფოთი. პაიჭაძის ქ.14</t>
  </si>
  <si>
    <t>42001030014</t>
  </si>
  <si>
    <t>კეკელიძე</t>
  </si>
  <si>
    <t>ქ. ფოთი. შავი ზღვის ქ.2</t>
  </si>
  <si>
    <t>48.36</t>
  </si>
  <si>
    <t>42001022079</t>
  </si>
  <si>
    <t>ჟუნა</t>
  </si>
  <si>
    <t>ქოიავა</t>
  </si>
  <si>
    <t>ქ. ფოთი. სამეგრელოს ქ. 51</t>
  </si>
  <si>
    <t>90.3</t>
  </si>
  <si>
    <t>42001024904</t>
  </si>
  <si>
    <t>რობერტ</t>
  </si>
  <si>
    <t>ცაგერი. სოფელი ორბელი</t>
  </si>
  <si>
    <t>1,6 თვე</t>
  </si>
  <si>
    <t>49001001461</t>
  </si>
  <si>
    <t>გვიშიანი</t>
  </si>
  <si>
    <t>ცაგერი. სოფელი ტვიში</t>
  </si>
  <si>
    <t>193.6</t>
  </si>
  <si>
    <t>49001001013</t>
  </si>
  <si>
    <t>ახვლედიანი</t>
  </si>
  <si>
    <t>ონი. სოფელი ქვედრულა</t>
  </si>
  <si>
    <t>34001000580</t>
  </si>
  <si>
    <t>ნესტან</t>
  </si>
  <si>
    <t>გვიჩიანი</t>
  </si>
  <si>
    <t>ადიგენი. სოფელი უდე</t>
  </si>
  <si>
    <t>41.5</t>
  </si>
  <si>
    <t>03001010849</t>
  </si>
  <si>
    <t>სტეფანე</t>
  </si>
  <si>
    <t>მერაბიშვილი</t>
  </si>
  <si>
    <t>ადიგენი. ვარხანი. ყოფილი პურის საცხობი</t>
  </si>
  <si>
    <t>03001002336</t>
  </si>
  <si>
    <t>მინაძე</t>
  </si>
  <si>
    <t>ადიგენი. სოფელი მოხე</t>
  </si>
  <si>
    <t>159.05</t>
  </si>
  <si>
    <t>03001012535</t>
  </si>
  <si>
    <t>ასპინძა. სოფელი ძველი</t>
  </si>
  <si>
    <t>05001011083</t>
  </si>
  <si>
    <t>ასპინძა. სოფელი დამალა</t>
  </si>
  <si>
    <t>05001002659</t>
  </si>
  <si>
    <t>პეტროს</t>
  </si>
  <si>
    <t>ფარმანიან</t>
  </si>
  <si>
    <t>ხელვაჩაური. სოფ. თხილნარი</t>
  </si>
  <si>
    <t>61006018553</t>
  </si>
  <si>
    <t>როლანდ</t>
  </si>
  <si>
    <t>დუმბაძე</t>
  </si>
  <si>
    <t>ქ.ბათუმი.დაბა ხელვაჩაური</t>
  </si>
  <si>
    <t>61006006843</t>
  </si>
  <si>
    <t>ოთარ</t>
  </si>
  <si>
    <t>დიასამიძე</t>
  </si>
  <si>
    <t>ხელვაჩაური. სოფ. ზედა ერგე.ქუჩა8.#5</t>
  </si>
  <si>
    <t>61006017660</t>
  </si>
  <si>
    <t>ლორთქიფანიძე</t>
  </si>
  <si>
    <t>ხელვაჩაური სოფ.სალიბაური</t>
  </si>
  <si>
    <t>61001037717</t>
  </si>
  <si>
    <t>კვაჭაძე</t>
  </si>
  <si>
    <t xml:space="preserve">ქ.ბათუმი.მახინჯაური. ქუჩა ჯინჭარაძე. #11 </t>
  </si>
  <si>
    <t>61007000628</t>
  </si>
  <si>
    <t>წყალტუბო.ჭავჭავაძის ქ#13</t>
  </si>
  <si>
    <t>53001020108</t>
  </si>
  <si>
    <t>ქორიძე</t>
  </si>
  <si>
    <t>წყალტუბო. 9 აპრილის ქ #15</t>
  </si>
  <si>
    <t>62001020971</t>
  </si>
  <si>
    <t>მუშკუდიანი</t>
  </si>
  <si>
    <t>წყალტუბოს რაიონი სოფ.გეგუთი</t>
  </si>
  <si>
    <t>53001005197</t>
  </si>
  <si>
    <t>ზეინაბ</t>
  </si>
  <si>
    <t>წიქორიძე</t>
  </si>
  <si>
    <t>წყალტუბოს რაიონი სოფ.ოფშკვითი</t>
  </si>
  <si>
    <t>60001022208</t>
  </si>
  <si>
    <t>კუხიანიძე</t>
  </si>
  <si>
    <t>წყალტუბოს რაიონი სოფ.ფარცხანაყანევი</t>
  </si>
  <si>
    <t>53001048998</t>
  </si>
  <si>
    <t>თევდორაძე</t>
  </si>
  <si>
    <t>წყალტუბოს რაიონი სოფ.წყალტუბო</t>
  </si>
  <si>
    <t>53001024889</t>
  </si>
  <si>
    <t>თამარა</t>
  </si>
  <si>
    <t>ქუთათელაძე</t>
  </si>
  <si>
    <t>ქ.თერჯოლა.რუსთაველის ქ. #105.სართული 1</t>
  </si>
  <si>
    <t>21001001968</t>
  </si>
  <si>
    <t>თერჯოლა.სოფ.ზედა საზანო</t>
  </si>
  <si>
    <t>21001029982</t>
  </si>
  <si>
    <t>კიაზო</t>
  </si>
  <si>
    <t>კუპატაძე</t>
  </si>
  <si>
    <t>ხელვაჩაური.სოფ. ახალსოფელი</t>
  </si>
  <si>
    <t>61006004849</t>
  </si>
  <si>
    <t>ყურშუბაძე</t>
  </si>
  <si>
    <t>ხელვაჩაური.სოფ. ჩხუტუნეთი</t>
  </si>
  <si>
    <t>61006023241</t>
  </si>
  <si>
    <t>სალვარიძე</t>
  </si>
  <si>
    <t>ხელვაჩაური.სოფ. ახალშენი</t>
  </si>
  <si>
    <t>61006028774</t>
  </si>
  <si>
    <t>ხელვაჩაური.სოფ. ორთაბათუმი</t>
  </si>
  <si>
    <t>61001016759</t>
  </si>
  <si>
    <t>ზია</t>
  </si>
  <si>
    <t>ფაღავა</t>
  </si>
  <si>
    <t>ხელვაჩაური.სოფ. ფერია</t>
  </si>
  <si>
    <t>61006049848</t>
  </si>
  <si>
    <t>წყალტუბო.სოფ. მაღლაკი</t>
  </si>
  <si>
    <t>53001045447</t>
  </si>
  <si>
    <t>კვერნაძე</t>
  </si>
  <si>
    <t>წყალტუბო.სოფ. მუხიანი</t>
  </si>
  <si>
    <t>5300131341</t>
  </si>
  <si>
    <t>სდული</t>
  </si>
  <si>
    <t>ბაბუნაშვილი</t>
  </si>
  <si>
    <t>წყალტუბო.სოფ.ოფურჩხნეთი</t>
  </si>
  <si>
    <t>53001021541</t>
  </si>
  <si>
    <t>ნიკოლოზი</t>
  </si>
  <si>
    <t>გედენიძე</t>
  </si>
  <si>
    <t>წყალტუბო.სოფ. გუმბრა</t>
  </si>
  <si>
    <t>53001000421</t>
  </si>
  <si>
    <t>ნემსაძე</t>
  </si>
  <si>
    <t>თერჯოლა.სოფ. ნახშირღელე.ქ 15 #89</t>
  </si>
  <si>
    <t>21001006530</t>
  </si>
  <si>
    <t>დაბა თიანეთი.რუსთაველის ქ. #27</t>
  </si>
  <si>
    <t>23001001088</t>
  </si>
  <si>
    <t>ფაშურიშვილი</t>
  </si>
  <si>
    <t>საჩხერე.სოფ. ჭალოვანი</t>
  </si>
  <si>
    <t>38001009186</t>
  </si>
  <si>
    <t>მუხრანი</t>
  </si>
  <si>
    <t>შუბითიძე</t>
  </si>
  <si>
    <t>საჩხერე.სოფ. კორბოული</t>
  </si>
  <si>
    <t>146.6</t>
  </si>
  <si>
    <t>38001025542</t>
  </si>
  <si>
    <t>სისვაძე</t>
  </si>
  <si>
    <t>თიანეთი. სოფ. ხევსურთსოფელი</t>
  </si>
  <si>
    <t>01006012104</t>
  </si>
  <si>
    <t>ელგუჯა</t>
  </si>
  <si>
    <t>ჩოლოგაური</t>
  </si>
  <si>
    <t>ჩოხატაური.სოფ. ქვენობანი</t>
  </si>
  <si>
    <t>46001013210</t>
  </si>
  <si>
    <t>მესტია.სოფ. ხაიში</t>
  </si>
  <si>
    <t>62007011953</t>
  </si>
  <si>
    <t>კონჯარია</t>
  </si>
  <si>
    <t>გორი.სოფ. ტირძნისი</t>
  </si>
  <si>
    <t>59002000420</t>
  </si>
  <si>
    <t>ჯალაბაძე</t>
  </si>
  <si>
    <t>გორი.სოფ. აძვი</t>
  </si>
  <si>
    <t>59001060603</t>
  </si>
  <si>
    <t>გერკეული</t>
  </si>
  <si>
    <t>გორი. ცაბაძის ქ. #2ა</t>
  </si>
  <si>
    <t>124.25</t>
  </si>
  <si>
    <t>59001077224</t>
  </si>
  <si>
    <t>რუსუდან</t>
  </si>
  <si>
    <t>საური</t>
  </si>
  <si>
    <t>გორი.სოფ. შინდისი #16</t>
  </si>
  <si>
    <t>64.5</t>
  </si>
  <si>
    <t>50001000257</t>
  </si>
  <si>
    <t>ინაური</t>
  </si>
  <si>
    <t>გორი.სოფ.კარალეთი #3</t>
  </si>
  <si>
    <t>66.56</t>
  </si>
  <si>
    <t>59004002350</t>
  </si>
  <si>
    <t>ოლღა</t>
  </si>
  <si>
    <t>ტუაევა</t>
  </si>
  <si>
    <t>გორი. სოფ. ტინისხიდი</t>
  </si>
  <si>
    <t>56.62</t>
  </si>
  <si>
    <t>59001004033</t>
  </si>
  <si>
    <t>იორამაშვილი</t>
  </si>
  <si>
    <t>გორი. სოფ. ნიქოზი</t>
  </si>
  <si>
    <t>59002004407</t>
  </si>
  <si>
    <t>ლაზარაშვილი</t>
  </si>
  <si>
    <t>გორი. სოფ. სკრა #64</t>
  </si>
  <si>
    <t>66.59</t>
  </si>
  <si>
    <t>59004001008</t>
  </si>
  <si>
    <t>დოკაძე</t>
  </si>
  <si>
    <t>გორი. სოფ. მეჯვრისხევი</t>
  </si>
  <si>
    <t>59001040664</t>
  </si>
  <si>
    <t>მარეხი</t>
  </si>
  <si>
    <t>გოგინაშვილიფ/პ</t>
  </si>
  <si>
    <t>მესტია. სოფ. ხაიში.იდლიანი</t>
  </si>
  <si>
    <t>30001006106</t>
  </si>
  <si>
    <t>კვანჭიანი</t>
  </si>
  <si>
    <t>მესტია. სოფ. ლენჯერი.ნესგუნი</t>
  </si>
  <si>
    <t>30001000522</t>
  </si>
  <si>
    <t>გულედანი</t>
  </si>
  <si>
    <t>მესტია.სოფ. ცხუმარი.მაგარდელი</t>
  </si>
  <si>
    <t>30001003413</t>
  </si>
  <si>
    <t>სოსო</t>
  </si>
  <si>
    <t>მილდიანი</t>
  </si>
  <si>
    <t>მესტია. სოფ.ეცერი</t>
  </si>
  <si>
    <t>30001004402</t>
  </si>
  <si>
    <t>შალვა</t>
  </si>
  <si>
    <t>ხორგუანი</t>
  </si>
  <si>
    <t>მესტია.სოფ. იფარი.ბოგრეში</t>
  </si>
  <si>
    <t>30001001281</t>
  </si>
  <si>
    <t>გულბანი</t>
  </si>
  <si>
    <t>მესტია.სოფ. ნაკრა</t>
  </si>
  <si>
    <t>30001008560</t>
  </si>
  <si>
    <t>ისლამ</t>
  </si>
  <si>
    <t>ცინდელიანი</t>
  </si>
  <si>
    <t>მესტია.სოფ. მულახი</t>
  </si>
  <si>
    <t>28901120246</t>
  </si>
  <si>
    <t>ლერი</t>
  </si>
  <si>
    <t>გუჯეჯიანი</t>
  </si>
  <si>
    <t>მესტია.სოფ. ლატალი</t>
  </si>
  <si>
    <t>30001003373</t>
  </si>
  <si>
    <t>ვენერა</t>
  </si>
  <si>
    <t>მარგიანი</t>
  </si>
  <si>
    <t>მესტია. სოფ.უშგული</t>
  </si>
  <si>
    <t>30001003496</t>
  </si>
  <si>
    <t>ნიჟარაძე</t>
  </si>
  <si>
    <t>მესტია. სოფ.მახამულა</t>
  </si>
  <si>
    <t>3001007401</t>
  </si>
  <si>
    <t>ჭკადუა</t>
  </si>
  <si>
    <t>მესტია. აღმაშენებლის ქ.#2</t>
  </si>
  <si>
    <t>3001000668</t>
  </si>
  <si>
    <t>მარგველანი</t>
  </si>
  <si>
    <t>გორი.სოფ. ხიდისთავი</t>
  </si>
  <si>
    <t>59001032938</t>
  </si>
  <si>
    <t>მურაზ</t>
  </si>
  <si>
    <t>გორი. სოფ. ხელთუბანი</t>
  </si>
  <si>
    <t>59001024260</t>
  </si>
  <si>
    <t>გორი. სოფ. ტყვიავი</t>
  </si>
  <si>
    <t>59001071359</t>
  </si>
  <si>
    <t>რაზმაძე</t>
  </si>
  <si>
    <t>გორი.სოფ. ბერბუკი #87</t>
  </si>
  <si>
    <t>66.58</t>
  </si>
  <si>
    <t>59003000638</t>
  </si>
  <si>
    <t>ლია</t>
  </si>
  <si>
    <t>დუღაძე</t>
  </si>
  <si>
    <t>გორი.ბერი ფავლენიშვილის ქ.#6ა.ბ#107</t>
  </si>
  <si>
    <t>53.03</t>
  </si>
  <si>
    <t>50001000290</t>
  </si>
  <si>
    <t>ბაბუციძე</t>
  </si>
  <si>
    <t>გორი.სოფ. გუგუტიანთკარი</t>
  </si>
  <si>
    <t>38.48</t>
  </si>
  <si>
    <t>59001091803</t>
  </si>
  <si>
    <t>თუხარელი</t>
  </si>
  <si>
    <t>გორი.სოფ.ხურვალეთი #4</t>
  </si>
  <si>
    <t>59003002879</t>
  </si>
  <si>
    <t>ზვიადი</t>
  </si>
  <si>
    <t>გუდაძე</t>
  </si>
  <si>
    <t>გორი.სოფ. შავშვები #135</t>
  </si>
  <si>
    <t>66.54</t>
  </si>
  <si>
    <t>59002002305</t>
  </si>
  <si>
    <t>რომელაშვილი</t>
  </si>
  <si>
    <t xml:space="preserve">გორი. სოფ. ახალსოფელი </t>
  </si>
  <si>
    <t>59001059841</t>
  </si>
  <si>
    <t>ასმათ</t>
  </si>
  <si>
    <t>გოგოლაძე</t>
  </si>
  <si>
    <t>გორი.სოფ. ვარიანი</t>
  </si>
  <si>
    <t>59001000989</t>
  </si>
  <si>
    <t>კანდელაკი</t>
  </si>
  <si>
    <t xml:space="preserve">გორი.ჭალის დასახლება </t>
  </si>
  <si>
    <t>59001009358</t>
  </si>
  <si>
    <t>ოქროშიაშვილი</t>
  </si>
  <si>
    <t>გორი. სტალინის ქ.#3</t>
  </si>
  <si>
    <t>74.24</t>
  </si>
  <si>
    <t>59001014235</t>
  </si>
  <si>
    <t>ახალციხე. სოფ. აწყური</t>
  </si>
  <si>
    <t>01019004259</t>
  </si>
  <si>
    <t>წიქვაძე</t>
  </si>
  <si>
    <t>ახალციხე.ვალე.სტალინის ქ.#1</t>
  </si>
  <si>
    <t>55.1</t>
  </si>
  <si>
    <t>687.5</t>
  </si>
  <si>
    <t>35001018652</t>
  </si>
  <si>
    <t>ია</t>
  </si>
  <si>
    <t>ჯვარიძე</t>
  </si>
  <si>
    <t>ახალციხე.კოსტავას ქ. #4</t>
  </si>
  <si>
    <t>72.3</t>
  </si>
  <si>
    <t>47001000744</t>
  </si>
  <si>
    <t>აშოთ</t>
  </si>
  <si>
    <t>კავალერიან</t>
  </si>
  <si>
    <t>ახალციხე. კოსტავას ქ.#39ა</t>
  </si>
  <si>
    <t>47001000518</t>
  </si>
  <si>
    <t>ფრიდონ</t>
  </si>
  <si>
    <t>მამასახლისაშვილი</t>
  </si>
  <si>
    <t>ქ.ტყიბული,კ.ლომაძის ქ.#1</t>
  </si>
  <si>
    <t>41001008547</t>
  </si>
  <si>
    <t>თენგიზ ბუბაშვილი</t>
  </si>
  <si>
    <t>ქობულეთი,აღმაშენებლის გამზირი #128</t>
  </si>
  <si>
    <t>1,5 დღე</t>
  </si>
  <si>
    <t>61001001120</t>
  </si>
  <si>
    <t>კაიკაციშვილი</t>
  </si>
  <si>
    <t>ქ.თბილისი,მეტროს სადგურ "ახმეტელის თეატრი"-ს მიმდ.ტერიტორია</t>
  </si>
  <si>
    <t>18 დღე</t>
  </si>
  <si>
    <t>209456104</t>
  </si>
  <si>
    <t>შპს კარიბჭე</t>
  </si>
  <si>
    <t>ქ,ბათუმი გოგებაშვილის ქ.#60</t>
  </si>
  <si>
    <t>445403288</t>
  </si>
  <si>
    <t>შპს მერსინ ტურიზმი</t>
  </si>
  <si>
    <t>მესტია,აღმაშენებლის ქ.#2</t>
  </si>
  <si>
    <t>30001000668</t>
  </si>
  <si>
    <t>მესტია, სოფ.ლახამულა</t>
  </si>
  <si>
    <t>30001007401</t>
  </si>
  <si>
    <t>წყალტუბოს რაიონი ,სოფ.მუხიანი</t>
  </si>
  <si>
    <t>53001031341</t>
  </si>
  <si>
    <t>სადული</t>
  </si>
  <si>
    <t>ქ.გორი,გორიჯვარის ქ.#58</t>
  </si>
  <si>
    <t>59001055332</t>
  </si>
  <si>
    <t>ხიზანიშვილი</t>
  </si>
  <si>
    <t>გორი,სოფ.კარალეთი</t>
  </si>
  <si>
    <t>01019012919</t>
  </si>
  <si>
    <t>შავშიშვილი</t>
  </si>
  <si>
    <t>გორი, ცხინვალის გზატკეცილი #8</t>
  </si>
  <si>
    <t>218081929</t>
  </si>
  <si>
    <t>შპს ინტერ ლოგი</t>
  </si>
  <si>
    <t>ლაგოდეხი, სოფელი კაბალი</t>
  </si>
  <si>
    <t>25001009749</t>
  </si>
  <si>
    <t>ვუსალი</t>
  </si>
  <si>
    <t>ბაირამოვ</t>
  </si>
  <si>
    <t>გარდაბანი, სოფელი გამარჯვება</t>
  </si>
  <si>
    <t>01028002032</t>
  </si>
  <si>
    <t>ჭინჭარაული</t>
  </si>
  <si>
    <t>აბაშა, საკრებულო აბაშა</t>
  </si>
  <si>
    <t>20 დღე</t>
  </si>
  <si>
    <t>02001010064</t>
  </si>
  <si>
    <t>მერი</t>
  </si>
  <si>
    <t>აბაშა, სოფელი პირველი მაისი</t>
  </si>
  <si>
    <t>02001002867</t>
  </si>
  <si>
    <t>აბაშა, სოფელი ონტოფო</t>
  </si>
  <si>
    <t>62001019362</t>
  </si>
  <si>
    <t>რომან</t>
  </si>
  <si>
    <t>მიქაძე</t>
  </si>
  <si>
    <t>აბაშა, სოფელი წყემი</t>
  </si>
  <si>
    <t>01007000252</t>
  </si>
  <si>
    <t>კუპრეიშვილი</t>
  </si>
  <si>
    <t>აბაშა, საკრებულო ნორიო</t>
  </si>
  <si>
    <t>02001006452</t>
  </si>
  <si>
    <t>ვლადიმერი</t>
  </si>
  <si>
    <t>ჩოჩია</t>
  </si>
  <si>
    <t>აბაშა, სოფელი ნაესაკოვო</t>
  </si>
  <si>
    <t>02001005257</t>
  </si>
  <si>
    <t>გიზო</t>
  </si>
  <si>
    <t>ესაკია</t>
  </si>
  <si>
    <t>აბაშა, სოფელი სეფიეთი</t>
  </si>
  <si>
    <t>01008032378</t>
  </si>
  <si>
    <t>მელია</t>
  </si>
  <si>
    <t>ქ. აბაშა, ნინოშვილის მე-2 შესახვევი #3</t>
  </si>
  <si>
    <t>02001008470</t>
  </si>
  <si>
    <t>ბაქარი</t>
  </si>
  <si>
    <t>ლიპარტია</t>
  </si>
  <si>
    <t>ქედა, სოფელი მოსიაშვილები</t>
  </si>
  <si>
    <t>61008012493</t>
  </si>
  <si>
    <t>ქედა, საკრებულო ცხმორისი</t>
  </si>
  <si>
    <t>61008014791</t>
  </si>
  <si>
    <t>მურად</t>
  </si>
  <si>
    <t>ქედა, სოფელი პირველი მაისი</t>
  </si>
  <si>
    <t>61008014070</t>
  </si>
  <si>
    <t>ქედა, სოფელი ზუნდაგა</t>
  </si>
  <si>
    <t>61008010314</t>
  </si>
  <si>
    <t>ნადეჟდა</t>
  </si>
  <si>
    <t>ჯაბნიძე</t>
  </si>
  <si>
    <t>მარტვილი, სოფელი დიდიჭყონი</t>
  </si>
  <si>
    <t>29001013777</t>
  </si>
  <si>
    <t>გულორდავა</t>
  </si>
  <si>
    <t>მარტვილი, საკრებულო ლეხაინდრაო</t>
  </si>
  <si>
    <t>29001022165</t>
  </si>
  <si>
    <t>კვანტალიანი</t>
  </si>
  <si>
    <t>მარტვილი, სოფელი ბანძა</t>
  </si>
  <si>
    <t>29001019433</t>
  </si>
  <si>
    <t>ჯვებენავა</t>
  </si>
  <si>
    <t>ხონის რაიონი, სოფელი ივანდიდი</t>
  </si>
  <si>
    <t>55001001164</t>
  </si>
  <si>
    <t>ხელვაჩაურის რაიონი. დაბა მახინჯაური</t>
  </si>
  <si>
    <t>ზორბეგი</t>
  </si>
  <si>
    <t>ლანჩხუთი, სოფელი ჩიბათი</t>
  </si>
  <si>
    <t>61001002410</t>
  </si>
  <si>
    <t>პატარაია</t>
  </si>
  <si>
    <t>ლანჩხუთი, სოფელი ჩოჩხათი</t>
  </si>
  <si>
    <t>26001023551</t>
  </si>
  <si>
    <t xml:space="preserve">მამუკა </t>
  </si>
  <si>
    <t xml:space="preserve"> მარშანიშვილი</t>
  </si>
  <si>
    <t>ზესტაფონი, სოფელი შროშა</t>
  </si>
  <si>
    <t>18001010688</t>
  </si>
  <si>
    <t>გორგაძე</t>
  </si>
  <si>
    <t>ზესტაფონი, სოფელი ილემი</t>
  </si>
  <si>
    <t>0,5 თვე</t>
  </si>
  <si>
    <t>18001045379</t>
  </si>
  <si>
    <t>ჯონი</t>
  </si>
  <si>
    <t>ყვარელი. სოფელი გაზავი</t>
  </si>
  <si>
    <t>45001026038</t>
  </si>
  <si>
    <t>არჩილი</t>
  </si>
  <si>
    <t>რევაზიშვილი</t>
  </si>
  <si>
    <t>ყვარელი. სოფელი ახალსოფელი</t>
  </si>
  <si>
    <t>45001007267</t>
  </si>
  <si>
    <t xml:space="preserve">გიორგი </t>
  </si>
  <si>
    <t>შაროვი</t>
  </si>
  <si>
    <t>ყვარელი. სოფელი შილდა</t>
  </si>
  <si>
    <t>45001008562</t>
  </si>
  <si>
    <t xml:space="preserve">ვალერი </t>
  </si>
  <si>
    <t>ჩიტაშვილი</t>
  </si>
  <si>
    <t>ყვარელი. სოფელი ჭიკაანი</t>
  </si>
  <si>
    <t>45001003159</t>
  </si>
  <si>
    <t>როინი</t>
  </si>
  <si>
    <t>ხვედელიძე</t>
  </si>
  <si>
    <t>ყვარელი. სოფელი ენისელი</t>
  </si>
  <si>
    <t>441554220</t>
  </si>
  <si>
    <t>შპს მინდი-2011</t>
  </si>
  <si>
    <t>ქ.თბილისი ალ.ყაზბეგის დამზ.# 29ა</t>
  </si>
  <si>
    <t>01024003515</t>
  </si>
  <si>
    <t>ელენე ძოწენიძე</t>
  </si>
  <si>
    <t>ქ.თბილისი მოედანი გულია, გვარდიის. სამრ. მიმდებ</t>
  </si>
  <si>
    <t>404459616</t>
  </si>
  <si>
    <t>შპს თელი teli</t>
  </si>
  <si>
    <t>ქ.თბილისი, ზაჰესის დასახ. თავისუფლების ქ. #1ა</t>
  </si>
  <si>
    <t>31001019345</t>
  </si>
  <si>
    <t>ჯემალი</t>
  </si>
  <si>
    <t>ფრანგულაშვილი</t>
  </si>
  <si>
    <t>15 დღე</t>
  </si>
  <si>
    <t>15დღე</t>
  </si>
  <si>
    <t>ქ. ზუგდიდი, სოფელი კახათი</t>
  </si>
  <si>
    <t>51001001575</t>
  </si>
  <si>
    <t>გუგუჩია</t>
  </si>
  <si>
    <t>ქ. ხაშური დაბა სურამი, რუსთაველის ქუჩა 133</t>
  </si>
  <si>
    <t>57001031893</t>
  </si>
  <si>
    <t xml:space="preserve">ცისნამი </t>
  </si>
  <si>
    <t>კელენჯერიძე</t>
  </si>
  <si>
    <t>ქ. ბაღდათი, სოფელი წითელხევი</t>
  </si>
  <si>
    <t>09001000230</t>
  </si>
  <si>
    <t xml:space="preserve">პავლე </t>
  </si>
  <si>
    <t>სირბილაძე</t>
  </si>
  <si>
    <t>ქ. სამტრედია რუსთაველის ქ. 23</t>
  </si>
  <si>
    <t>კახი</t>
  </si>
  <si>
    <t>კალაძე</t>
  </si>
  <si>
    <t>ქ. წყალტუბო, მირიან მეფის ქ #3</t>
  </si>
  <si>
    <t>53001000003</t>
  </si>
  <si>
    <t>ქ. გარდაბანი</t>
  </si>
  <si>
    <t>12001001003</t>
  </si>
  <si>
    <t xml:space="preserve">ფუატ </t>
  </si>
  <si>
    <t>10 დღე</t>
  </si>
  <si>
    <t>ქ. წალკა. არისტორელეს ქ. #14</t>
  </si>
  <si>
    <t>52001008156</t>
  </si>
  <si>
    <t>ელინა</t>
  </si>
  <si>
    <t>ჩამურლიევა</t>
  </si>
  <si>
    <t>ქ. რუსთავი, კულტურისა და დასვენების პარკში, არსებული ამფითეატრის შენობაში</t>
  </si>
  <si>
    <t>ფართის დათმობა</t>
  </si>
  <si>
    <t>1 დღე</t>
  </si>
  <si>
    <t>216433287</t>
  </si>
  <si>
    <t>თვითმმართველი ქალაქი ქალაქ რუსთავის მუნიციპალიტეტი</t>
  </si>
  <si>
    <t>ქ. ბათუმი, ბარბიუსის ქ. #6</t>
  </si>
  <si>
    <t>404422530</t>
  </si>
  <si>
    <t>შპს რივიერა ბიჩ</t>
  </si>
  <si>
    <t>ქ. თბილისი, მთაწმინდის პარკი</t>
  </si>
  <si>
    <t>404855965</t>
  </si>
  <si>
    <t>შპს ფართი ჰაუსი</t>
  </si>
  <si>
    <t>ქ. ჩოხატაური, ლომთათიძის ქ. #2</t>
  </si>
  <si>
    <t>242008876</t>
  </si>
  <si>
    <t>შპს მარულა +</t>
  </si>
  <si>
    <t>ქ. ტყიბული, კ. გამსახურდიას ქ.</t>
  </si>
  <si>
    <t>14 დღე</t>
  </si>
  <si>
    <t>41001008432</t>
  </si>
  <si>
    <t>მაჭავარიანი რუსუდანი ი/მ</t>
  </si>
  <si>
    <t>ქ. თბილისი, ვარკეთილის ზ/პლატო IIმ/რ</t>
  </si>
  <si>
    <t>208218819</t>
  </si>
  <si>
    <t>შპს სკოლა ოპიზა</t>
  </si>
  <si>
    <t>ქ. თბილისი, ც. დადიანის ქ. #26</t>
  </si>
  <si>
    <t>11 დღე</t>
  </si>
  <si>
    <t>200011904</t>
  </si>
  <si>
    <t>შპს ორიენტირი</t>
  </si>
  <si>
    <t>ქ. თბილისი, რამაზ შენგელიას ქ. #7</t>
  </si>
  <si>
    <t>13 დღე</t>
  </si>
  <si>
    <t>27001000045</t>
  </si>
  <si>
    <t xml:space="preserve">ზაალი </t>
  </si>
  <si>
    <t xml:space="preserve">ჩანქსელიანი </t>
  </si>
  <si>
    <t>55001004388</t>
  </si>
  <si>
    <t>2 დღე</t>
  </si>
  <si>
    <t>245587342</t>
  </si>
  <si>
    <t>შპს ნეპტუნ-ნ</t>
  </si>
  <si>
    <t>ქ. თბილისი, მარჯანიშვილის ქ. #16 კორ. 4</t>
  </si>
  <si>
    <t>406088139</t>
  </si>
  <si>
    <t>ა(ა)იპ სამოქალაქო ჩართულობის ცენტრი</t>
  </si>
  <si>
    <t>ქ. თბილისი, კუს ტბის გზის დასაწყისში</t>
  </si>
  <si>
    <t>205099221</t>
  </si>
  <si>
    <t>ა(ა)იპ მერაბ ბერძენიშვილის კულტურის საერთაშორისო ცენტრი „მუზა“</t>
  </si>
  <si>
    <t>5 დღე</t>
  </si>
  <si>
    <t>ქ. რუსთავი, რუსთაველის ქ. #30ა</t>
  </si>
  <si>
    <t>3 დღე</t>
  </si>
  <si>
    <t>416320813</t>
  </si>
  <si>
    <t>ა(ა)იპ ქალაქ რუსთავის სასპორტო სკოლების განვითარების ცენტრი</t>
  </si>
  <si>
    <t>404967764</t>
  </si>
  <si>
    <t>შპს სიმპათია</t>
  </si>
  <si>
    <t>404934381</t>
  </si>
  <si>
    <t>სს Hualing International Special Economic Zone</t>
  </si>
  <si>
    <t>ქ. ქობულეთი, აღმაშენებლის გამზ. #159</t>
  </si>
  <si>
    <t>246953667</t>
  </si>
  <si>
    <t>შპს ბალავარი</t>
  </si>
  <si>
    <t>ქ. რუსთავი, ფიროსმანის ქ. #7</t>
  </si>
  <si>
    <t>416298786</t>
  </si>
  <si>
    <t>ა(ა)იპ გიგა ლორთქიფანიძის სახელობის რუსთავის მუნიციპალური თეატრი</t>
  </si>
  <si>
    <t>ქ. ქობულეთი, დავით აღმაშენებლის გამზ. #114</t>
  </si>
  <si>
    <t>247007126</t>
  </si>
  <si>
    <t>ა(ა)იპ ქობულეთის კულტურის ცენტრი</t>
  </si>
  <si>
    <t>ქ. ბათუმი ნინოშვილის ქ. #11</t>
  </si>
  <si>
    <t>448050545</t>
  </si>
  <si>
    <t>სს ბათუმი ჰოტელ</t>
  </si>
  <si>
    <t>ქ. ჩოხატაური, დუმბაძის ქ. #25</t>
  </si>
  <si>
    <t>4 დღე</t>
  </si>
  <si>
    <t>241994142</t>
  </si>
  <si>
    <t>შპს ჩოხატაურის მაცნე</t>
  </si>
  <si>
    <t>ქ. კასპი, ჭავჭვაძის ქ. #20</t>
  </si>
  <si>
    <t>01030003259</t>
  </si>
  <si>
    <t>ხიზანაშვილი კუკური ი/მ</t>
  </si>
  <si>
    <t>ქ. თბილისი, გიორგი ცაბაძის ქ. #4</t>
  </si>
  <si>
    <t>12 დღე</t>
  </si>
  <si>
    <t>401963666</t>
  </si>
  <si>
    <t>ა(ა)იპ ქ. თბილისის მერიის ფეხბურთის სპორტული ცენტრი იმედი</t>
  </si>
  <si>
    <t>ხულო, რუსთაველის ქ. #11</t>
  </si>
  <si>
    <t>248048278</t>
  </si>
  <si>
    <t>სსიპ ხულოს პროფესიული სახელმწიფო დრამატული თეატრი</t>
  </si>
  <si>
    <t>თბილისი</t>
  </si>
  <si>
    <t>შ.პ.ს. აჭარა +</t>
  </si>
  <si>
    <t>მცხეთის მუნიციპალიტეტი ს. საგურამო</t>
  </si>
  <si>
    <t>236067224</t>
  </si>
  <si>
    <t>სსიპ ილია ჭავჭავაძის საგურამოს სახელმწიფო მუზეუმი</t>
  </si>
  <si>
    <t>თბილისი იმერეთის ქ. 94</t>
  </si>
  <si>
    <t>01020009189</t>
  </si>
  <si>
    <t>თათელაძე</t>
  </si>
  <si>
    <t>თბილისი გურამიშვილის 15</t>
  </si>
  <si>
    <t>01201126634</t>
  </si>
  <si>
    <t>ი.მ. გია ჭილაია</t>
  </si>
  <si>
    <t>თბილისი ც. დადიანის 134</t>
  </si>
  <si>
    <t>შ.პ.ს. დევილაქი</t>
  </si>
  <si>
    <t>თბილისი ალ. ყაზბეგის გამზ. 34</t>
  </si>
  <si>
    <t>204888130</t>
  </si>
  <si>
    <t>ა.ა.ი.პ. კონსულტაციისა და ტრეინინგის ცენტრი</t>
  </si>
  <si>
    <t>თბილისი ჯავახეთის 66ა</t>
  </si>
  <si>
    <t>206036243</t>
  </si>
  <si>
    <t>შ.პ.ს. სპეტი</t>
  </si>
  <si>
    <t>თბილისი კობარეთის 57</t>
  </si>
  <si>
    <t>206330004</t>
  </si>
  <si>
    <t>შ.პ.ს. პლატფორმა</t>
  </si>
  <si>
    <t>თბილისი ვარკეთილი 3, 1 მკრ. კორპ. 25</t>
  </si>
  <si>
    <t>01027051310</t>
  </si>
  <si>
    <t>ი.მ. ბაბკენ აკოპიანი</t>
  </si>
  <si>
    <t>ხულო, რუსთაველის 11</t>
  </si>
  <si>
    <t>ბათუმი ნიჟარაძის 10</t>
  </si>
  <si>
    <t>61003008144</t>
  </si>
  <si>
    <t>ი.მ. ინაზი ბერძენაძე</t>
  </si>
  <si>
    <t>ბათუმი გორგასალის 149-151-153/გრიბოედოვის 29-31</t>
  </si>
  <si>
    <t>445395153</t>
  </si>
  <si>
    <t>შ.პ.ს. აისი</t>
  </si>
  <si>
    <t>ბათუმი ფრიდონ ხალვაშის გამზ. 374</t>
  </si>
  <si>
    <t>445423765</t>
  </si>
  <si>
    <t>შ.პ.ს. ტბეთი</t>
  </si>
  <si>
    <t>ქუთაისი ლ. ასათიანის 96</t>
  </si>
  <si>
    <t>212698259</t>
  </si>
  <si>
    <t>შ.პ.ს. აკადემიკოსი ივ. ჯავახიშვილის სახ. საშ. სკოლა იმედი</t>
  </si>
  <si>
    <t>ხონი მ. ხონელის 8</t>
  </si>
  <si>
    <t>55001002839</t>
  </si>
  <si>
    <t>ოთარ ქაშიბაძე</t>
  </si>
  <si>
    <t>ხაშური ჯორჯაძის ქ</t>
  </si>
  <si>
    <t>57001027034</t>
  </si>
  <si>
    <t>ვლადიმერ ბიწაძე</t>
  </si>
  <si>
    <t>კასპი გიორგი სააკაძის 1</t>
  </si>
  <si>
    <t>24001022022</t>
  </si>
  <si>
    <t>ზურაბ ღვინიაშვილი</t>
  </si>
  <si>
    <t>კასპი ჭავჭავაძის ქ</t>
  </si>
  <si>
    <t>კუკურ ხიზანაშვილი</t>
  </si>
  <si>
    <t>გორი ცხინვალის გზ. 9</t>
  </si>
  <si>
    <t>218030878</t>
  </si>
  <si>
    <t>შ.პ.ს. სუხიშვილის სასწავლო უნივერსიტეტი</t>
  </si>
  <si>
    <t>ხაშური ძნელაძის 1</t>
  </si>
  <si>
    <t>243858786</t>
  </si>
  <si>
    <t>შ.პ.ს. მანდილი</t>
  </si>
  <si>
    <t>ჭიათურა ყაზბეგის 6</t>
  </si>
  <si>
    <t>შ.პ.ს. გეოფონი</t>
  </si>
  <si>
    <t>წყალტუბო წერეთლის 4</t>
  </si>
  <si>
    <t>სს პეგასი</t>
  </si>
  <si>
    <t>ხარაგაული, დ. ხარაგაული, სოლომონ მეფის #57</t>
  </si>
  <si>
    <t>243574182</t>
  </si>
  <si>
    <t>ა.ა.ი.პ. ხარაგაულის შოთა ბუაჩიძის სახ. სამუსიკო სკოლა</t>
  </si>
  <si>
    <t>ლანჩხუთი ნინოშვილის 60</t>
  </si>
  <si>
    <t>კუნჭულია</t>
  </si>
  <si>
    <t>ბათუმი ბარათაშვილის 23</t>
  </si>
  <si>
    <t>448398476</t>
  </si>
  <si>
    <t>შ.პ.ს. ერლი ექშენი"</t>
  </si>
  <si>
    <t>ბათუმი ბარათაშვილის 33</t>
  </si>
  <si>
    <t>448383712</t>
  </si>
  <si>
    <t>შ.პ.ს. დავითი 2012</t>
  </si>
  <si>
    <t>ქ. თბილისი, აღმაშენებლის ქ. #73</t>
  </si>
  <si>
    <t>204523239</t>
  </si>
  <si>
    <t>შპს მეიდან ჯგუფი</t>
  </si>
  <si>
    <t>ქ. ოზურგეთი, კოსტავას ქ. @1ა</t>
  </si>
  <si>
    <t>437065685</t>
  </si>
  <si>
    <t>ა(ა)იპ ქალაქ ოზურგეთის მუნიციპალიტეტის გაერთიანებული სპორტის განვითარების ცენტრი</t>
  </si>
  <si>
    <t>ქ. ოზურგეთი, გურამიშვილის ქ. #25</t>
  </si>
  <si>
    <t>437060341</t>
  </si>
  <si>
    <t>შპს ელეგანტი</t>
  </si>
  <si>
    <t>ხარაგაული, სოლომონ მეფის 1 ჩიხი #6</t>
  </si>
  <si>
    <t>243570989</t>
  </si>
  <si>
    <t>თვითმმართველი თემი ხარაგაულის მუნიციპალიტეტი</t>
  </si>
  <si>
    <t>ქ. თბილისი, წერეთლის გამზირი #118</t>
  </si>
  <si>
    <t>201990104</t>
  </si>
  <si>
    <t>სს გამოფენების ცენტრი</t>
  </si>
  <si>
    <t>ქ. თბილისი, ილ. ჭვჭვაძის გამზ. #76</t>
  </si>
  <si>
    <t>404967087</t>
  </si>
  <si>
    <t>ა(ა)იპ თბილისის მედიათეკების გაერთიანება</t>
  </si>
  <si>
    <t>ქ. თბილისი, ჩიქობავას ქ. #35</t>
  </si>
  <si>
    <t>01024012603</t>
  </si>
  <si>
    <t>როგავა ელგუჯა ი/მ</t>
  </si>
  <si>
    <t>ქ. გორი, წერეთლის ქ. #29</t>
  </si>
  <si>
    <t>59001101395</t>
  </si>
  <si>
    <t>ლომაური ია ი/მ</t>
  </si>
  <si>
    <t>გარდაბანი, ს. მარტყოფი</t>
  </si>
  <si>
    <t>12001021682</t>
  </si>
  <si>
    <t>ეპიტაშვილი</t>
  </si>
  <si>
    <t>გარადაბანი, სოფელი მუღანლო</t>
  </si>
  <si>
    <t>ქ. გარდაბანი, დ. აღმაშენებლის ქ. #70</t>
  </si>
  <si>
    <t>თვითმმართელი თემი გარდაბნის მუცინიპალიტეტი</t>
  </si>
  <si>
    <t>ქ. ახალქალაქი, კამოს ქ. #11</t>
  </si>
  <si>
    <t>07001013077</t>
  </si>
  <si>
    <t>ოგანესიან მნაცაკან ი/მ</t>
  </si>
  <si>
    <t>ქ. ახალციხე, თამარ მეფის ქ. #6</t>
  </si>
  <si>
    <t>224072928</t>
  </si>
  <si>
    <t>სსიპ მესხეთის (ახალციხის) პროფესიული დრამატული თეატრი</t>
  </si>
  <si>
    <t>ქ. თთრიწყარო, თამარ მეფის ქ. #4</t>
  </si>
  <si>
    <t>230869192</t>
  </si>
  <si>
    <t>ა(ა)იპ თეთრიწყაროს სამუსიკო სკოლა</t>
  </si>
  <si>
    <t>ქ. ნინოწმინდა, ტერიანის ქ. #3</t>
  </si>
  <si>
    <t>236689669</t>
  </si>
  <si>
    <t>თვითმმართველი თემი ნინოწმინდის მუნიციპალიტეტი</t>
  </si>
  <si>
    <t>ქ. წალკა, ვ. ჭაბუკიანის (საბჭოს) 1. #7</t>
  </si>
  <si>
    <t>243125934</t>
  </si>
  <si>
    <t>თვითმმართველი თემი წალკის მუნიციპალიტეტი</t>
  </si>
  <si>
    <t>ქ. ქუთაისი, დ. აღმაშენებლის ქ. #1</t>
  </si>
  <si>
    <t>212698473</t>
  </si>
  <si>
    <t>სსიპ ქ. ქუთაისის ლადო მესხიშვილის სახელობის პროფესიული სახელმწიფო დრამატული თეატრი</t>
  </si>
  <si>
    <t>ქ. გორი, ჭავჭავაძის ქ. #24</t>
  </si>
  <si>
    <t>217881424</t>
  </si>
  <si>
    <t>სსიპ გორის გ. ერისთავის სახელობის სახელმწიფო დრამატული თეატრი</t>
  </si>
  <si>
    <t>მცხეთა, დ. აღმაშენებლის ქ. #156</t>
  </si>
  <si>
    <t>404432262</t>
  </si>
  <si>
    <t>შპს რესტორან მუზეუმი გუჯარი</t>
  </si>
  <si>
    <t>ქ. წყალტუბო, რუსთაველის ქ. #23</t>
  </si>
  <si>
    <t>404381414</t>
  </si>
  <si>
    <t>სს საქართველოს სასტუმროები და სპა</t>
  </si>
  <si>
    <t>ქ. ოზურგეთი, ჭავჭავაძის ქ. #1</t>
  </si>
  <si>
    <t>სსიპ ქ. ოზურგეთის ალექსანდრე წუწუნავას სახელობის დრამატული თეატრი</t>
  </si>
  <si>
    <t>თვითმმართველი თემი კასპის მუნიციპალიტეტი</t>
  </si>
  <si>
    <t>წყალტუბო, სოფელი ქვილიშორი</t>
  </si>
  <si>
    <t>7 დღე</t>
  </si>
  <si>
    <t>იობიძე</t>
  </si>
  <si>
    <t>წყალტუბო, სოფელი მეორე უბანი, შენობა-ნაგებობა #1</t>
  </si>
  <si>
    <t>წყალტუბო, სოფელი წყალტუბო</t>
  </si>
  <si>
    <t>26 დღე</t>
  </si>
  <si>
    <t>53001013701</t>
  </si>
  <si>
    <t>ჩირგაძე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</si>
  <si>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</si>
  <si>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</si>
  <si>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</si>
  <si>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</si>
  <si>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</si>
  <si>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</si>
  <si>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</si>
  <si>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</si>
  <si>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</si>
  <si>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</si>
  <si>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</si>
  <si>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</si>
  <si>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</si>
  <si>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</si>
  <si>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</si>
  <si>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</si>
  <si>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</si>
  <si>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</si>
  <si>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</si>
  <si>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</si>
  <si>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</si>
  <si>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</si>
  <si>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</si>
  <si>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</si>
  <si>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</si>
  <si>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</si>
  <si>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</si>
  <si>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</si>
  <si>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</si>
  <si>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</si>
  <si>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</si>
  <si>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</si>
  <si>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</si>
  <si>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</si>
  <si>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</si>
  <si>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</si>
  <si>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</si>
  <si>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</si>
  <si>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</si>
  <si>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</si>
  <si>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</si>
  <si>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</si>
  <si>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</si>
  <si>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</si>
  <si>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</si>
  <si>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</si>
  <si>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</si>
  <si>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</si>
  <si>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</si>
  <si>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</si>
  <si>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</si>
  <si>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</si>
  <si>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</si>
  <si>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</si>
  <si>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</si>
  <si>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</si>
  <si>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</si>
  <si>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</si>
  <si>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</si>
  <si>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</si>
  <si>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</si>
  <si>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</si>
  <si>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</si>
  <si>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</si>
  <si>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</si>
  <si>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</si>
  <si>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</si>
  <si>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</si>
  <si>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</si>
  <si>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</si>
  <si>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</si>
  <si>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</si>
  <si>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</si>
  <si>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</si>
  <si>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</si>
  <si>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</si>
  <si>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</si>
  <si>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</si>
  <si>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</si>
  <si>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</si>
  <si>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</si>
  <si>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</si>
  <si>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</si>
  <si>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</si>
  <si>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</si>
  <si>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</si>
  <si>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</si>
  <si>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</si>
  <si>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</si>
  <si>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</si>
  <si>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</si>
  <si>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</si>
  <si>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</si>
  <si>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</si>
  <si>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</si>
  <si>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ბეჭდვითი მომსახურეობა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</si>
  <si>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</si>
  <si>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</si>
  <si>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</si>
  <si>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</si>
  <si>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</si>
  <si>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</si>
  <si>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</si>
  <si>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</si>
  <si>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</si>
  <si>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</si>
  <si>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</si>
  <si>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</si>
  <si>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</si>
  <si>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</si>
  <si>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</si>
  <si>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</si>
  <si>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</si>
  <si>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</si>
  <si>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</si>
  <si>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</si>
  <si>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</si>
  <si>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</si>
  <si>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</si>
  <si>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</si>
  <si>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</si>
  <si>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</si>
  <si>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</si>
  <si>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</si>
  <si>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</si>
  <si>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</si>
  <si>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</si>
  <si>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</si>
  <si>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</si>
  <si>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</si>
  <si>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</si>
  <si>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</si>
  <si>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</si>
  <si>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</si>
  <si>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</si>
  <si>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ბერიძე მალხაზ ი/მ</t>
  </si>
  <si>
    <t>61007004472</t>
  </si>
  <si>
    <t>03.07.2014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</si>
  <si>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</si>
  <si>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</si>
  <si>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</si>
  <si>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</si>
  <si>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</si>
  <si>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</si>
  <si>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</si>
  <si>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</si>
  <si>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</si>
  <si>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</si>
  <si>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</si>
  <si>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ააიპ ხონის კომუნალური სერვის ცენტრი</t>
  </si>
  <si>
    <t>244974337</t>
  </si>
  <si>
    <t>ამწეკრანით მომსახურება</t>
  </si>
  <si>
    <t>ახმეტის მუნიციპალიტეტის კულტურის ცენტრი</t>
  </si>
  <si>
    <t>224631423</t>
  </si>
  <si>
    <t>გახმოვანების აპარატურა</t>
  </si>
  <si>
    <t>ა(ა)იპ წყალტუბოს მუნიციპალიტეტის კულტურის ცენტრი</t>
  </si>
  <si>
    <t>221286560</t>
  </si>
  <si>
    <t>სასცენო აპარატურით მომსახურება</t>
  </si>
  <si>
    <t>26001002376</t>
  </si>
  <si>
    <t>შპს ტრი მედია ინტელიჯენსი</t>
  </si>
  <si>
    <t>404480076</t>
  </si>
  <si>
    <t>სატელევიზიო რეიტინგების დათვლა</t>
  </si>
  <si>
    <t>კვარაცხელია ბადრი</t>
  </si>
  <si>
    <t>571107350622</t>
  </si>
  <si>
    <t>წაღიკიან პარკევ</t>
  </si>
  <si>
    <t>47001000294</t>
  </si>
  <si>
    <t>როსტიაშვილი ზურაბ</t>
  </si>
  <si>
    <t>ჩუბინიძე დარეჯან ი/მ</t>
  </si>
  <si>
    <t>შაინიძე ნესტან</t>
  </si>
  <si>
    <t>მურადიან ლუსაბერ ი/მ</t>
  </si>
  <si>
    <t>მამაცაშვილი ნინო</t>
  </si>
  <si>
    <t>25001049879</t>
  </si>
  <si>
    <t>ჯანგირაშვილი ზურაბ</t>
  </si>
  <si>
    <t>60001129329</t>
  </si>
  <si>
    <t>ქურასბედიანი ნათელა</t>
  </si>
  <si>
    <t>კორძაძე ომარ</t>
  </si>
  <si>
    <t>ბარათაშვილი მირმენ</t>
  </si>
  <si>
    <t>54001031206</t>
  </si>
  <si>
    <t>ქვრივიშვილი მზია</t>
  </si>
  <si>
    <t>ქუქჩიშვილი რევაზი</t>
  </si>
  <si>
    <t>47001003904</t>
  </si>
  <si>
    <t>ძნელაძე ნანი</t>
  </si>
  <si>
    <t>33001022458</t>
  </si>
  <si>
    <t>ბურძენიძე დიმიტრი</t>
  </si>
  <si>
    <t>38001047179</t>
  </si>
  <si>
    <t>სამხარაული თამარი</t>
  </si>
  <si>
    <t>ელიაური ლევან</t>
  </si>
  <si>
    <t>დაშდამიროვი ხიდირნაბ</t>
  </si>
  <si>
    <t>ტრიანდაფილიდი თამარ</t>
  </si>
  <si>
    <t>კობრეშვილი თათია</t>
  </si>
  <si>
    <t>მალუძე ალექსანდრე</t>
  </si>
  <si>
    <t>ქვლივიძე ეკატერინე</t>
  </si>
  <si>
    <t>36001011819</t>
  </si>
  <si>
    <t>ზანდუკელი შვენა</t>
  </si>
  <si>
    <t>აბესაძე ფრიდონი</t>
  </si>
  <si>
    <t>კოპალეიშვილი ამირან</t>
  </si>
  <si>
    <t>ყარსელაშვილი ეკატერინე</t>
  </si>
  <si>
    <t>ჯაფარიძე ალექსანდრე</t>
  </si>
  <si>
    <t>შერვაშიძე იაკობ</t>
  </si>
  <si>
    <t>ღეჩუაშვილი ნათელა</t>
  </si>
  <si>
    <t>ukan dabr</t>
  </si>
  <si>
    <t>1.2.15,5</t>
  </si>
  <si>
    <t>სცენით მომსახურეობა (დავალიანების დაფარვა)</t>
  </si>
  <si>
    <t>მუსიკალური ნომერი (დავალიანების დაფარვა)</t>
  </si>
  <si>
    <t>გახმოვანება (დავალიანების დაფარვა)</t>
  </si>
  <si>
    <t>ვიდეო რგოლის დამზადება (დავალიანების დაფარვა)</t>
  </si>
  <si>
    <t>კობახიძე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</si>
</sst>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,000"/>
  </numFmts>
  <fonts count="5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Sylfaen"/>
      <family val="1"/>
    </font>
    <font>
      <sz val="11"/>
      <color theme="1"/>
      <name val="ა"/>
      <charset val="1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sz val="10"/>
      <color theme="1"/>
      <name val="Sylfaen"/>
      <family val="1"/>
      <charset val="204"/>
    </font>
    <font>
      <sz val="12"/>
      <color rgb="FF000000"/>
      <name val="Geo_WWW_Times"/>
      <family val="1"/>
    </font>
    <font>
      <sz val="10"/>
      <color indexed="8"/>
      <name val="Sylfae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</borders>
  <cellStyleXfs count="32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7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2" fillId="0" borderId="0"/>
    <xf numFmtId="0" fontId="2" fillId="0" borderId="0"/>
    <xf numFmtId="0" fontId="43" fillId="0" borderId="0"/>
    <xf numFmtId="0" fontId="42" fillId="0" borderId="0"/>
    <xf numFmtId="0" fontId="2" fillId="0" borderId="0"/>
    <xf numFmtId="0" fontId="1" fillId="0" borderId="0"/>
    <xf numFmtId="0" fontId="1" fillId="0" borderId="0"/>
  </cellStyleXfs>
  <cellXfs count="823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Border="1" applyProtection="1">
      <protection locked="0"/>
    </xf>
    <xf numFmtId="0" fontId="24" fillId="2" borderId="1" xfId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2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2" borderId="1" xfId="1" applyFont="1" applyFill="1" applyBorder="1" applyAlignment="1" applyProtection="1">
      <alignment horizontal="left" vertical="center" wrapText="1" indent="4"/>
    </xf>
    <xf numFmtId="0" fontId="19" fillId="0" borderId="0" xfId="3" applyFont="1" applyAlignment="1" applyProtection="1">
      <alignment horizontal="center" vertical="center"/>
      <protection locked="0"/>
    </xf>
    <xf numFmtId="0" fontId="20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1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1" fillId="0" borderId="0" xfId="4" applyFont="1" applyAlignment="1" applyProtection="1">
      <alignment vertical="center" wrapText="1"/>
      <protection locked="0"/>
    </xf>
    <xf numFmtId="0" fontId="22" fillId="0" borderId="0" xfId="4" applyFont="1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vertical="center" indent="1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3" fontId="2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1" xfId="2" applyFont="1" applyFill="1" applyBorder="1" applyAlignment="1" applyProtection="1">
      <alignment horizontal="right" vertical="top"/>
      <protection locked="0"/>
    </xf>
    <xf numFmtId="165" fontId="19" fillId="0" borderId="1" xfId="2" applyNumberFormat="1" applyFont="1" applyFill="1" applyBorder="1" applyAlignment="1" applyProtection="1">
      <alignment horizontal="right" vertical="center"/>
      <protection locked="0"/>
    </xf>
    <xf numFmtId="166" fontId="19" fillId="0" borderId="1" xfId="2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4" fontId="19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4" xfId="3" applyFont="1" applyFill="1" applyBorder="1" applyAlignment="1" applyProtection="1">
      <alignment horizontal="right"/>
      <protection locked="0"/>
    </xf>
    <xf numFmtId="0" fontId="19" fillId="0" borderId="4" xfId="3" applyFont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24" fillId="2" borderId="5" xfId="1" applyFont="1" applyFill="1" applyBorder="1" applyAlignment="1" applyProtection="1">
      <alignment horizontal="left" vertical="center" wrapText="1"/>
    </xf>
    <xf numFmtId="0" fontId="19" fillId="0" borderId="5" xfId="3" applyFont="1" applyBorder="1" applyAlignment="1" applyProtection="1">
      <alignment horizontal="left" vertical="center" indent="1"/>
    </xf>
    <xf numFmtId="0" fontId="24" fillId="0" borderId="0" xfId="0" applyFont="1" applyFill="1" applyBorder="1" applyAlignment="1" applyProtection="1">
      <alignment horizontal="center" wrapText="1"/>
    </xf>
    <xf numFmtId="0" fontId="24" fillId="0" borderId="0" xfId="0" applyFont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/>
    </xf>
    <xf numFmtId="0" fontId="24" fillId="0" borderId="1" xfId="0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 indent="1"/>
    </xf>
    <xf numFmtId="0" fontId="19" fillId="0" borderId="1" xfId="0" applyFont="1" applyBorder="1" applyAlignment="1" applyProtection="1">
      <alignment wrapText="1"/>
    </xf>
    <xf numFmtId="0" fontId="2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wrapText="1"/>
    </xf>
    <xf numFmtId="0" fontId="19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vertical="center" indent="1"/>
    </xf>
    <xf numFmtId="0" fontId="19" fillId="0" borderId="0" xfId="0" applyFont="1" applyFill="1" applyProtection="1"/>
    <xf numFmtId="0" fontId="23" fillId="0" borderId="1" xfId="4" applyFont="1" applyBorder="1" applyAlignment="1" applyProtection="1">
      <alignment vertical="center" wrapText="1"/>
    </xf>
    <xf numFmtId="0" fontId="21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1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2" fillId="0" borderId="0" xfId="4" applyFont="1" applyBorder="1" applyProtection="1">
      <protection locked="0"/>
    </xf>
    <xf numFmtId="0" fontId="18" fillId="0" borderId="0" xfId="0" applyFont="1"/>
    <xf numFmtId="0" fontId="19" fillId="0" borderId="0" xfId="1" applyFont="1" applyBorder="1" applyAlignment="1" applyProtection="1">
      <alignment vertical="center"/>
      <protection locked="0"/>
    </xf>
    <xf numFmtId="0" fontId="21" fillId="0" borderId="1" xfId="4" applyFont="1" applyBorder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9" fillId="0" borderId="3" xfId="0" applyFont="1" applyBorder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4" fillId="5" borderId="0" xfId="0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0" applyFont="1" applyFill="1" applyProtection="1"/>
    <xf numFmtId="0" fontId="19" fillId="5" borderId="0" xfId="0" applyFont="1" applyFill="1" applyBorder="1" applyProtection="1"/>
    <xf numFmtId="0" fontId="19" fillId="5" borderId="0" xfId="1" applyFont="1" applyFill="1" applyAlignment="1" applyProtection="1">
      <alignment vertical="center"/>
    </xf>
    <xf numFmtId="3" fontId="24" fillId="5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4" fillId="5" borderId="1" xfId="1" applyNumberFormat="1" applyFont="1" applyFill="1" applyBorder="1" applyAlignment="1" applyProtection="1">
      <alignment horizontal="right" vertical="center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3" fontId="24" fillId="5" borderId="1" xfId="1" applyNumberFormat="1" applyFont="1" applyFill="1" applyBorder="1" applyAlignment="1" applyProtection="1">
      <alignment horizontal="right" vertical="center" wrapText="1"/>
    </xf>
    <xf numFmtId="0" fontId="24" fillId="5" borderId="1" xfId="0" applyFont="1" applyFill="1" applyBorder="1" applyProtection="1"/>
    <xf numFmtId="3" fontId="24" fillId="5" borderId="1" xfId="0" applyNumberFormat="1" applyFont="1" applyFill="1" applyBorder="1" applyProtection="1"/>
    <xf numFmtId="0" fontId="24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4" fillId="6" borderId="1" xfId="1" applyNumberFormat="1" applyFont="1" applyFill="1" applyBorder="1" applyAlignment="1" applyProtection="1">
      <alignment horizontal="left" vertical="center" wrapText="1"/>
    </xf>
    <xf numFmtId="3" fontId="24" fillId="6" borderId="1" xfId="1" applyNumberFormat="1" applyFont="1" applyFill="1" applyBorder="1" applyAlignment="1" applyProtection="1">
      <alignment horizontal="center" vertical="center" wrapText="1"/>
    </xf>
    <xf numFmtId="0" fontId="19" fillId="6" borderId="0" xfId="1" applyFont="1" applyFill="1" applyProtection="1"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25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/>
      <protection locked="0"/>
    </xf>
    <xf numFmtId="0" fontId="19" fillId="6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4" fillId="0" borderId="1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9" fillId="5" borderId="0" xfId="1" applyFont="1" applyFill="1" applyBorder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left" vertical="center"/>
    </xf>
    <xf numFmtId="0" fontId="19" fillId="5" borderId="0" xfId="0" applyFont="1" applyFill="1" applyBorder="1" applyProtection="1">
      <protection locked="0"/>
    </xf>
    <xf numFmtId="0" fontId="19" fillId="5" borderId="0" xfId="0" applyFont="1" applyFill="1" applyProtection="1">
      <protection locked="0"/>
    </xf>
    <xf numFmtId="3" fontId="24" fillId="5" borderId="1" xfId="1" applyNumberFormat="1" applyFont="1" applyFill="1" applyBorder="1" applyAlignment="1" applyProtection="1">
      <alignment horizontal="left" vertical="center" wrapText="1"/>
    </xf>
    <xf numFmtId="0" fontId="19" fillId="5" borderId="1" xfId="0" applyFont="1" applyFill="1" applyBorder="1" applyProtection="1"/>
    <xf numFmtId="0" fontId="19" fillId="5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9" fillId="0" borderId="0" xfId="0" applyFont="1" applyFill="1" applyBorder="1" applyProtection="1">
      <protection locked="0"/>
    </xf>
    <xf numFmtId="0" fontId="20" fillId="5" borderId="0" xfId="3" applyFont="1" applyFill="1" applyAlignment="1" applyProtection="1">
      <alignment horizontal="center" vertical="center" wrapText="1"/>
    </xf>
    <xf numFmtId="0" fontId="19" fillId="5" borderId="0" xfId="3" applyFont="1" applyFill="1" applyAlignment="1" applyProtection="1">
      <alignment horizontal="center" vertical="center"/>
      <protection locked="0"/>
    </xf>
    <xf numFmtId="0" fontId="19" fillId="5" borderId="0" xfId="3" applyFont="1" applyFill="1" applyProtection="1"/>
    <xf numFmtId="0" fontId="19" fillId="5" borderId="3" xfId="0" applyFont="1" applyFill="1" applyBorder="1" applyAlignment="1" applyProtection="1">
      <alignment horizontal="left"/>
    </xf>
    <xf numFmtId="0" fontId="19" fillId="5" borderId="0" xfId="0" applyFont="1" applyFill="1" applyBorder="1" applyAlignment="1" applyProtection="1">
      <alignment horizontal="left"/>
    </xf>
    <xf numFmtId="0" fontId="19" fillId="5" borderId="1" xfId="2" applyFont="1" applyFill="1" applyBorder="1" applyAlignment="1" applyProtection="1">
      <alignment horizontal="right" vertical="top"/>
    </xf>
    <xf numFmtId="0" fontId="24" fillId="5" borderId="4" xfId="3" applyFont="1" applyFill="1" applyBorder="1" applyAlignment="1" applyProtection="1">
      <alignment horizontal="right"/>
    </xf>
    <xf numFmtId="0" fontId="24" fillId="0" borderId="0" xfId="0" applyFont="1" applyFill="1" applyBorder="1" applyAlignment="1" applyProtection="1">
      <alignment horizontal="left"/>
    </xf>
    <xf numFmtId="0" fontId="19" fillId="0" borderId="0" xfId="0" applyFont="1" applyFill="1" applyBorder="1" applyProtection="1"/>
    <xf numFmtId="0" fontId="19" fillId="5" borderId="0" xfId="0" applyFont="1" applyFill="1" applyBorder="1" applyAlignment="1" applyProtection="1">
      <alignment horizontal="left" wrapText="1"/>
    </xf>
    <xf numFmtId="0" fontId="19" fillId="5" borderId="3" xfId="0" applyFont="1" applyFill="1" applyBorder="1" applyAlignment="1" applyProtection="1">
      <alignment horizontal="left" wrapText="1"/>
    </xf>
    <xf numFmtId="0" fontId="19" fillId="5" borderId="3" xfId="0" applyFont="1" applyFill="1" applyBorder="1" applyProtection="1"/>
    <xf numFmtId="0" fontId="24" fillId="5" borderId="3" xfId="0" applyFont="1" applyFill="1" applyBorder="1" applyAlignment="1" applyProtection="1">
      <alignment horizontal="center" vertical="center" wrapText="1"/>
    </xf>
    <xf numFmtId="0" fontId="24" fillId="5" borderId="1" xfId="0" applyFont="1" applyFill="1" applyBorder="1" applyAlignment="1" applyProtection="1">
      <alignment horizontal="right" vertical="center" wrapText="1"/>
    </xf>
    <xf numFmtId="0" fontId="19" fillId="5" borderId="0" xfId="0" applyFont="1" applyFill="1" applyAlignment="1" applyProtection="1">
      <alignment horizontal="center" vertical="center"/>
    </xf>
    <xf numFmtId="0" fontId="19" fillId="5" borderId="3" xfId="1" applyFont="1" applyFill="1" applyBorder="1" applyAlignment="1" applyProtection="1">
      <alignment horizontal="left" vertical="center"/>
    </xf>
    <xf numFmtId="0" fontId="26" fillId="5" borderId="8" xfId="2" applyFont="1" applyFill="1" applyBorder="1" applyAlignment="1" applyProtection="1">
      <alignment horizontal="center" vertical="top" wrapText="1"/>
    </xf>
    <xf numFmtId="0" fontId="26" fillId="5" borderId="28" xfId="2" applyFont="1" applyFill="1" applyBorder="1" applyAlignment="1" applyProtection="1">
      <alignment horizontal="center" vertical="top" wrapText="1"/>
    </xf>
    <xf numFmtId="1" fontId="26" fillId="5" borderId="28" xfId="2" applyNumberFormat="1" applyFont="1" applyFill="1" applyBorder="1" applyAlignment="1" applyProtection="1">
      <alignment horizontal="center" vertical="top" wrapText="1"/>
    </xf>
    <xf numFmtId="1" fontId="26" fillId="5" borderId="8" xfId="2" applyNumberFormat="1" applyFont="1" applyFill="1" applyBorder="1" applyAlignment="1" applyProtection="1">
      <alignment horizontal="center" vertical="top" wrapText="1"/>
    </xf>
    <xf numFmtId="0" fontId="19" fillId="0" borderId="0" xfId="0" applyFont="1" applyFill="1" applyAlignment="1" applyProtection="1">
      <alignment horizontal="center" vertical="center"/>
    </xf>
    <xf numFmtId="0" fontId="21" fillId="5" borderId="1" xfId="4" applyFont="1" applyFill="1" applyBorder="1" applyAlignment="1" applyProtection="1">
      <alignment vertical="center" wrapText="1"/>
    </xf>
    <xf numFmtId="0" fontId="23" fillId="5" borderId="5" xfId="4" applyFont="1" applyFill="1" applyBorder="1" applyAlignment="1" applyProtection="1">
      <alignment horizontal="center" vertical="center" wrapText="1"/>
    </xf>
    <xf numFmtId="0" fontId="23" fillId="5" borderId="4" xfId="4" applyFont="1" applyFill="1" applyBorder="1" applyAlignment="1" applyProtection="1">
      <alignment horizontal="center" vertical="center" wrapText="1"/>
    </xf>
    <xf numFmtId="0" fontId="23" fillId="5" borderId="1" xfId="4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0" fillId="5" borderId="0" xfId="0" applyFill="1" applyProtection="1"/>
    <xf numFmtId="14" fontId="19" fillId="5" borderId="0" xfId="1" applyNumberFormat="1" applyFont="1" applyFill="1" applyBorder="1" applyAlignment="1" applyProtection="1">
      <alignment vertical="center"/>
    </xf>
    <xf numFmtId="0" fontId="19" fillId="5" borderId="0" xfId="1" applyFont="1" applyFill="1" applyBorder="1" applyAlignment="1" applyProtection="1">
      <alignment vertical="center"/>
    </xf>
    <xf numFmtId="14" fontId="19" fillId="5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left" vertical="center"/>
    </xf>
    <xf numFmtId="0" fontId="13" fillId="5" borderId="0" xfId="0" applyFont="1" applyFill="1" applyProtection="1"/>
    <xf numFmtId="0" fontId="0" fillId="5" borderId="0" xfId="0" applyFill="1" applyProtection="1">
      <protection locked="0"/>
    </xf>
    <xf numFmtId="0" fontId="22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3" fillId="5" borderId="5" xfId="4" applyFont="1" applyFill="1" applyBorder="1" applyAlignment="1" applyProtection="1">
      <alignment horizontal="left" vertical="center" wrapText="1"/>
    </xf>
    <xf numFmtId="0" fontId="19" fillId="5" borderId="0" xfId="1" applyFont="1" applyFill="1" applyBorder="1" applyAlignment="1" applyProtection="1">
      <alignment vertical="center"/>
      <protection locked="0"/>
    </xf>
    <xf numFmtId="0" fontId="22" fillId="5" borderId="0" xfId="4" applyFont="1" applyFill="1" applyBorder="1" applyProtection="1">
      <protection locked="0"/>
    </xf>
    <xf numFmtId="0" fontId="19" fillId="5" borderId="0" xfId="3" applyFont="1" applyFill="1" applyProtection="1">
      <protection locked="0"/>
    </xf>
    <xf numFmtId="0" fontId="19" fillId="5" borderId="0" xfId="1" applyFont="1" applyFill="1" applyProtection="1">
      <protection locked="0"/>
    </xf>
    <xf numFmtId="0" fontId="25" fillId="5" borderId="0" xfId="1" applyFont="1" applyFill="1" applyAlignment="1" applyProtection="1">
      <alignment horizontal="center" vertical="center" wrapText="1"/>
      <protection locked="0"/>
    </xf>
    <xf numFmtId="0" fontId="21" fillId="5" borderId="1" xfId="4" applyFont="1" applyFill="1" applyBorder="1" applyAlignment="1" applyProtection="1">
      <alignment horizontal="center" vertical="center" wrapText="1"/>
    </xf>
    <xf numFmtId="14" fontId="29" fillId="0" borderId="2" xfId="5" applyNumberFormat="1" applyFont="1" applyBorder="1" applyAlignment="1" applyProtection="1">
      <alignment wrapText="1"/>
      <protection locked="0"/>
    </xf>
    <xf numFmtId="14" fontId="24" fillId="0" borderId="0" xfId="0" applyNumberFormat="1" applyFont="1" applyFill="1" applyBorder="1" applyAlignment="1" applyProtection="1">
      <alignment horizontal="center" vertical="center" wrapText="1"/>
    </xf>
    <xf numFmtId="0" fontId="28" fillId="5" borderId="1" xfId="2" applyFont="1" applyFill="1" applyBorder="1" applyAlignment="1" applyProtection="1">
      <alignment horizontal="center" vertical="top" wrapText="1"/>
    </xf>
    <xf numFmtId="1" fontId="28" fillId="5" borderId="1" xfId="2" applyNumberFormat="1" applyFont="1" applyFill="1" applyBorder="1" applyAlignment="1" applyProtection="1">
      <alignment horizontal="center" vertical="top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  <protection locked="0"/>
    </xf>
    <xf numFmtId="0" fontId="28" fillId="5" borderId="6" xfId="2" applyFont="1" applyFill="1" applyBorder="1" applyAlignment="1" applyProtection="1">
      <alignment horizontal="center" vertical="top" wrapText="1"/>
    </xf>
    <xf numFmtId="1" fontId="28" fillId="5" borderId="6" xfId="2" applyNumberFormat="1" applyFont="1" applyFill="1" applyBorder="1" applyAlignment="1" applyProtection="1">
      <alignment horizontal="center" vertical="top" wrapText="1"/>
    </xf>
    <xf numFmtId="0" fontId="28" fillId="0" borderId="6" xfId="2" applyFont="1" applyFill="1" applyBorder="1" applyAlignment="1" applyProtection="1">
      <alignment horizontal="left" vertical="top"/>
    </xf>
    <xf numFmtId="0" fontId="26" fillId="0" borderId="6" xfId="2" applyFont="1" applyFill="1" applyBorder="1" applyAlignment="1" applyProtection="1">
      <alignment horizontal="center" vertical="top" wrapText="1"/>
      <protection locked="0"/>
    </xf>
    <xf numFmtId="0" fontId="26" fillId="0" borderId="0" xfId="2" applyFont="1" applyFill="1" applyBorder="1" applyAlignment="1" applyProtection="1">
      <alignment horizontal="center" vertical="top" wrapText="1"/>
      <protection locked="0"/>
    </xf>
    <xf numFmtId="1" fontId="26" fillId="0" borderId="0" xfId="2" applyNumberFormat="1" applyFont="1" applyFill="1" applyBorder="1" applyAlignment="1" applyProtection="1">
      <alignment horizontal="center" vertical="top" wrapText="1"/>
      <protection locked="0"/>
    </xf>
    <xf numFmtId="1" fontId="26" fillId="5" borderId="6" xfId="2" applyNumberFormat="1" applyFont="1" applyFill="1" applyBorder="1" applyAlignment="1" applyProtection="1">
      <alignment horizontal="center" vertical="top" wrapText="1"/>
      <protection locked="0"/>
    </xf>
    <xf numFmtId="1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27" fillId="5" borderId="6" xfId="2" applyFont="1" applyFill="1" applyBorder="1" applyAlignment="1" applyProtection="1">
      <alignment horizontal="right" vertical="top" wrapText="1"/>
      <protection locked="0"/>
    </xf>
    <xf numFmtId="0" fontId="26" fillId="0" borderId="7" xfId="2" applyFont="1" applyFill="1" applyBorder="1" applyAlignment="1" applyProtection="1">
      <alignment horizontal="left" vertical="top" wrapText="1"/>
      <protection locked="0"/>
    </xf>
    <xf numFmtId="1" fontId="26" fillId="0" borderId="7" xfId="2" applyNumberFormat="1" applyFont="1" applyFill="1" applyBorder="1" applyAlignment="1" applyProtection="1">
      <alignment horizontal="left" vertical="top" wrapText="1"/>
      <protection locked="0"/>
    </xf>
    <xf numFmtId="0" fontId="28" fillId="5" borderId="30" xfId="2" applyFont="1" applyFill="1" applyBorder="1" applyAlignment="1" applyProtection="1">
      <alignment horizontal="left" vertical="top"/>
      <protection locked="0"/>
    </xf>
    <xf numFmtId="0" fontId="26" fillId="5" borderId="30" xfId="2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 wrapText="1"/>
      <protection locked="0"/>
    </xf>
    <xf numFmtId="1" fontId="26" fillId="5" borderId="31" xfId="2" applyNumberFormat="1" applyFont="1" applyFill="1" applyBorder="1" applyAlignment="1" applyProtection="1">
      <alignment horizontal="left" vertical="top" wrapText="1"/>
      <protection locked="0"/>
    </xf>
    <xf numFmtId="1" fontId="26" fillId="5" borderId="32" xfId="2" applyNumberFormat="1" applyFont="1" applyFill="1" applyBorder="1" applyAlignment="1" applyProtection="1">
      <alignment horizontal="left" vertical="top" wrapText="1"/>
      <protection locked="0"/>
    </xf>
    <xf numFmtId="0" fontId="27" fillId="5" borderId="7" xfId="2" applyFont="1" applyFill="1" applyBorder="1" applyAlignment="1" applyProtection="1">
      <alignment horizontal="righ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4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0" fontId="18" fillId="5" borderId="0" xfId="3" applyFont="1" applyFill="1" applyProtection="1"/>
    <xf numFmtId="0" fontId="13" fillId="5" borderId="0" xfId="3" applyFill="1" applyProtection="1"/>
    <xf numFmtId="0" fontId="13" fillId="5" borderId="0" xfId="3" applyFill="1" applyBorder="1" applyProtection="1"/>
    <xf numFmtId="0" fontId="13" fillId="0" borderId="0" xfId="3" applyProtection="1">
      <protection locked="0"/>
    </xf>
    <xf numFmtId="0" fontId="13" fillId="5" borderId="0" xfId="3" applyFill="1" applyProtection="1">
      <protection locked="0"/>
    </xf>
    <xf numFmtId="0" fontId="13" fillId="5" borderId="0" xfId="3" applyFill="1" applyBorder="1" applyProtection="1">
      <protection locked="0"/>
    </xf>
    <xf numFmtId="0" fontId="13" fillId="0" borderId="0" xfId="3" applyFill="1" applyProtection="1"/>
    <xf numFmtId="0" fontId="13" fillId="0" borderId="0" xfId="3" applyFill="1" applyBorder="1" applyProtection="1"/>
    <xf numFmtId="0" fontId="13" fillId="5" borderId="3" xfId="3" applyFill="1" applyBorder="1" applyProtection="1"/>
    <xf numFmtId="0" fontId="18" fillId="5" borderId="1" xfId="3" applyFont="1" applyFill="1" applyBorder="1" applyAlignment="1" applyProtection="1">
      <alignment horizontal="center" vertical="center"/>
    </xf>
    <xf numFmtId="0" fontId="18" fillId="5" borderId="1" xfId="3" applyFont="1" applyFill="1" applyBorder="1" applyAlignment="1" applyProtection="1">
      <alignment horizontal="center" vertical="center" wrapText="1"/>
    </xf>
    <xf numFmtId="0" fontId="18" fillId="5" borderId="2" xfId="3" applyFont="1" applyFill="1" applyBorder="1" applyAlignment="1" applyProtection="1">
      <alignment horizontal="center" vertical="center" wrapText="1"/>
    </xf>
    <xf numFmtId="0" fontId="13" fillId="0" borderId="1" xfId="3" applyBorder="1" applyProtection="1">
      <protection locked="0"/>
    </xf>
    <xf numFmtId="14" fontId="13" fillId="0" borderId="1" xfId="3" applyNumberFormat="1" applyBorder="1" applyProtection="1">
      <protection locked="0"/>
    </xf>
    <xf numFmtId="0" fontId="24" fillId="0" borderId="0" xfId="3" applyFont="1" applyProtection="1">
      <protection locked="0"/>
    </xf>
    <xf numFmtId="0" fontId="19" fillId="0" borderId="0" xfId="3" applyFont="1" applyBorder="1" applyProtection="1">
      <protection locked="0"/>
    </xf>
    <xf numFmtId="0" fontId="19" fillId="0" borderId="3" xfId="3" applyFont="1" applyBorder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0" fontId="19" fillId="0" borderId="0" xfId="3" applyFont="1" applyAlignment="1" applyProtection="1">
      <alignment horizontal="left"/>
      <protection locked="0"/>
    </xf>
    <xf numFmtId="0" fontId="13" fillId="0" borderId="0" xfId="3"/>
    <xf numFmtId="0" fontId="13" fillId="0" borderId="0" xfId="3" applyBorder="1" applyProtection="1">
      <protection locked="0"/>
    </xf>
    <xf numFmtId="0" fontId="13" fillId="0" borderId="1" xfId="3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5" xfId="2" applyFont="1" applyFill="1" applyBorder="1" applyAlignment="1" applyProtection="1">
      <alignment horizontal="left" vertical="center" wrapText="1" indent="2"/>
    </xf>
    <xf numFmtId="4" fontId="19" fillId="0" borderId="4" xfId="2" applyNumberFormat="1" applyFont="1" applyFill="1" applyBorder="1" applyAlignment="1" applyProtection="1">
      <alignment horizontal="right" vertical="center"/>
      <protection locked="0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24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8" fillId="5" borderId="2" xfId="3" applyFont="1" applyFill="1" applyBorder="1" applyAlignment="1" applyProtection="1">
      <alignment horizontal="center" vertical="center"/>
    </xf>
    <xf numFmtId="0" fontId="24" fillId="5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Protection="1">
      <protection locked="0"/>
    </xf>
    <xf numFmtId="0" fontId="18" fillId="5" borderId="0" xfId="0" applyFont="1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left"/>
    </xf>
    <xf numFmtId="0" fontId="24" fillId="0" borderId="1" xfId="1" applyFont="1" applyFill="1" applyBorder="1" applyAlignment="1" applyProtection="1">
      <alignment horizontal="left" vertical="center" wrapText="1"/>
    </xf>
    <xf numFmtId="0" fontId="24" fillId="6" borderId="0" xfId="1" applyFont="1" applyFill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/>
      <protection locked="0"/>
    </xf>
    <xf numFmtId="3" fontId="19" fillId="6" borderId="0" xfId="1" applyNumberFormat="1" applyFont="1" applyFill="1" applyAlignment="1" applyProtection="1">
      <alignment horizontal="center" vertical="center"/>
      <protection locked="0"/>
    </xf>
    <xf numFmtId="0" fontId="19" fillId="0" borderId="1" xfId="2" applyFont="1" applyFill="1" applyBorder="1" applyAlignment="1" applyProtection="1">
      <alignment horizontal="left" vertical="top"/>
      <protection locked="0"/>
    </xf>
    <xf numFmtId="0" fontId="34" fillId="6" borderId="0" xfId="0" applyFont="1" applyFill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  <protection locked="0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5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>
      <alignment horizontal="left" vertical="center" indent="1"/>
    </xf>
    <xf numFmtId="0" fontId="19" fillId="5" borderId="34" xfId="0" applyFont="1" applyFill="1" applyBorder="1" applyAlignment="1" applyProtection="1">
      <alignment horizontal="center"/>
    </xf>
    <xf numFmtId="0" fontId="19" fillId="5" borderId="2" xfId="0" applyFont="1" applyFill="1" applyBorder="1" applyAlignment="1" applyProtection="1">
      <alignment horizontal="center"/>
    </xf>
    <xf numFmtId="0" fontId="19" fillId="5" borderId="0" xfId="1" applyFont="1" applyFill="1" applyAlignment="1" applyProtection="1">
      <alignment wrapText="1"/>
    </xf>
    <xf numFmtId="0" fontId="19" fillId="5" borderId="0" xfId="0" applyFont="1" applyFill="1" applyBorder="1" applyAlignment="1" applyProtection="1">
      <alignment wrapText="1"/>
    </xf>
    <xf numFmtId="0" fontId="19" fillId="0" borderId="0" xfId="0" applyFont="1" applyFill="1" applyBorder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4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19" fillId="0" borderId="1" xfId="0" applyFont="1" applyFill="1" applyBorder="1" applyAlignment="1" applyProtection="1">
      <alignment horizontal="left" vertical="center" wrapText="1" indent="2"/>
    </xf>
    <xf numFmtId="0" fontId="35" fillId="5" borderId="0" xfId="1" applyFont="1" applyFill="1" applyAlignment="1" applyProtection="1">
      <alignment horizontal="right" vertical="center"/>
    </xf>
    <xf numFmtId="0" fontId="13" fillId="5" borderId="0" xfId="3" applyFill="1" applyBorder="1" applyAlignment="1" applyProtection="1">
      <alignment horizontal="left"/>
      <protection locked="0"/>
    </xf>
    <xf numFmtId="0" fontId="13" fillId="5" borderId="35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ill="1" applyBorder="1" applyAlignment="1" applyProtection="1">
      <alignment horizontal="center" vertical="center" wrapText="1"/>
    </xf>
    <xf numFmtId="0" fontId="13" fillId="5" borderId="2" xfId="3" applyFill="1" applyBorder="1" applyAlignment="1" applyProtection="1">
      <alignment horizontal="center" vertical="center" wrapText="1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29" fillId="0" borderId="1" xfId="7" applyFont="1" applyBorder="1" applyAlignment="1" applyProtection="1">
      <alignment wrapText="1"/>
      <protection locked="0"/>
    </xf>
    <xf numFmtId="14" fontId="13" fillId="5" borderId="1" xfId="3" applyNumberFormat="1" applyFill="1" applyBorder="1" applyProtection="1"/>
    <xf numFmtId="0" fontId="13" fillId="0" borderId="1" xfId="3" applyBorder="1" applyAlignment="1" applyProtection="1">
      <alignment horizontal="left" vertical="center"/>
      <protection locked="0"/>
    </xf>
    <xf numFmtId="0" fontId="19" fillId="5" borderId="0" xfId="1" applyFont="1" applyFill="1" applyAlignment="1" applyProtection="1">
      <alignment horizontal="center" vertical="center"/>
    </xf>
    <xf numFmtId="0" fontId="26" fillId="0" borderId="33" xfId="2" applyFont="1" applyFill="1" applyBorder="1" applyAlignment="1" applyProtection="1">
      <alignment horizontal="left" vertical="top" wrapText="1"/>
      <protection locked="0"/>
    </xf>
    <xf numFmtId="0" fontId="19" fillId="5" borderId="1" xfId="0" applyFont="1" applyFill="1" applyBorder="1" applyProtection="1">
      <protection locked="0"/>
    </xf>
    <xf numFmtId="0" fontId="24" fillId="2" borderId="1" xfId="1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/>
    </xf>
    <xf numFmtId="0" fontId="24" fillId="0" borderId="5" xfId="1" applyFont="1" applyFill="1" applyBorder="1" applyAlignment="1" applyProtection="1">
      <alignment horizontal="left" vertical="center" wrapText="1"/>
    </xf>
    <xf numFmtId="0" fontId="24" fillId="2" borderId="4" xfId="0" applyFont="1" applyFill="1" applyBorder="1" applyProtection="1"/>
    <xf numFmtId="3" fontId="19" fillId="5" borderId="36" xfId="1" applyNumberFormat="1" applyFont="1" applyFill="1" applyBorder="1" applyAlignment="1" applyProtection="1">
      <alignment horizontal="right" vertical="center" wrapText="1"/>
    </xf>
    <xf numFmtId="0" fontId="24" fillId="5" borderId="2" xfId="0" applyFont="1" applyFill="1" applyBorder="1" applyProtection="1"/>
    <xf numFmtId="3" fontId="19" fillId="5" borderId="34" xfId="1" applyNumberFormat="1" applyFont="1" applyFill="1" applyBorder="1" applyAlignment="1" applyProtection="1">
      <alignment horizontal="right" vertical="center" wrapText="1"/>
    </xf>
    <xf numFmtId="0" fontId="28" fillId="0" borderId="1" xfId="2" applyFont="1" applyFill="1" applyBorder="1" applyAlignment="1" applyProtection="1">
      <alignment horizontal="left" vertical="top" wrapText="1"/>
      <protection locked="0"/>
    </xf>
    <xf numFmtId="0" fontId="19" fillId="5" borderId="3" xfId="0" applyFont="1" applyFill="1" applyBorder="1" applyProtection="1">
      <protection locked="0"/>
    </xf>
    <xf numFmtId="0" fontId="0" fillId="5" borderId="3" xfId="0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vertical="center"/>
      <protection locked="0"/>
    </xf>
    <xf numFmtId="49" fontId="29" fillId="0" borderId="0" xfId="9" applyNumberFormat="1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21" fillId="2" borderId="0" xfId="9" applyFont="1" applyFill="1" applyBorder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/>
    </xf>
    <xf numFmtId="0" fontId="19" fillId="0" borderId="0" xfId="0" applyFont="1" applyAlignment="1" applyProtection="1">
      <alignment vertical="center"/>
      <protection locked="0"/>
    </xf>
    <xf numFmtId="14" fontId="23" fillId="2" borderId="0" xfId="9" applyNumberFormat="1" applyFont="1" applyFill="1" applyBorder="1" applyAlignment="1" applyProtection="1">
      <alignment vertical="center" wrapText="1"/>
    </xf>
    <xf numFmtId="14" fontId="21" fillId="2" borderId="3" xfId="9" applyNumberFormat="1" applyFont="1" applyFill="1" applyBorder="1" applyAlignment="1" applyProtection="1">
      <alignment horizontal="center" vertical="center"/>
    </xf>
    <xf numFmtId="14" fontId="21" fillId="2" borderId="3" xfId="9" applyNumberFormat="1" applyFont="1" applyFill="1" applyBorder="1" applyAlignment="1" applyProtection="1">
      <alignment vertical="center"/>
    </xf>
    <xf numFmtId="0" fontId="21" fillId="2" borderId="3" xfId="9" applyFont="1" applyFill="1" applyBorder="1" applyAlignment="1" applyProtection="1">
      <alignment vertical="center"/>
      <protection locked="0"/>
    </xf>
    <xf numFmtId="49" fontId="21" fillId="2" borderId="0" xfId="9" applyNumberFormat="1" applyFont="1" applyFill="1" applyBorder="1" applyAlignment="1" applyProtection="1">
      <alignment vertical="center"/>
      <protection locked="0"/>
    </xf>
    <xf numFmtId="0" fontId="21" fillId="0" borderId="0" xfId="9" applyFont="1" applyAlignment="1" applyProtection="1">
      <alignment vertical="center"/>
      <protection locked="0"/>
    </xf>
    <xf numFmtId="0" fontId="13" fillId="0" borderId="0" xfId="3" applyAlignment="1" applyProtection="1">
      <alignment vertical="center"/>
      <protection locked="0"/>
    </xf>
    <xf numFmtId="0" fontId="36" fillId="0" borderId="38" xfId="9" applyFont="1" applyBorder="1" applyAlignment="1" applyProtection="1">
      <alignment vertical="center" wrapText="1"/>
      <protection locked="0"/>
    </xf>
    <xf numFmtId="0" fontId="36" fillId="4" borderId="26" xfId="9" applyFont="1" applyFill="1" applyBorder="1" applyAlignment="1" applyProtection="1">
      <alignment vertical="center"/>
      <protection locked="0"/>
    </xf>
    <xf numFmtId="0" fontId="36" fillId="4" borderId="24" xfId="9" applyFont="1" applyFill="1" applyBorder="1" applyAlignment="1" applyProtection="1">
      <alignment vertical="center" wrapText="1"/>
      <protection locked="0"/>
    </xf>
    <xf numFmtId="0" fontId="36" fillId="4" borderId="23" xfId="9" applyFont="1" applyFill="1" applyBorder="1" applyAlignment="1" applyProtection="1">
      <alignment vertical="center" wrapText="1"/>
      <protection locked="0"/>
    </xf>
    <xf numFmtId="49" fontId="36" fillId="0" borderId="24" xfId="9" applyNumberFormat="1" applyFont="1" applyBorder="1" applyAlignment="1" applyProtection="1">
      <alignment vertical="center"/>
      <protection locked="0"/>
    </xf>
    <xf numFmtId="0" fontId="36" fillId="0" borderId="23" xfId="9" applyFont="1" applyBorder="1" applyAlignment="1" applyProtection="1">
      <alignment vertical="center" wrapText="1"/>
      <protection locked="0"/>
    </xf>
    <xf numFmtId="0" fontId="36" fillId="0" borderId="25" xfId="9" applyFont="1" applyBorder="1" applyAlignment="1" applyProtection="1">
      <alignment vertical="center"/>
      <protection locked="0"/>
    </xf>
    <xf numFmtId="0" fontId="36" fillId="0" borderId="24" xfId="9" applyFont="1" applyBorder="1" applyAlignment="1" applyProtection="1">
      <alignment vertical="center" wrapText="1"/>
      <protection locked="0"/>
    </xf>
    <xf numFmtId="14" fontId="36" fillId="0" borderId="24" xfId="9" applyNumberFormat="1" applyFont="1" applyBorder="1" applyAlignment="1" applyProtection="1">
      <alignment vertical="center" wrapText="1"/>
      <protection locked="0"/>
    </xf>
    <xf numFmtId="0" fontId="36" fillId="0" borderId="23" xfId="9" applyFont="1" applyBorder="1" applyAlignment="1" applyProtection="1">
      <alignment horizontal="center" vertical="center"/>
      <protection locked="0"/>
    </xf>
    <xf numFmtId="49" fontId="36" fillId="0" borderId="1" xfId="9" applyNumberFormat="1" applyFont="1" applyBorder="1" applyAlignment="1" applyProtection="1">
      <alignment vertical="center"/>
      <protection locked="0"/>
    </xf>
    <xf numFmtId="0" fontId="36" fillId="0" borderId="2" xfId="9" applyFont="1" applyBorder="1" applyAlignment="1" applyProtection="1">
      <alignment vertical="center" wrapText="1"/>
      <protection locked="0"/>
    </xf>
    <xf numFmtId="14" fontId="36" fillId="0" borderId="2" xfId="9" applyNumberFormat="1" applyFont="1" applyBorder="1" applyAlignment="1" applyProtection="1">
      <alignment vertical="center" wrapText="1"/>
      <protection locked="0"/>
    </xf>
    <xf numFmtId="0" fontId="36" fillId="0" borderId="39" xfId="9" applyFont="1" applyBorder="1" applyAlignment="1" applyProtection="1">
      <alignment vertical="center" wrapText="1"/>
      <protection locked="0"/>
    </xf>
    <xf numFmtId="0" fontId="36" fillId="4" borderId="20" xfId="9" applyFont="1" applyFill="1" applyBorder="1" applyAlignment="1" applyProtection="1">
      <alignment vertical="center"/>
      <protection locked="0"/>
    </xf>
    <xf numFmtId="0" fontId="36" fillId="4" borderId="2" xfId="9" applyFont="1" applyFill="1" applyBorder="1" applyAlignment="1" applyProtection="1">
      <alignment vertical="center" wrapText="1"/>
      <protection locked="0"/>
    </xf>
    <xf numFmtId="0" fontId="36" fillId="4" borderId="18" xfId="9" applyFont="1" applyFill="1" applyBorder="1" applyAlignment="1" applyProtection="1">
      <alignment vertical="center" wrapText="1"/>
      <protection locked="0"/>
    </xf>
    <xf numFmtId="49" fontId="36" fillId="0" borderId="2" xfId="9" applyNumberFormat="1" applyFont="1" applyBorder="1" applyAlignment="1" applyProtection="1">
      <alignment vertical="center"/>
      <protection locked="0"/>
    </xf>
    <xf numFmtId="0" fontId="36" fillId="0" borderId="18" xfId="9" applyFont="1" applyBorder="1" applyAlignment="1" applyProtection="1">
      <alignment vertical="center" wrapText="1"/>
      <protection locked="0"/>
    </xf>
    <xf numFmtId="0" fontId="36" fillId="0" borderId="19" xfId="9" applyFont="1" applyBorder="1" applyAlignment="1" applyProtection="1">
      <alignment horizontal="right" vertical="center"/>
      <protection locked="0"/>
    </xf>
    <xf numFmtId="0" fontId="36" fillId="0" borderId="18" xfId="9" applyFont="1" applyBorder="1" applyAlignment="1" applyProtection="1">
      <alignment horizontal="center" vertical="center"/>
      <protection locked="0"/>
    </xf>
    <xf numFmtId="0" fontId="29" fillId="0" borderId="0" xfId="9" applyFont="1" applyAlignment="1" applyProtection="1">
      <alignment horizontal="center" vertical="center"/>
      <protection locked="0"/>
    </xf>
    <xf numFmtId="0" fontId="31" fillId="5" borderId="12" xfId="9" applyFont="1" applyFill="1" applyBorder="1" applyAlignment="1" applyProtection="1">
      <alignment horizontal="center" vertical="center"/>
    </xf>
    <xf numFmtId="0" fontId="31" fillId="5" borderId="16" xfId="9" applyFont="1" applyFill="1" applyBorder="1" applyAlignment="1" applyProtection="1">
      <alignment horizontal="center" vertical="center"/>
    </xf>
    <xf numFmtId="0" fontId="31" fillId="5" borderId="15" xfId="9" applyFont="1" applyFill="1" applyBorder="1" applyAlignment="1" applyProtection="1">
      <alignment horizontal="center" vertical="center"/>
    </xf>
    <xf numFmtId="0" fontId="31" fillId="5" borderId="13" xfId="9" applyFont="1" applyFill="1" applyBorder="1" applyAlignment="1" applyProtection="1">
      <alignment horizontal="center" vertical="center"/>
    </xf>
    <xf numFmtId="0" fontId="31" fillId="5" borderId="14" xfId="9" applyFont="1" applyFill="1" applyBorder="1" applyAlignment="1" applyProtection="1">
      <alignment horizontal="center" vertical="center"/>
    </xf>
    <xf numFmtId="0" fontId="31" fillId="0" borderId="0" xfId="9" applyFont="1" applyAlignment="1" applyProtection="1">
      <alignment horizontal="center" vertical="center" wrapText="1"/>
      <protection locked="0"/>
    </xf>
    <xf numFmtId="0" fontId="31" fillId="5" borderId="11" xfId="9" applyFont="1" applyFill="1" applyBorder="1" applyAlignment="1" applyProtection="1">
      <alignment horizontal="center" vertical="center" wrapText="1"/>
    </xf>
    <xf numFmtId="0" fontId="31" fillId="4" borderId="16" xfId="9" applyFont="1" applyFill="1" applyBorder="1" applyAlignment="1" applyProtection="1">
      <alignment horizontal="center" vertical="center" wrapText="1"/>
    </xf>
    <xf numFmtId="0" fontId="31" fillId="4" borderId="14" xfId="9" applyFont="1" applyFill="1" applyBorder="1" applyAlignment="1" applyProtection="1">
      <alignment horizontal="center" vertical="center" wrapText="1"/>
    </xf>
    <xf numFmtId="0" fontId="31" fillId="4" borderId="13" xfId="9" applyFont="1" applyFill="1" applyBorder="1" applyAlignment="1" applyProtection="1">
      <alignment horizontal="center" vertical="center" wrapText="1"/>
    </xf>
    <xf numFmtId="0" fontId="31" fillId="3" borderId="16" xfId="9" applyFont="1" applyFill="1" applyBorder="1" applyAlignment="1" applyProtection="1">
      <alignment horizontal="center" vertical="center" wrapText="1"/>
    </xf>
    <xf numFmtId="0" fontId="31" fillId="3" borderId="17" xfId="9" applyFont="1" applyFill="1" applyBorder="1" applyAlignment="1" applyProtection="1">
      <alignment horizontal="center" vertical="center" wrapText="1"/>
    </xf>
    <xf numFmtId="49" fontId="31" fillId="3" borderId="14" xfId="9" applyNumberFormat="1" applyFont="1" applyFill="1" applyBorder="1" applyAlignment="1" applyProtection="1">
      <alignment horizontal="center" vertical="center" wrapText="1"/>
    </xf>
    <xf numFmtId="0" fontId="31" fillId="3" borderId="10" xfId="9" applyFont="1" applyFill="1" applyBorder="1" applyAlignment="1" applyProtection="1">
      <alignment horizontal="center" vertical="center" wrapText="1"/>
    </xf>
    <xf numFmtId="0" fontId="31" fillId="5" borderId="15" xfId="9" applyFont="1" applyFill="1" applyBorder="1" applyAlignment="1" applyProtection="1">
      <alignment horizontal="center" vertical="center" wrapText="1"/>
    </xf>
    <xf numFmtId="0" fontId="31" fillId="5" borderId="14" xfId="9" applyFont="1" applyFill="1" applyBorder="1" applyAlignment="1" applyProtection="1">
      <alignment horizontal="center" vertical="center" wrapText="1"/>
    </xf>
    <xf numFmtId="0" fontId="31" fillId="5" borderId="13" xfId="9" applyFont="1" applyFill="1" applyBorder="1" applyAlignment="1" applyProtection="1">
      <alignment horizontal="center" vertical="center" wrapText="1"/>
    </xf>
    <xf numFmtId="0" fontId="29" fillId="5" borderId="40" xfId="9" applyFont="1" applyFill="1" applyBorder="1" applyAlignment="1" applyProtection="1">
      <alignment vertical="center"/>
    </xf>
    <xf numFmtId="0" fontId="19" fillId="5" borderId="0" xfId="0" applyFont="1" applyFill="1" applyBorder="1" applyAlignment="1">
      <alignment vertical="center"/>
    </xf>
    <xf numFmtId="0" fontId="29" fillId="5" borderId="0" xfId="9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</xf>
    <xf numFmtId="0" fontId="29" fillId="5" borderId="41" xfId="9" applyFont="1" applyFill="1" applyBorder="1" applyAlignment="1" applyProtection="1">
      <alignment vertical="center"/>
    </xf>
    <xf numFmtId="0" fontId="21" fillId="5" borderId="40" xfId="9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vertical="center"/>
      <protection locked="0"/>
    </xf>
    <xf numFmtId="49" fontId="21" fillId="5" borderId="0" xfId="9" applyNumberFormat="1" applyFont="1" applyFill="1" applyBorder="1" applyAlignment="1" applyProtection="1">
      <alignment vertical="center"/>
      <protection locked="0"/>
    </xf>
    <xf numFmtId="167" fontId="21" fillId="5" borderId="0" xfId="9" applyNumberFormat="1" applyFont="1" applyFill="1" applyBorder="1" applyAlignment="1" applyProtection="1">
      <alignment vertical="center"/>
      <protection locked="0"/>
    </xf>
    <xf numFmtId="0" fontId="23" fillId="5" borderId="0" xfId="9" applyFont="1" applyFill="1" applyBorder="1" applyAlignment="1" applyProtection="1">
      <alignment horizontal="right" vertical="center"/>
      <protection locked="0"/>
    </xf>
    <xf numFmtId="0" fontId="19" fillId="5" borderId="41" xfId="1" applyFont="1" applyFill="1" applyBorder="1" applyAlignment="1" applyProtection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167" fontId="21" fillId="5" borderId="0" xfId="9" applyNumberFormat="1" applyFont="1" applyFill="1" applyBorder="1" applyAlignment="1" applyProtection="1">
      <alignment vertical="center"/>
    </xf>
    <xf numFmtId="0" fontId="23" fillId="5" borderId="0" xfId="9" applyFont="1" applyFill="1" applyBorder="1" applyAlignment="1" applyProtection="1">
      <alignment horizontal="right" vertical="center"/>
    </xf>
    <xf numFmtId="0" fontId="21" fillId="5" borderId="41" xfId="9" applyFont="1" applyFill="1" applyBorder="1" applyAlignment="1" applyProtection="1">
      <alignment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1" xfId="0" applyFont="1" applyFill="1" applyBorder="1" applyAlignment="1" applyProtection="1">
      <alignment vertical="center"/>
    </xf>
    <xf numFmtId="0" fontId="21" fillId="5" borderId="40" xfId="9" applyFont="1" applyFill="1" applyBorder="1" applyAlignment="1" applyProtection="1">
      <alignment horizontal="right" vertical="center"/>
    </xf>
    <xf numFmtId="0" fontId="24" fillId="5" borderId="0" xfId="0" applyFont="1" applyFill="1" applyBorder="1" applyAlignment="1" applyProtection="1">
      <alignment vertical="center"/>
    </xf>
    <xf numFmtId="0" fontId="24" fillId="5" borderId="41" xfId="0" applyFont="1" applyFill="1" applyBorder="1" applyAlignment="1" applyProtection="1">
      <alignment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168" fontId="36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1" fillId="2" borderId="0" xfId="10" applyNumberFormat="1" applyFont="1" applyFill="1" applyBorder="1" applyAlignment="1" applyProtection="1">
      <alignment vertical="center"/>
    </xf>
    <xf numFmtId="0" fontId="21" fillId="2" borderId="0" xfId="10" applyFont="1" applyFill="1" applyBorder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vertical="center"/>
    </xf>
    <xf numFmtId="14" fontId="23" fillId="2" borderId="0" xfId="10" applyNumberFormat="1" applyFont="1" applyFill="1" applyBorder="1" applyAlignment="1" applyProtection="1">
      <alignment vertical="center" wrapText="1"/>
    </xf>
    <xf numFmtId="0" fontId="19" fillId="2" borderId="0" xfId="1" applyFont="1" applyFill="1" applyBorder="1" applyAlignment="1" applyProtection="1">
      <alignment horizontal="left" vertical="center" wrapText="1" indent="1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/>
    <xf numFmtId="0" fontId="24" fillId="5" borderId="1" xfId="1" applyFont="1" applyFill="1" applyBorder="1" applyAlignment="1" applyProtection="1">
      <alignment horizontal="left" vertical="center" wrapText="1" indent="1"/>
    </xf>
    <xf numFmtId="0" fontId="24" fillId="5" borderId="1" xfId="0" applyFont="1" applyFill="1" applyBorder="1" applyProtection="1"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14" fontId="23" fillId="2" borderId="0" xfId="9" applyNumberFormat="1" applyFont="1" applyFill="1" applyBorder="1" applyAlignment="1" applyProtection="1">
      <alignment vertical="center"/>
    </xf>
    <xf numFmtId="0" fontId="21" fillId="2" borderId="0" xfId="9" applyFont="1" applyFill="1" applyBorder="1" applyAlignment="1" applyProtection="1">
      <alignment horizontal="left" vertical="center"/>
    </xf>
    <xf numFmtId="0" fontId="21" fillId="2" borderId="0" xfId="9" applyFont="1" applyFill="1" applyBorder="1" applyAlignment="1" applyProtection="1">
      <alignment vertical="center"/>
    </xf>
    <xf numFmtId="0" fontId="21" fillId="2" borderId="40" xfId="9" applyFont="1" applyFill="1" applyBorder="1" applyAlignment="1" applyProtection="1">
      <alignment vertical="center"/>
      <protection locked="0"/>
    </xf>
    <xf numFmtId="0" fontId="28" fillId="5" borderId="6" xfId="2" applyFont="1" applyFill="1" applyBorder="1" applyAlignment="1" applyProtection="1">
      <alignment horizontal="center" vertical="center" wrapText="1"/>
    </xf>
    <xf numFmtId="1" fontId="28" fillId="5" borderId="6" xfId="2" applyNumberFormat="1" applyFont="1" applyFill="1" applyBorder="1" applyAlignment="1" applyProtection="1">
      <alignment horizontal="center" vertical="center" wrapText="1"/>
    </xf>
    <xf numFmtId="0" fontId="33" fillId="2" borderId="0" xfId="0" applyFont="1" applyFill="1" applyBorder="1" applyProtection="1"/>
    <xf numFmtId="0" fontId="33" fillId="2" borderId="0" xfId="0" applyFont="1" applyFill="1" applyBorder="1" applyAlignment="1" applyProtection="1">
      <alignment horizontal="center" vertical="center"/>
    </xf>
    <xf numFmtId="0" fontId="34" fillId="5" borderId="41" xfId="0" applyFont="1" applyFill="1" applyBorder="1" applyAlignment="1">
      <alignment vertical="center"/>
    </xf>
    <xf numFmtId="0" fontId="24" fillId="0" borderId="0" xfId="0" applyFont="1" applyBorder="1" applyProtection="1"/>
    <xf numFmtId="2" fontId="26" fillId="0" borderId="27" xfId="2" applyNumberFormat="1" applyFont="1" applyFill="1" applyBorder="1" applyAlignment="1" applyProtection="1">
      <alignment horizontal="left" vertical="top" wrapText="1"/>
    </xf>
    <xf numFmtId="0" fontId="19" fillId="0" borderId="0" xfId="0" applyFont="1" applyAlignment="1" applyProtection="1">
      <alignment horizontal="center" vertical="center"/>
      <protection locked="0"/>
    </xf>
    <xf numFmtId="0" fontId="19" fillId="5" borderId="0" xfId="1" applyFont="1" applyFill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41" xfId="0" applyFont="1" applyFill="1" applyBorder="1" applyAlignment="1">
      <alignment vertical="center"/>
    </xf>
    <xf numFmtId="14" fontId="36" fillId="0" borderId="1" xfId="15" applyNumberFormat="1" applyFont="1" applyBorder="1" applyAlignment="1" applyProtection="1">
      <alignment horizontal="center" vertical="center" wrapText="1"/>
      <protection locked="0"/>
    </xf>
    <xf numFmtId="0" fontId="36" fillId="0" borderId="1" xfId="15" applyFont="1" applyBorder="1" applyAlignment="1" applyProtection="1">
      <alignment vertical="center" wrapText="1"/>
      <protection locked="0"/>
    </xf>
    <xf numFmtId="0" fontId="38" fillId="0" borderId="1" xfId="0" applyNumberFormat="1" applyFont="1" applyBorder="1" applyAlignment="1">
      <alignment horizontal="center" wrapText="1"/>
    </xf>
    <xf numFmtId="49" fontId="38" fillId="0" borderId="43" xfId="0" applyNumberFormat="1" applyFont="1" applyBorder="1" applyAlignment="1">
      <alignment horizontal="left" wrapText="1"/>
    </xf>
    <xf numFmtId="49" fontId="38" fillId="0" borderId="44" xfId="0" applyNumberFormat="1" applyFont="1" applyBorder="1" applyAlignment="1">
      <alignment horizontal="left" wrapText="1"/>
    </xf>
    <xf numFmtId="49" fontId="38" fillId="0" borderId="45" xfId="0" applyNumberFormat="1" applyFont="1" applyBorder="1" applyAlignment="1">
      <alignment horizontal="left" wrapText="1"/>
    </xf>
    <xf numFmtId="0" fontId="36" fillId="4" borderId="1" xfId="15" applyFont="1" applyFill="1" applyBorder="1" applyAlignment="1" applyProtection="1">
      <alignment vertical="center" wrapText="1"/>
      <protection locked="0"/>
    </xf>
    <xf numFmtId="14" fontId="36" fillId="0" borderId="2" xfId="15" applyNumberFormat="1" applyFont="1" applyBorder="1" applyAlignment="1" applyProtection="1">
      <alignment horizontal="center" vertical="center" wrapText="1"/>
      <protection locked="0"/>
    </xf>
    <xf numFmtId="0" fontId="36" fillId="0" borderId="2" xfId="15" applyFont="1" applyBorder="1" applyAlignment="1" applyProtection="1">
      <alignment vertical="center" wrapText="1"/>
      <protection locked="0"/>
    </xf>
    <xf numFmtId="0" fontId="36" fillId="0" borderId="19" xfId="15" applyFont="1" applyBorder="1" applyAlignment="1" applyProtection="1">
      <alignment horizontal="center" vertical="center"/>
      <protection locked="0"/>
    </xf>
    <xf numFmtId="0" fontId="36" fillId="0" borderId="18" xfId="15" applyFont="1" applyBorder="1" applyAlignment="1" applyProtection="1">
      <alignment vertical="center" wrapText="1"/>
      <protection locked="0"/>
    </xf>
    <xf numFmtId="0" fontId="36" fillId="4" borderId="18" xfId="15" applyFont="1" applyFill="1" applyBorder="1" applyAlignment="1" applyProtection="1">
      <alignment vertical="center" wrapText="1"/>
      <protection locked="0"/>
    </xf>
    <xf numFmtId="0" fontId="36" fillId="0" borderId="5" xfId="15" applyFont="1" applyBorder="1" applyAlignment="1" applyProtection="1">
      <alignment horizontal="center" vertical="center"/>
      <protection locked="0"/>
    </xf>
    <xf numFmtId="0" fontId="36" fillId="0" borderId="21" xfId="15" applyFont="1" applyBorder="1" applyAlignment="1" applyProtection="1">
      <alignment vertical="center" wrapText="1"/>
      <protection locked="0"/>
    </xf>
    <xf numFmtId="14" fontId="36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36" fillId="0" borderId="1" xfId="15" applyFont="1" applyFill="1" applyBorder="1" applyAlignment="1" applyProtection="1">
      <alignment vertical="center" wrapText="1"/>
      <protection locked="0"/>
    </xf>
    <xf numFmtId="0" fontId="38" fillId="0" borderId="1" xfId="0" applyNumberFormat="1" applyFont="1" applyFill="1" applyBorder="1" applyAlignment="1">
      <alignment horizontal="center" wrapText="1"/>
    </xf>
    <xf numFmtId="0" fontId="36" fillId="4" borderId="42" xfId="15" applyFont="1" applyFill="1" applyBorder="1" applyAlignment="1" applyProtection="1">
      <alignment vertical="center" wrapText="1"/>
      <protection locked="0"/>
    </xf>
    <xf numFmtId="0" fontId="36" fillId="4" borderId="36" xfId="15" applyFont="1" applyFill="1" applyBorder="1" applyAlignment="1" applyProtection="1">
      <alignment vertical="center" wrapText="1"/>
      <protection locked="0"/>
    </xf>
    <xf numFmtId="0" fontId="31" fillId="5" borderId="1" xfId="15" applyFont="1" applyFill="1" applyBorder="1" applyAlignment="1" applyProtection="1">
      <alignment horizontal="center" vertical="center"/>
    </xf>
    <xf numFmtId="14" fontId="36" fillId="0" borderId="1" xfId="15" applyNumberFormat="1" applyFont="1" applyFill="1" applyBorder="1" applyAlignment="1" applyProtection="1">
      <alignment vertical="center" wrapText="1"/>
      <protection locked="0"/>
    </xf>
    <xf numFmtId="49" fontId="39" fillId="0" borderId="43" xfId="0" applyNumberFormat="1" applyFont="1" applyBorder="1" applyAlignment="1">
      <alignment horizontal="left" wrapText="1"/>
    </xf>
    <xf numFmtId="0" fontId="29" fillId="4" borderId="2" xfId="15" applyFont="1" applyFill="1" applyBorder="1" applyAlignment="1" applyProtection="1">
      <alignment vertical="center" wrapText="1"/>
      <protection locked="0"/>
    </xf>
    <xf numFmtId="0" fontId="36" fillId="4" borderId="2" xfId="15" applyFont="1" applyFill="1" applyBorder="1" applyAlignment="1" applyProtection="1">
      <alignment vertical="center" wrapText="1"/>
      <protection locked="0"/>
    </xf>
    <xf numFmtId="0" fontId="29" fillId="4" borderId="18" xfId="15" applyFont="1" applyFill="1" applyBorder="1" applyAlignment="1" applyProtection="1">
      <alignment vertical="center" wrapText="1"/>
      <protection locked="0"/>
    </xf>
    <xf numFmtId="0" fontId="29" fillId="4" borderId="21" xfId="15" applyFont="1" applyFill="1" applyBorder="1" applyAlignment="1" applyProtection="1">
      <alignment vertical="center" wrapText="1"/>
      <protection locked="0"/>
    </xf>
    <xf numFmtId="0" fontId="29" fillId="4" borderId="42" xfId="15" applyFont="1" applyFill="1" applyBorder="1" applyAlignment="1" applyProtection="1">
      <alignment vertical="center" wrapText="1"/>
      <protection locked="0"/>
    </xf>
    <xf numFmtId="0" fontId="29" fillId="4" borderId="1" xfId="15" applyFont="1" applyFill="1" applyBorder="1" applyAlignment="1" applyProtection="1">
      <alignment vertical="center" wrapText="1"/>
      <protection locked="0"/>
    </xf>
    <xf numFmtId="49" fontId="38" fillId="0" borderId="46" xfId="0" applyNumberFormat="1" applyFont="1" applyBorder="1" applyAlignment="1">
      <alignment horizontal="left" wrapText="1"/>
    </xf>
    <xf numFmtId="49" fontId="38" fillId="0" borderId="1" xfId="0" applyNumberFormat="1" applyFont="1" applyBorder="1" applyAlignment="1">
      <alignment horizontal="left" wrapText="1"/>
    </xf>
    <xf numFmtId="0" fontId="36" fillId="4" borderId="47" xfId="15" applyFont="1" applyFill="1" applyBorder="1" applyAlignment="1" applyProtection="1">
      <alignment vertical="center" wrapText="1"/>
      <protection locked="0"/>
    </xf>
    <xf numFmtId="0" fontId="38" fillId="0" borderId="43" xfId="0" applyNumberFormat="1" applyFont="1" applyBorder="1" applyAlignment="1">
      <alignment horizontal="left" wrapText="1"/>
    </xf>
    <xf numFmtId="0" fontId="38" fillId="0" borderId="1" xfId="0" applyNumberFormat="1" applyFont="1" applyBorder="1" applyAlignment="1">
      <alignment horizontal="left" wrapText="1"/>
    </xf>
    <xf numFmtId="49" fontId="38" fillId="0" borderId="43" xfId="0" applyNumberFormat="1" applyFont="1" applyBorder="1" applyAlignment="1">
      <alignment horizontal="center" wrapText="1"/>
    </xf>
    <xf numFmtId="49" fontId="38" fillId="0" borderId="46" xfId="0" applyNumberFormat="1" applyFont="1" applyBorder="1" applyAlignment="1">
      <alignment horizontal="center" wrapText="1"/>
    </xf>
    <xf numFmtId="49" fontId="38" fillId="0" borderId="1" xfId="0" applyNumberFormat="1" applyFont="1" applyBorder="1" applyAlignment="1">
      <alignment horizontal="center" wrapText="1"/>
    </xf>
    <xf numFmtId="0" fontId="38" fillId="0" borderId="43" xfId="0" applyNumberFormat="1" applyFont="1" applyBorder="1" applyAlignment="1">
      <alignment horizontal="center" wrapText="1"/>
    </xf>
    <xf numFmtId="0" fontId="38" fillId="0" borderId="46" xfId="0" applyNumberFormat="1" applyFont="1" applyBorder="1" applyAlignment="1">
      <alignment horizontal="center" wrapText="1"/>
    </xf>
    <xf numFmtId="49" fontId="38" fillId="0" borderId="43" xfId="0" applyNumberFormat="1" applyFont="1" applyFill="1" applyBorder="1" applyAlignment="1">
      <alignment horizontal="left" wrapText="1"/>
    </xf>
    <xf numFmtId="0" fontId="36" fillId="0" borderId="2" xfId="15" applyFont="1" applyFill="1" applyBorder="1" applyAlignment="1" applyProtection="1">
      <alignment vertical="center" wrapText="1"/>
      <protection locked="0"/>
    </xf>
    <xf numFmtId="0" fontId="38" fillId="0" borderId="43" xfId="0" applyNumberFormat="1" applyFont="1" applyFill="1" applyBorder="1" applyAlignment="1">
      <alignment horizontal="left" wrapText="1"/>
    </xf>
    <xf numFmtId="0" fontId="21" fillId="4" borderId="48" xfId="16" applyFont="1" applyFill="1" applyBorder="1" applyAlignment="1" applyProtection="1">
      <alignment vertical="center" wrapText="1"/>
      <protection locked="0"/>
    </xf>
    <xf numFmtId="0" fontId="21" fillId="4" borderId="36" xfId="16" applyFont="1" applyFill="1" applyBorder="1" applyAlignment="1" applyProtection="1">
      <alignment vertical="center" wrapText="1"/>
      <protection locked="0"/>
    </xf>
    <xf numFmtId="0" fontId="21" fillId="4" borderId="49" xfId="16" applyFont="1" applyFill="1" applyBorder="1" applyAlignment="1" applyProtection="1">
      <alignment vertical="center"/>
      <protection locked="0"/>
    </xf>
    <xf numFmtId="14" fontId="36" fillId="0" borderId="2" xfId="15" applyNumberFormat="1" applyFont="1" applyFill="1" applyBorder="1" applyAlignment="1" applyProtection="1">
      <alignment vertical="center" wrapText="1"/>
      <protection locked="0"/>
    </xf>
    <xf numFmtId="0" fontId="36" fillId="0" borderId="21" xfId="15" applyFont="1" applyFill="1" applyBorder="1" applyAlignment="1" applyProtection="1">
      <alignment vertical="center" wrapText="1"/>
      <protection locked="0"/>
    </xf>
    <xf numFmtId="0" fontId="36" fillId="0" borderId="48" xfId="15" applyFont="1" applyFill="1" applyBorder="1" applyAlignment="1" applyProtection="1">
      <alignment vertical="center" wrapText="1"/>
      <protection locked="0"/>
    </xf>
    <xf numFmtId="49" fontId="38" fillId="0" borderId="46" xfId="0" applyNumberFormat="1" applyFont="1" applyFill="1" applyBorder="1" applyAlignment="1">
      <alignment horizontal="left" wrapText="1"/>
    </xf>
    <xf numFmtId="0" fontId="36" fillId="0" borderId="34" xfId="15" applyFont="1" applyFill="1" applyBorder="1" applyAlignment="1" applyProtection="1">
      <alignment vertical="center" wrapText="1"/>
      <protection locked="0"/>
    </xf>
    <xf numFmtId="0" fontId="19" fillId="0" borderId="1" xfId="3" applyFont="1" applyFill="1" applyBorder="1" applyAlignment="1" applyProtection="1">
      <alignment vertical="center" wrapText="1"/>
      <protection locked="0"/>
    </xf>
    <xf numFmtId="49" fontId="19" fillId="0" borderId="1" xfId="3" applyNumberFormat="1" applyFont="1" applyFill="1" applyBorder="1" applyAlignment="1" applyProtection="1">
      <alignment vertical="center"/>
      <protection locked="0"/>
    </xf>
    <xf numFmtId="0" fontId="29" fillId="0" borderId="19" xfId="17" applyFont="1" applyFill="1" applyBorder="1" applyAlignment="1" applyProtection="1">
      <alignment vertical="center" wrapText="1"/>
      <protection locked="0"/>
    </xf>
    <xf numFmtId="0" fontId="36" fillId="4" borderId="21" xfId="15" applyFont="1" applyFill="1" applyBorder="1" applyAlignment="1" applyProtection="1">
      <alignment vertical="center" wrapText="1"/>
      <protection locked="0"/>
    </xf>
    <xf numFmtId="0" fontId="36" fillId="4" borderId="48" xfId="15" applyFont="1" applyFill="1" applyBorder="1" applyAlignment="1" applyProtection="1">
      <alignment vertical="center" wrapText="1"/>
      <protection locked="0"/>
    </xf>
    <xf numFmtId="0" fontId="38" fillId="0" borderId="46" xfId="0" applyNumberFormat="1" applyFont="1" applyFill="1" applyBorder="1" applyAlignment="1">
      <alignment horizontal="left" wrapText="1"/>
    </xf>
    <xf numFmtId="49" fontId="38" fillId="0" borderId="50" xfId="0" applyNumberFormat="1" applyFont="1" applyFill="1" applyBorder="1" applyAlignment="1">
      <alignment horizontal="left" wrapText="1"/>
    </xf>
    <xf numFmtId="49" fontId="38" fillId="0" borderId="36" xfId="0" applyNumberFormat="1" applyFont="1" applyFill="1" applyBorder="1" applyAlignment="1">
      <alignment horizontal="left" wrapText="1"/>
    </xf>
    <xf numFmtId="49" fontId="38" fillId="0" borderId="1" xfId="0" applyNumberFormat="1" applyFont="1" applyFill="1" applyBorder="1" applyAlignment="1">
      <alignment horizontal="left" wrapText="1"/>
    </xf>
    <xf numFmtId="49" fontId="38" fillId="0" borderId="44" xfId="0" applyNumberFormat="1" applyFont="1" applyFill="1" applyBorder="1" applyAlignment="1">
      <alignment horizontal="left" wrapText="1"/>
    </xf>
    <xf numFmtId="0" fontId="36" fillId="0" borderId="42" xfId="15" applyFont="1" applyFill="1" applyBorder="1" applyAlignment="1" applyProtection="1">
      <alignment vertical="center" wrapText="1"/>
      <protection locked="0"/>
    </xf>
    <xf numFmtId="0" fontId="38" fillId="0" borderId="43" xfId="0" applyNumberFormat="1" applyFont="1" applyFill="1" applyBorder="1" applyAlignment="1">
      <alignment horizontal="center" wrapText="1"/>
    </xf>
    <xf numFmtId="0" fontId="38" fillId="0" borderId="46" xfId="0" applyNumberFormat="1" applyFont="1" applyFill="1" applyBorder="1" applyAlignment="1">
      <alignment horizontal="center" wrapText="1"/>
    </xf>
    <xf numFmtId="14" fontId="19" fillId="0" borderId="1" xfId="3" applyNumberFormat="1" applyFont="1" applyFill="1" applyBorder="1" applyAlignment="1" applyProtection="1">
      <alignment vertical="center"/>
      <protection locked="0"/>
    </xf>
    <xf numFmtId="0" fontId="19" fillId="0" borderId="1" xfId="3" applyFont="1" applyFill="1" applyBorder="1" applyAlignment="1" applyProtection="1">
      <alignment horizontal="center" vertical="center"/>
      <protection locked="0"/>
    </xf>
    <xf numFmtId="0" fontId="36" fillId="0" borderId="2" xfId="16" applyFont="1" applyFill="1" applyBorder="1" applyAlignment="1" applyProtection="1">
      <alignment vertical="center" wrapText="1"/>
      <protection locked="0"/>
    </xf>
    <xf numFmtId="0" fontId="21" fillId="0" borderId="48" xfId="16" applyFont="1" applyFill="1" applyBorder="1" applyAlignment="1" applyProtection="1">
      <alignment vertical="center" wrapText="1"/>
      <protection locked="0"/>
    </xf>
    <xf numFmtId="0" fontId="36" fillId="4" borderId="20" xfId="15" applyFont="1" applyFill="1" applyBorder="1" applyAlignment="1" applyProtection="1">
      <alignment vertical="center"/>
      <protection locked="0"/>
    </xf>
    <xf numFmtId="0" fontId="36" fillId="4" borderId="22" xfId="15" applyFont="1" applyFill="1" applyBorder="1" applyAlignment="1" applyProtection="1">
      <alignment vertical="center"/>
      <protection locked="0"/>
    </xf>
    <xf numFmtId="0" fontId="36" fillId="4" borderId="49" xfId="15" applyFont="1" applyFill="1" applyBorder="1" applyAlignment="1" applyProtection="1">
      <alignment vertical="center"/>
      <protection locked="0"/>
    </xf>
    <xf numFmtId="49" fontId="40" fillId="0" borderId="43" xfId="0" applyNumberFormat="1" applyFont="1" applyFill="1" applyBorder="1" applyAlignment="1">
      <alignment horizontal="left" wrapText="1"/>
    </xf>
    <xf numFmtId="0" fontId="29" fillId="0" borderId="1" xfId="15" applyNumberFormat="1" applyFont="1" applyFill="1" applyBorder="1" applyAlignment="1" applyProtection="1">
      <alignment horizontal="center" vertical="center"/>
      <protection locked="0"/>
    </xf>
    <xf numFmtId="0" fontId="29" fillId="0" borderId="1" xfId="15" applyFont="1" applyFill="1" applyBorder="1" applyAlignment="1" applyProtection="1">
      <alignment vertical="center"/>
      <protection locked="0"/>
    </xf>
    <xf numFmtId="0" fontId="19" fillId="0" borderId="1" xfId="3" applyNumberFormat="1" applyFont="1" applyFill="1" applyBorder="1" applyAlignment="1" applyProtection="1">
      <alignment horizontal="center" vertical="center"/>
      <protection locked="0"/>
    </xf>
    <xf numFmtId="0" fontId="36" fillId="0" borderId="2" xfId="16" applyFont="1" applyBorder="1" applyAlignment="1" applyProtection="1">
      <alignment vertical="center" wrapText="1"/>
      <protection locked="0"/>
    </xf>
    <xf numFmtId="0" fontId="19" fillId="0" borderId="1" xfId="3" applyFont="1" applyBorder="1" applyAlignment="1" applyProtection="1">
      <alignment vertical="center" wrapText="1"/>
      <protection locked="0"/>
    </xf>
    <xf numFmtId="0" fontId="38" fillId="0" borderId="51" xfId="0" applyNumberFormat="1" applyFont="1" applyFill="1" applyBorder="1" applyAlignment="1">
      <alignment horizontal="center" wrapText="1"/>
    </xf>
    <xf numFmtId="0" fontId="36" fillId="0" borderId="42" xfId="15" applyFont="1" applyBorder="1" applyAlignment="1" applyProtection="1">
      <alignment vertical="center" wrapText="1"/>
      <protection locked="0"/>
    </xf>
    <xf numFmtId="49" fontId="19" fillId="0" borderId="1" xfId="3" applyNumberFormat="1" applyFont="1" applyBorder="1" applyAlignment="1" applyProtection="1">
      <alignment vertical="center"/>
      <protection locked="0"/>
    </xf>
    <xf numFmtId="0" fontId="29" fillId="0" borderId="19" xfId="17" applyFont="1" applyBorder="1" applyAlignment="1" applyProtection="1">
      <alignment vertical="center" wrapText="1"/>
      <protection locked="0"/>
    </xf>
    <xf numFmtId="0" fontId="36" fillId="0" borderId="48" xfId="15" applyFont="1" applyBorder="1" applyAlignment="1" applyProtection="1">
      <alignment vertical="center" wrapText="1"/>
      <protection locked="0"/>
    </xf>
    <xf numFmtId="14" fontId="19" fillId="0" borderId="1" xfId="3" applyNumberFormat="1" applyFont="1" applyBorder="1" applyAlignment="1" applyProtection="1">
      <alignment vertical="center"/>
      <protection locked="0"/>
    </xf>
    <xf numFmtId="0" fontId="13" fillId="0" borderId="2" xfId="3" applyFill="1" applyBorder="1" applyAlignment="1" applyProtection="1">
      <alignment horizontal="center" vertical="center"/>
      <protection locked="0"/>
    </xf>
    <xf numFmtId="0" fontId="13" fillId="0" borderId="2" xfId="3" applyBorder="1" applyAlignment="1" applyProtection="1">
      <alignment vertical="center"/>
      <protection locked="0"/>
    </xf>
    <xf numFmtId="49" fontId="13" fillId="0" borderId="1" xfId="3" applyNumberFormat="1" applyBorder="1" applyAlignment="1" applyProtection="1">
      <alignment horizontal="center" vertical="center" wrapText="1"/>
      <protection locked="0"/>
    </xf>
    <xf numFmtId="0" fontId="36" fillId="0" borderId="49" xfId="15" applyFont="1" applyFill="1" applyBorder="1" applyAlignment="1" applyProtection="1">
      <alignment vertical="center"/>
      <protection locked="0"/>
    </xf>
    <xf numFmtId="49" fontId="13" fillId="0" borderId="2" xfId="3" applyNumberFormat="1" applyBorder="1" applyAlignment="1" applyProtection="1">
      <alignment horizontal="center" vertical="center" wrapText="1"/>
      <protection locked="0"/>
    </xf>
    <xf numFmtId="14" fontId="19" fillId="0" borderId="40" xfId="3" applyNumberFormat="1" applyFont="1" applyBorder="1" applyAlignment="1" applyProtection="1">
      <alignment horizontal="center" vertical="center"/>
      <protection locked="0"/>
    </xf>
    <xf numFmtId="0" fontId="38" fillId="0" borderId="50" xfId="0" applyNumberFormat="1" applyFont="1" applyFill="1" applyBorder="1" applyAlignment="1">
      <alignment horizontal="center" wrapText="1"/>
    </xf>
    <xf numFmtId="0" fontId="13" fillId="0" borderId="1" xfId="3" applyBorder="1" applyAlignment="1" applyProtection="1">
      <alignment vertical="center"/>
      <protection locked="0"/>
    </xf>
    <xf numFmtId="0" fontId="21" fillId="4" borderId="52" xfId="16" applyFont="1" applyFill="1" applyBorder="1" applyAlignment="1" applyProtection="1">
      <alignment vertical="center" wrapText="1"/>
      <protection locked="0"/>
    </xf>
    <xf numFmtId="0" fontId="19" fillId="0" borderId="1" xfId="3" applyFont="1" applyBorder="1" applyAlignment="1" applyProtection="1">
      <alignment horizontal="center" vertical="center"/>
      <protection locked="0"/>
    </xf>
    <xf numFmtId="14" fontId="19" fillId="0" borderId="1" xfId="3" applyNumberFormat="1" applyFont="1" applyBorder="1" applyAlignment="1" applyProtection="1">
      <alignment horizontal="left" vertical="center"/>
      <protection locked="0"/>
    </xf>
    <xf numFmtId="1" fontId="24" fillId="5" borderId="1" xfId="0" applyNumberFormat="1" applyFont="1" applyFill="1" applyBorder="1" applyProtection="1"/>
    <xf numFmtId="1" fontId="19" fillId="0" borderId="1" xfId="0" applyNumberFormat="1" applyFont="1" applyBorder="1" applyProtection="1">
      <protection locked="0"/>
    </xf>
    <xf numFmtId="0" fontId="19" fillId="7" borderId="1" xfId="0" applyFont="1" applyFill="1" applyBorder="1" applyProtection="1">
      <protection locked="0"/>
    </xf>
    <xf numFmtId="0" fontId="19" fillId="0" borderId="1" xfId="1" applyFont="1" applyBorder="1" applyAlignment="1" applyProtection="1">
      <alignment horizontal="center" vertical="center"/>
      <protection locked="0"/>
    </xf>
    <xf numFmtId="3" fontId="24" fillId="5" borderId="1" xfId="1" applyNumberFormat="1" applyFont="1" applyFill="1" applyBorder="1" applyAlignment="1" applyProtection="1">
      <alignment horizontal="center"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1" fontId="19" fillId="0" borderId="1" xfId="2" applyNumberFormat="1" applyFont="1" applyFill="1" applyBorder="1" applyAlignment="1" applyProtection="1">
      <alignment horizontal="center" vertical="top"/>
      <protection locked="0"/>
    </xf>
    <xf numFmtId="169" fontId="19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1" xfId="2" applyFont="1" applyFill="1" applyBorder="1" applyAlignment="1" applyProtection="1">
      <alignment horizontal="center" vertical="top"/>
      <protection locked="0"/>
    </xf>
    <xf numFmtId="166" fontId="19" fillId="0" borderId="1" xfId="2" applyNumberFormat="1" applyFont="1" applyFill="1" applyBorder="1" applyAlignment="1" applyProtection="1">
      <alignment horizontal="center" vertical="center"/>
      <protection locked="0"/>
    </xf>
    <xf numFmtId="4" fontId="19" fillId="0" borderId="1" xfId="2" applyNumberFormat="1" applyFont="1" applyFill="1" applyBorder="1" applyAlignment="1" applyProtection="1">
      <alignment horizontal="center" vertical="center"/>
      <protection locked="0"/>
    </xf>
    <xf numFmtId="3" fontId="19" fillId="0" borderId="1" xfId="2" applyNumberFormat="1" applyFont="1" applyFill="1" applyBorder="1" applyAlignment="1" applyProtection="1">
      <alignment horizontal="center" vertical="center"/>
      <protection locked="0"/>
    </xf>
    <xf numFmtId="0" fontId="24" fillId="5" borderId="1" xfId="0" applyFont="1" applyFill="1" applyBorder="1" applyAlignment="1" applyProtection="1">
      <alignment horizontal="center"/>
    </xf>
    <xf numFmtId="3" fontId="24" fillId="5" borderId="1" xfId="0" applyNumberFormat="1" applyFont="1" applyFill="1" applyBorder="1" applyAlignment="1" applyProtection="1">
      <alignment horizontal="center"/>
    </xf>
    <xf numFmtId="0" fontId="19" fillId="0" borderId="4" xfId="0" applyFont="1" applyBorder="1" applyAlignment="1" applyProtection="1">
      <alignment horizontal="center"/>
      <protection locked="0"/>
    </xf>
    <xf numFmtId="0" fontId="19" fillId="0" borderId="1" xfId="0" applyFont="1" applyBorder="1" applyAlignment="1" applyProtection="1">
      <alignment horizontal="center"/>
      <protection locked="0"/>
    </xf>
    <xf numFmtId="3" fontId="24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19" fillId="0" borderId="1" xfId="2" applyNumberFormat="1" applyFont="1" applyFill="1" applyBorder="1" applyAlignment="1" applyProtection="1">
      <alignment horizontal="center" vertical="center"/>
      <protection locked="0"/>
    </xf>
    <xf numFmtId="1" fontId="24" fillId="5" borderId="1" xfId="3" applyNumberFormat="1" applyFont="1" applyFill="1" applyBorder="1" applyAlignment="1" applyProtection="1">
      <alignment horizontal="center"/>
    </xf>
    <xf numFmtId="3" fontId="24" fillId="5" borderId="1" xfId="3" applyNumberFormat="1" applyFont="1" applyFill="1" applyBorder="1" applyAlignment="1" applyProtection="1">
      <alignment horizontal="center"/>
    </xf>
    <xf numFmtId="0" fontId="19" fillId="5" borderId="1" xfId="3" applyFont="1" applyFill="1" applyBorder="1" applyAlignment="1" applyProtection="1">
      <alignment horizontal="center"/>
    </xf>
    <xf numFmtId="0" fontId="24" fillId="5" borderId="1" xfId="3" applyFont="1" applyFill="1" applyBorder="1" applyAlignment="1" applyProtection="1">
      <alignment horizontal="center"/>
    </xf>
    <xf numFmtId="0" fontId="19" fillId="5" borderId="34" xfId="3" applyFont="1" applyFill="1" applyBorder="1" applyAlignment="1" applyProtection="1">
      <alignment horizontal="center"/>
    </xf>
    <xf numFmtId="0" fontId="19" fillId="0" borderId="4" xfId="3" applyFont="1" applyBorder="1" applyAlignment="1" applyProtection="1">
      <alignment horizontal="center"/>
      <protection locked="0"/>
    </xf>
    <xf numFmtId="0" fontId="19" fillId="5" borderId="2" xfId="3" applyFont="1" applyFill="1" applyBorder="1" applyAlignment="1" applyProtection="1">
      <alignment horizontal="center"/>
    </xf>
    <xf numFmtId="0" fontId="19" fillId="0" borderId="1" xfId="3" applyFont="1" applyBorder="1" applyAlignment="1" applyProtection="1">
      <alignment horizontal="center"/>
      <protection locked="0"/>
    </xf>
    <xf numFmtId="0" fontId="19" fillId="0" borderId="1" xfId="3" applyFont="1" applyFill="1" applyBorder="1" applyAlignment="1" applyProtection="1">
      <alignment horizontal="center"/>
    </xf>
    <xf numFmtId="3" fontId="24" fillId="7" borderId="1" xfId="1" applyNumberFormat="1" applyFont="1" applyFill="1" applyBorder="1" applyAlignment="1" applyProtection="1">
      <alignment horizontal="center" vertical="center" wrapText="1"/>
      <protection locked="0"/>
    </xf>
    <xf numFmtId="3" fontId="24" fillId="7" borderId="1" xfId="1" applyNumberFormat="1" applyFont="1" applyFill="1" applyBorder="1" applyAlignment="1" applyProtection="1">
      <alignment horizontal="center" vertical="center"/>
      <protection locked="0"/>
    </xf>
    <xf numFmtId="3" fontId="24" fillId="0" borderId="0" xfId="1" applyNumberFormat="1" applyFont="1" applyAlignment="1" applyProtection="1">
      <alignment horizontal="center" vertical="center"/>
      <protection locked="0"/>
    </xf>
    <xf numFmtId="0" fontId="19" fillId="0" borderId="1" xfId="1" applyFont="1" applyFill="1" applyBorder="1" applyAlignment="1" applyProtection="1">
      <alignment vertical="center" wrapText="1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3" fontId="19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" applyFont="1" applyFill="1" applyBorder="1" applyAlignment="1" applyProtection="1">
      <alignment horizontal="center" vertical="center" wrapText="1"/>
    </xf>
    <xf numFmtId="0" fontId="41" fillId="0" borderId="1" xfId="12" applyFont="1" applyFill="1" applyBorder="1" applyProtection="1"/>
    <xf numFmtId="49" fontId="41" fillId="0" borderId="1" xfId="12" applyNumberFormat="1" applyFont="1" applyFill="1" applyBorder="1" applyAlignment="1" applyProtection="1">
      <alignment horizontal="center" vertical="center" wrapText="1"/>
    </xf>
    <xf numFmtId="1" fontId="19" fillId="0" borderId="1" xfId="2" applyNumberFormat="1" applyFont="1" applyFill="1" applyBorder="1" applyAlignment="1" applyProtection="1">
      <alignment horizontal="right" vertical="top"/>
      <protection locked="0"/>
    </xf>
    <xf numFmtId="3" fontId="19" fillId="0" borderId="1" xfId="2" applyNumberFormat="1" applyFont="1" applyFill="1" applyBorder="1" applyAlignment="1" applyProtection="1">
      <alignment horizontal="right" vertical="center"/>
      <protection locked="0"/>
    </xf>
    <xf numFmtId="1" fontId="19" fillId="0" borderId="1" xfId="2" applyNumberFormat="1" applyFont="1" applyFill="1" applyBorder="1" applyAlignment="1" applyProtection="1">
      <alignment horizontal="right" vertical="center"/>
      <protection locked="0"/>
    </xf>
    <xf numFmtId="3" fontId="24" fillId="0" borderId="1" xfId="1" applyNumberFormat="1" applyFont="1" applyFill="1" applyBorder="1" applyAlignment="1" applyProtection="1">
      <alignment horizontal="right" vertical="center" wrapText="1"/>
      <protection locked="0"/>
    </xf>
    <xf numFmtId="1" fontId="19" fillId="5" borderId="1" xfId="2" applyNumberFormat="1" applyFont="1" applyFill="1" applyBorder="1" applyAlignment="1" applyProtection="1">
      <alignment horizontal="right" vertical="top"/>
    </xf>
    <xf numFmtId="0" fontId="19" fillId="0" borderId="1" xfId="2" applyNumberFormat="1" applyFont="1" applyFill="1" applyBorder="1" applyAlignment="1" applyProtection="1">
      <alignment horizontal="right" vertical="center"/>
      <protection locked="0"/>
    </xf>
    <xf numFmtId="3" fontId="19" fillId="0" borderId="1" xfId="1" applyNumberFormat="1" applyFont="1" applyFill="1" applyBorder="1" applyAlignment="1" applyProtection="1">
      <alignment horizontal="right" vertical="center"/>
      <protection locked="0"/>
    </xf>
    <xf numFmtId="3" fontId="19" fillId="0" borderId="1" xfId="2" applyNumberFormat="1" applyFont="1" applyFill="1" applyBorder="1" applyAlignment="1" applyProtection="1">
      <alignment horizontal="right" vertical="top"/>
      <protection locked="0"/>
    </xf>
    <xf numFmtId="3" fontId="24" fillId="0" borderId="1" xfId="1" applyNumberFormat="1" applyFont="1" applyFill="1" applyBorder="1" applyAlignment="1" applyProtection="1">
      <alignment horizontal="right" vertical="center"/>
      <protection locked="0"/>
    </xf>
    <xf numFmtId="3" fontId="19" fillId="0" borderId="0" xfId="3" applyNumberFormat="1" applyFont="1" applyProtection="1">
      <protection locked="0"/>
    </xf>
    <xf numFmtId="3" fontId="19" fillId="0" borderId="0" xfId="0" applyNumberFormat="1" applyFont="1" applyProtection="1">
      <protection locked="0"/>
    </xf>
    <xf numFmtId="3" fontId="24" fillId="0" borderId="1" xfId="1" applyNumberFormat="1" applyFont="1" applyBorder="1" applyAlignment="1" applyProtection="1">
      <alignment horizontal="center" vertical="center"/>
      <protection locked="0"/>
    </xf>
    <xf numFmtId="0" fontId="24" fillId="0" borderId="1" xfId="1" applyFont="1" applyFill="1" applyBorder="1" applyAlignment="1" applyProtection="1">
      <alignment vertical="center" wrapText="1"/>
    </xf>
    <xf numFmtId="3" fontId="19" fillId="0" borderId="0" xfId="1" applyNumberFormat="1" applyFont="1" applyAlignment="1" applyProtection="1">
      <alignment horizontal="center" vertical="center"/>
      <protection locked="0"/>
    </xf>
    <xf numFmtId="3" fontId="24" fillId="0" borderId="1" xfId="1" applyNumberFormat="1" applyFont="1" applyFill="1" applyBorder="1" applyAlignment="1" applyProtection="1">
      <alignment horizontal="center" vertical="center"/>
      <protection locked="0"/>
    </xf>
    <xf numFmtId="1" fontId="24" fillId="0" borderId="1" xfId="1" applyNumberFormat="1" applyFont="1" applyFill="1" applyBorder="1" applyAlignment="1" applyProtection="1">
      <alignment horizontal="center" vertical="center"/>
      <protection locked="0"/>
    </xf>
    <xf numFmtId="0" fontId="24" fillId="0" borderId="1" xfId="1" applyFont="1" applyBorder="1" applyAlignment="1" applyProtection="1">
      <alignment vertical="center"/>
      <protection locked="0"/>
    </xf>
    <xf numFmtId="0" fontId="24" fillId="0" borderId="1" xfId="1" applyFont="1" applyFill="1" applyBorder="1" applyAlignment="1" applyProtection="1">
      <alignment horizontal="center" vertical="center"/>
      <protection locked="0"/>
    </xf>
    <xf numFmtId="0" fontId="24" fillId="0" borderId="1" xfId="1" applyFont="1" applyFill="1" applyBorder="1" applyAlignment="1" applyProtection="1">
      <alignment horizontal="left" vertical="center" wrapText="1" indent="2"/>
    </xf>
    <xf numFmtId="3" fontId="19" fillId="0" borderId="0" xfId="1" applyNumberFormat="1" applyFont="1" applyAlignment="1" applyProtection="1">
      <alignment horizontal="center" vertical="center" wrapText="1"/>
      <protection locked="0"/>
    </xf>
    <xf numFmtId="3" fontId="24" fillId="7" borderId="0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1" applyFont="1" applyBorder="1" applyAlignment="1" applyProtection="1">
      <alignment horizontal="center" vertical="center"/>
      <protection locked="0"/>
    </xf>
    <xf numFmtId="0" fontId="19" fillId="0" borderId="0" xfId="1" applyFont="1" applyBorder="1" applyAlignment="1" applyProtection="1">
      <alignment horizontal="center" vertical="center" wrapText="1"/>
      <protection locked="0"/>
    </xf>
    <xf numFmtId="3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1" xfId="1" applyFont="1" applyBorder="1" applyAlignment="1" applyProtection="1">
      <alignment horizontal="center" vertical="center" wrapText="1"/>
      <protection locked="0"/>
    </xf>
    <xf numFmtId="3" fontId="24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24" fillId="8" borderId="1" xfId="1" applyFont="1" applyFill="1" applyBorder="1" applyAlignment="1" applyProtection="1">
      <alignment horizontal="left" vertical="center" wrapText="1" indent="1"/>
    </xf>
    <xf numFmtId="0" fontId="19" fillId="0" borderId="36" xfId="1" applyFont="1" applyBorder="1" applyAlignment="1" applyProtection="1">
      <alignment horizontal="center" vertical="center" wrapText="1"/>
      <protection locked="0"/>
    </xf>
    <xf numFmtId="0" fontId="24" fillId="0" borderId="36" xfId="1" applyFont="1" applyFill="1" applyBorder="1" applyAlignment="1" applyProtection="1">
      <alignment horizontal="left" vertical="center" wrapText="1" indent="1"/>
    </xf>
    <xf numFmtId="3" fontId="0" fillId="0" borderId="0" xfId="0" applyNumberFormat="1"/>
    <xf numFmtId="49" fontId="0" fillId="0" borderId="0" xfId="0" applyNumberFormat="1"/>
    <xf numFmtId="0" fontId="2" fillId="0" borderId="0" xfId="25" applyFill="1"/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9" fillId="0" borderId="0" xfId="0" applyNumberFormat="1" applyFont="1" applyProtection="1"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44" fillId="0" borderId="34" xfId="30" applyFont="1" applyBorder="1" applyAlignment="1" applyProtection="1">
      <alignment wrapText="1"/>
      <protection locked="0"/>
    </xf>
    <xf numFmtId="1" fontId="26" fillId="0" borderId="34" xfId="2" applyNumberFormat="1" applyFont="1" applyFill="1" applyBorder="1" applyAlignment="1" applyProtection="1">
      <alignment horizontal="left" vertical="top" wrapText="1"/>
      <protection locked="0"/>
    </xf>
    <xf numFmtId="1" fontId="28" fillId="0" borderId="53" xfId="2" applyNumberFormat="1" applyFont="1" applyFill="1" applyBorder="1" applyAlignment="1" applyProtection="1">
      <alignment horizontal="center" vertical="top" wrapText="1"/>
      <protection locked="0"/>
    </xf>
    <xf numFmtId="14" fontId="44" fillId="0" borderId="34" xfId="30" applyNumberFormat="1" applyFont="1" applyBorder="1" applyAlignment="1" applyProtection="1">
      <alignment wrapText="1"/>
      <protection locked="0"/>
    </xf>
    <xf numFmtId="1" fontId="28" fillId="0" borderId="1" xfId="2" applyNumberFormat="1" applyFont="1" applyFill="1" applyBorder="1" applyAlignment="1" applyProtection="1">
      <alignment horizontal="center" vertical="top" wrapText="1"/>
    </xf>
    <xf numFmtId="0" fontId="44" fillId="0" borderId="1" xfId="30" applyFont="1" applyBorder="1" applyAlignment="1" applyProtection="1">
      <alignment wrapText="1"/>
      <protection locked="0"/>
    </xf>
    <xf numFmtId="1" fontId="26" fillId="0" borderId="1" xfId="2" applyNumberFormat="1" applyFont="1" applyFill="1" applyBorder="1" applyAlignment="1" applyProtection="1">
      <alignment horizontal="left" vertical="top" wrapText="1"/>
      <protection locked="0"/>
    </xf>
    <xf numFmtId="1" fontId="28" fillId="2" borderId="1" xfId="2" applyNumberFormat="1" applyFont="1" applyFill="1" applyBorder="1" applyAlignment="1" applyProtection="1">
      <alignment horizontal="center" vertical="top" wrapText="1"/>
    </xf>
    <xf numFmtId="14" fontId="44" fillId="2" borderId="1" xfId="30" applyNumberFormat="1" applyFont="1" applyFill="1" applyBorder="1" applyAlignment="1" applyProtection="1">
      <alignment wrapText="1"/>
      <protection locked="0"/>
    </xf>
    <xf numFmtId="0" fontId="27" fillId="0" borderId="8" xfId="2" applyFont="1" applyFill="1" applyBorder="1" applyAlignment="1" applyProtection="1">
      <alignment horizontal="center" vertical="top" wrapText="1"/>
      <protection locked="0"/>
    </xf>
    <xf numFmtId="0" fontId="27" fillId="0" borderId="8" xfId="2" applyFont="1" applyFill="1" applyBorder="1" applyAlignment="1" applyProtection="1">
      <alignment horizontal="right" vertical="top" wrapText="1"/>
      <protection locked="0"/>
    </xf>
    <xf numFmtId="0" fontId="26" fillId="0" borderId="1" xfId="2" applyFont="1" applyFill="1" applyBorder="1" applyAlignment="1" applyProtection="1">
      <alignment horizontal="center" vertical="top" wrapText="1"/>
      <protection locked="0"/>
    </xf>
    <xf numFmtId="0" fontId="27" fillId="0" borderId="1" xfId="2" applyFont="1" applyFill="1" applyBorder="1" applyAlignment="1" applyProtection="1">
      <alignment horizontal="right" vertical="top" wrapText="1"/>
      <protection locked="0"/>
    </xf>
    <xf numFmtId="0" fontId="27" fillId="0" borderId="29" xfId="2" applyFont="1" applyFill="1" applyBorder="1" applyAlignment="1" applyProtection="1">
      <alignment horizontal="right" vertical="top" wrapText="1"/>
      <protection locked="0"/>
    </xf>
    <xf numFmtId="1" fontId="27" fillId="0" borderId="8" xfId="2" applyNumberFormat="1" applyFont="1" applyFill="1" applyBorder="1" applyAlignment="1" applyProtection="1">
      <alignment horizontal="right" vertical="top" wrapText="1"/>
      <protection locked="0"/>
    </xf>
    <xf numFmtId="14" fontId="29" fillId="0" borderId="2" xfId="30" applyNumberFormat="1" applyFont="1" applyBorder="1" applyAlignment="1" applyProtection="1">
      <alignment wrapText="1"/>
      <protection locked="0"/>
    </xf>
    <xf numFmtId="14" fontId="29" fillId="0" borderId="2" xfId="30" applyNumberFormat="1" applyFont="1" applyBorder="1" applyAlignment="1" applyProtection="1">
      <alignment horizontal="center" wrapText="1"/>
      <protection locked="0"/>
    </xf>
    <xf numFmtId="14" fontId="29" fillId="0" borderId="2" xfId="15" applyNumberFormat="1" applyFont="1" applyFill="1" applyBorder="1" applyAlignment="1" applyProtection="1">
      <alignment horizontal="center" wrapText="1"/>
      <protection locked="0"/>
    </xf>
    <xf numFmtId="14" fontId="29" fillId="0" borderId="2" xfId="15" applyNumberFormat="1" applyFont="1" applyBorder="1" applyAlignment="1" applyProtection="1">
      <alignment horizontal="center" wrapText="1"/>
      <protection locked="0"/>
    </xf>
    <xf numFmtId="1" fontId="26" fillId="0" borderId="6" xfId="2" applyNumberFormat="1" applyFont="1" applyFill="1" applyBorder="1" applyAlignment="1" applyProtection="1">
      <alignment horizontal="center" vertical="top" wrapText="1"/>
      <protection locked="0"/>
    </xf>
    <xf numFmtId="14" fontId="29" fillId="0" borderId="2" xfId="30" applyNumberFormat="1" applyFont="1" applyBorder="1" applyAlignment="1" applyProtection="1">
      <alignment horizontal="left" wrapText="1"/>
      <protection locked="0"/>
    </xf>
    <xf numFmtId="14" fontId="29" fillId="0" borderId="1" xfId="30" applyNumberFormat="1" applyFont="1" applyBorder="1" applyAlignment="1" applyProtection="1">
      <alignment horizontal="left" wrapText="1"/>
      <protection locked="0"/>
    </xf>
    <xf numFmtId="0" fontId="19" fillId="2" borderId="1" xfId="0" applyFont="1" applyFill="1" applyBorder="1" applyAlignment="1" applyProtection="1">
      <alignment horizontal="center"/>
      <protection locked="0"/>
    </xf>
    <xf numFmtId="1" fontId="26" fillId="0" borderId="27" xfId="2" applyNumberFormat="1" applyFont="1" applyFill="1" applyBorder="1" applyAlignment="1" applyProtection="1">
      <alignment horizontal="left" vertical="top" wrapText="1"/>
      <protection locked="0"/>
    </xf>
    <xf numFmtId="14" fontId="29" fillId="0" borderId="1" xfId="30" applyNumberFormat="1" applyFont="1" applyBorder="1" applyAlignment="1" applyProtection="1">
      <alignment wrapText="1"/>
      <protection locked="0"/>
    </xf>
    <xf numFmtId="1" fontId="26" fillId="0" borderId="1" xfId="2" applyNumberFormat="1" applyFont="1" applyFill="1" applyBorder="1" applyAlignment="1" applyProtection="1">
      <alignment horizontal="center" vertical="top" wrapText="1"/>
      <protection locked="0"/>
    </xf>
    <xf numFmtId="0" fontId="26" fillId="0" borderId="8" xfId="2" applyFont="1" applyFill="1" applyBorder="1" applyAlignment="1" applyProtection="1">
      <alignment horizontal="center" vertical="top" wrapText="1"/>
      <protection locked="0"/>
    </xf>
    <xf numFmtId="1" fontId="26" fillId="0" borderId="8" xfId="2" applyNumberFormat="1" applyFont="1" applyFill="1" applyBorder="1" applyAlignment="1" applyProtection="1">
      <alignment horizontal="center" vertical="top" wrapText="1"/>
      <protection locked="0"/>
    </xf>
    <xf numFmtId="1" fontId="21" fillId="0" borderId="1" xfId="4" applyNumberFormat="1" applyFont="1" applyBorder="1" applyAlignment="1" applyProtection="1">
      <alignment vertical="center" wrapText="1"/>
      <protection locked="0"/>
    </xf>
    <xf numFmtId="4" fontId="45" fillId="0" borderId="1" xfId="0" applyNumberFormat="1" applyFont="1" applyFill="1" applyBorder="1" applyAlignment="1">
      <alignment wrapText="1"/>
    </xf>
    <xf numFmtId="0" fontId="21" fillId="0" borderId="1" xfId="25" applyFont="1" applyFill="1" applyBorder="1" applyAlignment="1" applyProtection="1">
      <alignment vertical="center" wrapText="1"/>
      <protection locked="0"/>
    </xf>
    <xf numFmtId="0" fontId="26" fillId="0" borderId="1" xfId="25" applyFont="1" applyFill="1" applyBorder="1" applyAlignment="1" applyProtection="1">
      <alignment horizontal="center" vertical="center" wrapText="1"/>
      <protection locked="0"/>
    </xf>
    <xf numFmtId="14" fontId="26" fillId="0" borderId="1" xfId="25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25" applyFont="1" applyBorder="1" applyAlignment="1" applyProtection="1">
      <alignment vertical="center" wrapText="1"/>
      <protection locked="0"/>
    </xf>
    <xf numFmtId="0" fontId="21" fillId="0" borderId="1" xfId="25" applyFont="1" applyBorder="1" applyAlignment="1" applyProtection="1">
      <alignment horizontal="center" vertical="center" wrapText="1"/>
      <protection locked="0"/>
    </xf>
    <xf numFmtId="0" fontId="21" fillId="0" borderId="1" xfId="25" applyFont="1" applyFill="1" applyBorder="1" applyAlignment="1" applyProtection="1">
      <alignment horizontal="center" vertical="center" wrapText="1"/>
      <protection locked="0"/>
    </xf>
    <xf numFmtId="14" fontId="29" fillId="0" borderId="2" xfId="30" applyNumberFormat="1" applyFont="1" applyFill="1" applyBorder="1" applyAlignment="1" applyProtection="1">
      <alignment horizontal="center" wrapText="1"/>
      <protection locked="0"/>
    </xf>
    <xf numFmtId="0" fontId="46" fillId="5" borderId="0" xfId="0" applyFont="1" applyFill="1" applyProtection="1"/>
    <xf numFmtId="0" fontId="47" fillId="5" borderId="0" xfId="0" applyFont="1" applyFill="1" applyProtection="1"/>
    <xf numFmtId="0" fontId="47" fillId="5" borderId="0" xfId="0" applyFont="1" applyFill="1" applyProtection="1">
      <protection locked="0"/>
    </xf>
    <xf numFmtId="0" fontId="47" fillId="5" borderId="0" xfId="1" applyFont="1" applyFill="1" applyAlignment="1" applyProtection="1">
      <alignment vertical="center"/>
    </xf>
    <xf numFmtId="0" fontId="47" fillId="0" borderId="0" xfId="0" applyFont="1"/>
    <xf numFmtId="14" fontId="47" fillId="5" borderId="0" xfId="1" applyNumberFormat="1" applyFont="1" applyFill="1" applyBorder="1" applyAlignment="1" applyProtection="1">
      <alignment horizontal="center" vertical="center"/>
    </xf>
    <xf numFmtId="0" fontId="47" fillId="2" borderId="0" xfId="0" applyFont="1" applyFill="1"/>
    <xf numFmtId="0" fontId="47" fillId="5" borderId="0" xfId="0" applyFont="1" applyFill="1" applyBorder="1" applyProtection="1"/>
    <xf numFmtId="0" fontId="46" fillId="2" borderId="0" xfId="0" applyFont="1" applyFill="1" applyBorder="1" applyAlignment="1" applyProtection="1">
      <alignment horizontal="left"/>
    </xf>
    <xf numFmtId="0" fontId="47" fillId="2" borderId="0" xfId="0" applyFont="1" applyFill="1" applyBorder="1" applyProtection="1"/>
    <xf numFmtId="0" fontId="47" fillId="2" borderId="0" xfId="0" applyFont="1" applyFill="1" applyProtection="1"/>
    <xf numFmtId="0" fontId="46" fillId="5" borderId="0" xfId="1" applyFont="1" applyFill="1" applyAlignment="1" applyProtection="1">
      <alignment horizontal="left" vertical="center"/>
    </xf>
    <xf numFmtId="0" fontId="48" fillId="5" borderId="5" xfId="31" applyFont="1" applyFill="1" applyBorder="1" applyAlignment="1" applyProtection="1">
      <alignment horizontal="left" vertical="center" wrapText="1"/>
    </xf>
    <xf numFmtId="0" fontId="48" fillId="5" borderId="5" xfId="31" applyFont="1" applyFill="1" applyBorder="1" applyAlignment="1" applyProtection="1">
      <alignment horizontal="center" vertical="center" wrapText="1"/>
    </xf>
    <xf numFmtId="0" fontId="48" fillId="5" borderId="1" xfId="31" applyFont="1" applyFill="1" applyBorder="1" applyAlignment="1" applyProtection="1">
      <alignment horizontal="center" vertical="center" wrapText="1"/>
    </xf>
    <xf numFmtId="0" fontId="49" fillId="0" borderId="1" xfId="31" applyFont="1" applyFill="1" applyBorder="1" applyAlignment="1" applyProtection="1">
      <alignment horizontal="center" vertical="center" wrapText="1"/>
      <protection locked="0"/>
    </xf>
    <xf numFmtId="0" fontId="21" fillId="0" borderId="1" xfId="31" applyFont="1" applyFill="1" applyBorder="1" applyAlignment="1" applyProtection="1">
      <alignment horizontal="center" vertical="center" wrapText="1"/>
      <protection locked="0"/>
    </xf>
    <xf numFmtId="0" fontId="21" fillId="0" borderId="1" xfId="31" applyFont="1" applyFill="1" applyBorder="1" applyAlignment="1" applyProtection="1">
      <alignment vertical="center" wrapText="1"/>
      <protection locked="0"/>
    </xf>
    <xf numFmtId="2" fontId="21" fillId="0" borderId="1" xfId="31" applyNumberFormat="1" applyFont="1" applyFill="1" applyBorder="1" applyAlignment="1" applyProtection="1">
      <alignment horizontal="center" vertical="center" wrapText="1"/>
      <protection locked="0"/>
    </xf>
    <xf numFmtId="0" fontId="21" fillId="0" borderId="2" xfId="31" applyFont="1" applyFill="1" applyBorder="1" applyAlignment="1" applyProtection="1">
      <alignment vertical="center" wrapText="1"/>
      <protection locked="0"/>
    </xf>
    <xf numFmtId="0" fontId="21" fillId="0" borderId="2" xfId="31" applyFont="1" applyFill="1" applyBorder="1" applyAlignment="1" applyProtection="1">
      <alignment horizontal="center" vertical="center" wrapText="1"/>
      <protection locked="0"/>
    </xf>
    <xf numFmtId="0" fontId="21" fillId="0" borderId="1" xfId="31" applyFont="1" applyFill="1" applyBorder="1" applyAlignment="1" applyProtection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/>
    </xf>
    <xf numFmtId="2" fontId="21" fillId="0" borderId="1" xfId="31" applyNumberFormat="1" applyFont="1" applyFill="1" applyBorder="1" applyAlignment="1" applyProtection="1">
      <alignment horizontal="center" vertical="center" wrapText="1"/>
    </xf>
    <xf numFmtId="49" fontId="21" fillId="0" borderId="1" xfId="31" applyNumberFormat="1" applyFont="1" applyFill="1" applyBorder="1" applyAlignment="1" applyProtection="1">
      <alignment horizontal="center" vertical="center" wrapText="1"/>
    </xf>
    <xf numFmtId="49" fontId="21" fillId="0" borderId="1" xfId="0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0" fontId="21" fillId="0" borderId="36" xfId="0" applyNumberFormat="1" applyFont="1" applyFill="1" applyBorder="1" applyAlignment="1">
      <alignment horizontal="center" vertical="center"/>
    </xf>
    <xf numFmtId="49" fontId="21" fillId="0" borderId="36" xfId="0" applyNumberFormat="1" applyFont="1" applyFill="1" applyBorder="1" applyAlignment="1" applyProtection="1">
      <alignment horizontal="center" vertical="center"/>
      <protection locked="0"/>
    </xf>
    <xf numFmtId="49" fontId="21" fillId="0" borderId="1" xfId="31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vertical="center"/>
    </xf>
    <xf numFmtId="49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1" xfId="0" applyNumberFormat="1" applyFont="1" applyFill="1" applyBorder="1" applyAlignment="1" applyProtection="1">
      <alignment horizontal="center"/>
      <protection locked="0"/>
    </xf>
    <xf numFmtId="2" fontId="21" fillId="0" borderId="1" xfId="0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vertical="center" wrapText="1"/>
    </xf>
    <xf numFmtId="0" fontId="21" fillId="0" borderId="5" xfId="31" applyFont="1" applyFill="1" applyBorder="1" applyAlignment="1" applyProtection="1">
      <alignment horizontal="center" vertical="center" wrapText="1"/>
    </xf>
    <xf numFmtId="0" fontId="21" fillId="0" borderId="36" xfId="31" applyFont="1" applyFill="1" applyBorder="1" applyAlignment="1" applyProtection="1">
      <alignment horizontal="center" vertical="center" wrapText="1"/>
    </xf>
    <xf numFmtId="49" fontId="21" fillId="0" borderId="1" xfId="31" applyNumberFormat="1" applyFont="1" applyFill="1" applyBorder="1" applyAlignment="1" applyProtection="1">
      <alignment vertical="center" wrapText="1"/>
    </xf>
    <xf numFmtId="49" fontId="21" fillId="0" borderId="2" xfId="31" applyNumberFormat="1" applyFont="1" applyFill="1" applyBorder="1" applyAlignment="1" applyProtection="1">
      <alignment horizontal="center" vertical="center" wrapText="1"/>
      <protection locked="0"/>
    </xf>
    <xf numFmtId="49" fontId="49" fillId="0" borderId="1" xfId="0" applyNumberFormat="1" applyFont="1" applyFill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center" vertical="center"/>
    </xf>
    <xf numFmtId="49" fontId="49" fillId="0" borderId="1" xfId="0" applyNumberFormat="1" applyFont="1" applyFill="1" applyBorder="1" applyAlignment="1" applyProtection="1">
      <alignment horizontal="center" vertical="center"/>
      <protection locked="0"/>
    </xf>
    <xf numFmtId="0" fontId="49" fillId="0" borderId="2" xfId="31" applyFont="1" applyFill="1" applyBorder="1" applyAlignment="1" applyProtection="1">
      <alignment horizontal="center" vertical="center" wrapText="1"/>
      <protection locked="0"/>
    </xf>
    <xf numFmtId="0" fontId="49" fillId="0" borderId="2" xfId="31" applyFont="1" applyFill="1" applyBorder="1" applyAlignment="1" applyProtection="1">
      <alignment vertical="center" wrapText="1"/>
      <protection locked="0"/>
    </xf>
    <xf numFmtId="49" fontId="49" fillId="0" borderId="2" xfId="31" applyNumberFormat="1" applyFont="1" applyFill="1" applyBorder="1" applyAlignment="1" applyProtection="1">
      <alignment horizontal="center" vertical="center" wrapText="1"/>
      <protection locked="0"/>
    </xf>
    <xf numFmtId="0" fontId="49" fillId="0" borderId="1" xfId="31" applyFont="1" applyBorder="1" applyAlignment="1" applyProtection="1">
      <alignment horizontal="center" vertical="center" wrapText="1"/>
      <protection locked="0"/>
    </xf>
    <xf numFmtId="0" fontId="49" fillId="0" borderId="1" xfId="31" applyFont="1" applyBorder="1" applyAlignment="1" applyProtection="1">
      <alignment vertical="center" wrapText="1"/>
      <protection locked="0"/>
    </xf>
    <xf numFmtId="0" fontId="49" fillId="0" borderId="2" xfId="31" applyFont="1" applyBorder="1" applyAlignment="1" applyProtection="1">
      <alignment vertical="center" wrapText="1"/>
      <protection locked="0"/>
    </xf>
    <xf numFmtId="0" fontId="47" fillId="2" borderId="0" xfId="0" applyFont="1" applyFill="1" applyProtection="1">
      <protection locked="0"/>
    </xf>
    <xf numFmtId="0" fontId="49" fillId="2" borderId="0" xfId="31" applyFont="1" applyFill="1" applyProtection="1">
      <protection locked="0"/>
    </xf>
    <xf numFmtId="0" fontId="46" fillId="2" borderId="0" xfId="0" applyFont="1" applyFill="1" applyAlignment="1" applyProtection="1">
      <alignment horizontal="center"/>
      <protection locked="0"/>
    </xf>
    <xf numFmtId="0" fontId="47" fillId="2" borderId="0" xfId="0" applyFont="1" applyFill="1" applyAlignment="1" applyProtection="1">
      <alignment horizontal="center" vertical="center"/>
      <protection locked="0"/>
    </xf>
    <xf numFmtId="0" fontId="47" fillId="2" borderId="3" xfId="0" applyFont="1" applyFill="1" applyBorder="1" applyProtection="1">
      <protection locked="0"/>
    </xf>
    <xf numFmtId="0" fontId="47" fillId="2" borderId="3" xfId="0" applyFont="1" applyFill="1" applyBorder="1"/>
    <xf numFmtId="0" fontId="46" fillId="2" borderId="0" xfId="0" applyFont="1" applyFill="1" applyProtection="1">
      <protection locked="0"/>
    </xf>
    <xf numFmtId="0" fontId="47" fillId="2" borderId="0" xfId="0" applyFont="1" applyFill="1" applyBorder="1" applyProtection="1">
      <protection locked="0"/>
    </xf>
    <xf numFmtId="0" fontId="46" fillId="2" borderId="0" xfId="0" applyFont="1" applyFill="1"/>
    <xf numFmtId="0" fontId="49" fillId="2" borderId="1" xfId="31" applyFont="1" applyFill="1" applyBorder="1" applyAlignment="1" applyProtection="1">
      <alignment horizontal="center" vertical="center" wrapText="1"/>
      <protection locked="0"/>
    </xf>
    <xf numFmtId="0" fontId="47" fillId="2" borderId="1" xfId="0" applyFont="1" applyFill="1" applyBorder="1" applyAlignment="1">
      <alignment wrapText="1"/>
    </xf>
    <xf numFmtId="49" fontId="47" fillId="2" borderId="1" xfId="0" applyNumberFormat="1" applyFont="1" applyFill="1" applyBorder="1" applyAlignment="1">
      <alignment horizontal="center"/>
    </xf>
    <xf numFmtId="0" fontId="47" fillId="2" borderId="1" xfId="0" applyFont="1" applyFill="1" applyBorder="1" applyAlignment="1">
      <alignment horizontal="center"/>
    </xf>
    <xf numFmtId="0" fontId="21" fillId="0" borderId="1" xfId="31" applyFont="1" applyBorder="1" applyAlignment="1" applyProtection="1">
      <alignment horizontal="center" vertical="center" wrapText="1"/>
      <protection locked="0"/>
    </xf>
    <xf numFmtId="0" fontId="21" fillId="0" borderId="2" xfId="31" applyFont="1" applyBorder="1" applyAlignment="1" applyProtection="1">
      <alignment horizontal="center" vertical="center" wrapText="1"/>
      <protection locked="0"/>
    </xf>
    <xf numFmtId="0" fontId="47" fillId="0" borderId="1" xfId="0" applyFont="1" applyFill="1" applyBorder="1" applyAlignment="1">
      <alignment wrapText="1"/>
    </xf>
    <xf numFmtId="49" fontId="47" fillId="0" borderId="1" xfId="0" applyNumberFormat="1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/>
    </xf>
    <xf numFmtId="0" fontId="48" fillId="9" borderId="2" xfId="31" applyFont="1" applyFill="1" applyBorder="1" applyAlignment="1" applyProtection="1">
      <alignment horizontal="center" vertical="center" wrapText="1"/>
    </xf>
    <xf numFmtId="0" fontId="48" fillId="9" borderId="1" xfId="3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 wrapText="1"/>
    </xf>
    <xf numFmtId="49" fontId="21" fillId="0" borderId="1" xfId="31" applyNumberFormat="1" applyFont="1" applyBorder="1" applyAlignment="1" applyProtection="1">
      <alignment horizontal="center" vertical="center" wrapText="1"/>
      <protection locked="0"/>
    </xf>
    <xf numFmtId="0" fontId="47" fillId="0" borderId="1" xfId="0" applyFont="1" applyFill="1" applyBorder="1" applyAlignment="1">
      <alignment horizontal="center" wrapText="1"/>
    </xf>
    <xf numFmtId="0" fontId="21" fillId="0" borderId="2" xfId="31" applyNumberFormat="1" applyFont="1" applyBorder="1" applyAlignment="1" applyProtection="1">
      <alignment horizontal="center" vertical="center" wrapText="1"/>
      <protection locked="0"/>
    </xf>
    <xf numFmtId="49" fontId="47" fillId="0" borderId="1" xfId="0" applyNumberFormat="1" applyFont="1" applyBorder="1" applyAlignment="1">
      <alignment horizontal="center"/>
    </xf>
    <xf numFmtId="49" fontId="21" fillId="0" borderId="2" xfId="31" applyNumberFormat="1" applyFont="1" applyBorder="1" applyAlignment="1" applyProtection="1">
      <alignment horizontal="center" vertical="center" wrapText="1"/>
      <protection locked="0"/>
    </xf>
    <xf numFmtId="0" fontId="48" fillId="9" borderId="5" xfId="31" applyFont="1" applyFill="1" applyBorder="1" applyAlignment="1" applyProtection="1">
      <alignment horizontal="center" vertical="center" wrapText="1"/>
    </xf>
    <xf numFmtId="0" fontId="23" fillId="5" borderId="5" xfId="31" applyFont="1" applyFill="1" applyBorder="1" applyAlignment="1" applyProtection="1">
      <alignment horizontal="left" vertical="center" wrapText="1"/>
    </xf>
    <xf numFmtId="0" fontId="23" fillId="5" borderId="1" xfId="31" applyFont="1" applyFill="1" applyBorder="1" applyAlignment="1" applyProtection="1">
      <alignment horizontal="center" vertical="center" wrapText="1"/>
    </xf>
    <xf numFmtId="0" fontId="23" fillId="5" borderId="5" xfId="31" applyFont="1" applyFill="1" applyBorder="1" applyAlignment="1" applyProtection="1">
      <alignment horizontal="center" vertical="center" wrapText="1"/>
    </xf>
    <xf numFmtId="0" fontId="50" fillId="0" borderId="1" xfId="0" applyFont="1" applyBorder="1"/>
    <xf numFmtId="0" fontId="21" fillId="0" borderId="1" xfId="31" applyFont="1" applyBorder="1" applyAlignment="1" applyProtection="1">
      <alignment vertical="center" wrapText="1"/>
      <protection locked="0"/>
    </xf>
    <xf numFmtId="0" fontId="21" fillId="0" borderId="2" xfId="31" applyFont="1" applyBorder="1" applyAlignment="1" applyProtection="1">
      <alignment vertical="center" wrapText="1"/>
      <protection locked="0"/>
    </xf>
    <xf numFmtId="0" fontId="21" fillId="0" borderId="0" xfId="31" applyFont="1" applyBorder="1" applyAlignment="1" applyProtection="1">
      <alignment horizontal="center" vertical="center" wrapText="1"/>
      <protection locked="0"/>
    </xf>
    <xf numFmtId="0" fontId="21" fillId="0" borderId="0" xfId="31" applyFont="1" applyBorder="1" applyAlignment="1" applyProtection="1">
      <alignment vertical="center" wrapText="1"/>
      <protection locked="0"/>
    </xf>
    <xf numFmtId="14" fontId="13" fillId="0" borderId="1" xfId="3" applyNumberFormat="1" applyFill="1" applyBorder="1" applyProtection="1">
      <protection locked="0"/>
    </xf>
    <xf numFmtId="0" fontId="29" fillId="0" borderId="1" xfId="30" applyFont="1" applyFill="1" applyBorder="1" applyAlignment="1" applyProtection="1">
      <alignment wrapText="1"/>
      <protection locked="0"/>
    </xf>
    <xf numFmtId="0" fontId="0" fillId="0" borderId="1" xfId="0" applyBorder="1"/>
    <xf numFmtId="0" fontId="13" fillId="0" borderId="1" xfId="3" applyFill="1" applyBorder="1" applyProtection="1">
      <protection locked="0"/>
    </xf>
    <xf numFmtId="0" fontId="13" fillId="0" borderId="1" xfId="3" applyFill="1" applyBorder="1" applyAlignment="1" applyProtection="1">
      <alignment horizontal="center" vertical="center" wrapText="1"/>
      <protection locked="0"/>
    </xf>
    <xf numFmtId="14" fontId="13" fillId="0" borderId="1" xfId="3" applyNumberFormat="1" applyFill="1" applyBorder="1" applyProtection="1"/>
    <xf numFmtId="0" fontId="21" fillId="0" borderId="2" xfId="31" applyFont="1" applyFill="1" applyBorder="1" applyAlignment="1" applyProtection="1">
      <alignment horizontal="center" vertical="center" wrapText="1"/>
      <protection locked="0"/>
    </xf>
    <xf numFmtId="0" fontId="21" fillId="0" borderId="1" xfId="31" applyFont="1" applyFill="1" applyBorder="1" applyAlignment="1" applyProtection="1">
      <alignment horizontal="center" vertical="center" wrapText="1"/>
      <protection locked="0"/>
    </xf>
    <xf numFmtId="2" fontId="21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Protection="1"/>
    <xf numFmtId="0" fontId="19" fillId="0" borderId="0" xfId="1" applyFont="1" applyFill="1" applyAlignment="1" applyProtection="1">
      <alignment vertical="center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Alignment="1" applyProtection="1">
      <alignment horizontal="left" vertical="center"/>
    </xf>
    <xf numFmtId="0" fontId="13" fillId="0" borderId="0" xfId="0" applyFont="1" applyFill="1" applyProtection="1"/>
    <xf numFmtId="0" fontId="23" fillId="0" borderId="5" xfId="4" applyFont="1" applyFill="1" applyBorder="1" applyAlignment="1" applyProtection="1">
      <alignment horizontal="left" vertical="center" wrapText="1"/>
    </xf>
    <xf numFmtId="0" fontId="23" fillId="0" borderId="1" xfId="4" applyFont="1" applyFill="1" applyBorder="1" applyAlignment="1" applyProtection="1">
      <alignment horizontal="center" vertical="center" wrapText="1"/>
    </xf>
    <xf numFmtId="0" fontId="23" fillId="0" borderId="5" xfId="4" applyFont="1" applyFill="1" applyBorder="1" applyAlignment="1" applyProtection="1">
      <alignment horizontal="center" vertical="center" wrapText="1"/>
    </xf>
    <xf numFmtId="0" fontId="21" fillId="0" borderId="1" xfId="4" applyFont="1" applyFill="1" applyBorder="1" applyAlignment="1" applyProtection="1">
      <alignment horizontal="center" vertical="center" wrapText="1"/>
      <protection locked="0"/>
    </xf>
    <xf numFmtId="0" fontId="21" fillId="0" borderId="1" xfId="4" applyFont="1" applyFill="1" applyBorder="1" applyAlignment="1" applyProtection="1">
      <alignment vertical="center" wrapText="1"/>
      <protection locked="0"/>
    </xf>
    <xf numFmtId="0" fontId="21" fillId="0" borderId="2" xfId="4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49" fontId="21" fillId="0" borderId="2" xfId="0" applyNumberFormat="1" applyFont="1" applyFill="1" applyBorder="1" applyAlignment="1">
      <alignment horizontal="center" vertical="center"/>
    </xf>
    <xf numFmtId="49" fontId="19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1" xfId="3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19" fillId="0" borderId="2" xfId="31" applyFont="1" applyFill="1" applyBorder="1" applyAlignment="1" applyProtection="1">
      <alignment vertical="center" wrapText="1"/>
      <protection locked="0"/>
    </xf>
    <xf numFmtId="49" fontId="19" fillId="0" borderId="2" xfId="31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31" applyFont="1" applyFill="1" applyBorder="1" applyAlignment="1" applyProtection="1">
      <alignment vertical="center" wrapText="1"/>
      <protection locked="0"/>
    </xf>
    <xf numFmtId="167" fontId="49" fillId="0" borderId="1" xfId="30" applyNumberFormat="1" applyFont="1" applyFill="1" applyBorder="1" applyAlignment="1" applyProtection="1">
      <alignment horizontal="center" vertical="center"/>
      <protection locked="0"/>
    </xf>
    <xf numFmtId="1" fontId="51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2" applyNumberFormat="1" applyFont="1" applyFill="1" applyBorder="1" applyAlignment="1" applyProtection="1">
      <alignment horizontal="left" vertical="top" wrapText="1"/>
      <protection locked="0"/>
    </xf>
    <xf numFmtId="0" fontId="51" fillId="0" borderId="1" xfId="2" applyFont="1" applyFill="1" applyBorder="1" applyAlignment="1" applyProtection="1">
      <alignment horizontal="left" vertical="top" wrapText="1"/>
      <protection locked="0"/>
    </xf>
    <xf numFmtId="49" fontId="47" fillId="0" borderId="1" xfId="0" applyNumberFormat="1" applyFont="1" applyFill="1" applyBorder="1" applyAlignment="1" applyProtection="1">
      <alignment horizontal="left" vertical="top"/>
      <protection locked="0"/>
    </xf>
    <xf numFmtId="0" fontId="47" fillId="0" borderId="1" xfId="1" applyFont="1" applyFill="1" applyBorder="1" applyAlignment="1" applyProtection="1">
      <alignment horizontal="left" vertical="top" wrapText="1"/>
    </xf>
    <xf numFmtId="0" fontId="47" fillId="0" borderId="1" xfId="0" applyFont="1" applyFill="1" applyBorder="1" applyAlignment="1">
      <alignment horizontal="left" vertical="top"/>
    </xf>
    <xf numFmtId="0" fontId="47" fillId="0" borderId="1" xfId="0" applyNumberFormat="1" applyFont="1" applyFill="1" applyBorder="1" applyAlignment="1" applyProtection="1">
      <alignment horizontal="left" vertical="top"/>
      <protection locked="0"/>
    </xf>
    <xf numFmtId="0" fontId="47" fillId="0" borderId="1" xfId="0" applyNumberFormat="1" applyFont="1" applyFill="1" applyBorder="1" applyAlignment="1">
      <alignment horizontal="left" vertical="top"/>
    </xf>
    <xf numFmtId="0" fontId="47" fillId="0" borderId="1" xfId="0" applyFont="1" applyFill="1" applyBorder="1" applyAlignment="1" applyProtection="1">
      <alignment horizontal="left" vertical="top"/>
      <protection locked="0"/>
    </xf>
    <xf numFmtId="0" fontId="51" fillId="0" borderId="1" xfId="2" applyNumberFormat="1" applyFont="1" applyFill="1" applyBorder="1" applyAlignment="1" applyProtection="1">
      <alignment horizontal="left" vertical="top" wrapText="1"/>
      <protection locked="0"/>
    </xf>
    <xf numFmtId="0" fontId="51" fillId="0" borderId="1" xfId="0" applyFont="1" applyFill="1" applyBorder="1" applyAlignment="1">
      <alignment horizontal="left" vertical="top" wrapText="1"/>
    </xf>
    <xf numFmtId="49" fontId="51" fillId="0" borderId="1" xfId="0" applyNumberFormat="1" applyFont="1" applyFill="1" applyBorder="1" applyAlignment="1">
      <alignment horizontal="left" vertical="top" wrapText="1"/>
    </xf>
    <xf numFmtId="2" fontId="47" fillId="0" borderId="1" xfId="2" applyNumberFormat="1" applyFont="1" applyFill="1" applyBorder="1" applyAlignment="1" applyProtection="1">
      <alignment horizontal="left" vertical="top" wrapText="1"/>
      <protection locked="0"/>
    </xf>
    <xf numFmtId="0" fontId="47" fillId="0" borderId="1" xfId="2" applyFont="1" applyFill="1" applyBorder="1" applyAlignment="1" applyProtection="1">
      <alignment horizontal="left" vertical="top" wrapText="1"/>
      <protection locked="0"/>
    </xf>
    <xf numFmtId="0" fontId="47" fillId="0" borderId="1" xfId="2" applyFont="1" applyFill="1" applyBorder="1" applyAlignment="1" applyProtection="1">
      <alignment horizontal="left" vertical="top"/>
      <protection locked="0"/>
    </xf>
    <xf numFmtId="14" fontId="47" fillId="0" borderId="1" xfId="3" applyNumberFormat="1" applyFont="1" applyFill="1" applyBorder="1" applyAlignment="1" applyProtection="1">
      <alignment horizontal="center" vertical="center"/>
      <protection locked="0"/>
    </xf>
    <xf numFmtId="4" fontId="51" fillId="0" borderId="1" xfId="2" applyNumberFormat="1" applyFont="1" applyFill="1" applyBorder="1" applyAlignment="1" applyProtection="1">
      <alignment horizontal="left" vertical="top" wrapText="1"/>
      <protection locked="0"/>
    </xf>
    <xf numFmtId="1" fontId="51" fillId="0" borderId="7" xfId="2" applyNumberFormat="1" applyFont="1" applyFill="1" applyBorder="1" applyAlignment="1" applyProtection="1">
      <alignment horizontal="left" vertical="top" wrapText="1"/>
      <protection locked="0"/>
    </xf>
    <xf numFmtId="167" fontId="49" fillId="0" borderId="36" xfId="30" applyNumberFormat="1" applyFont="1" applyFill="1" applyBorder="1" applyAlignment="1" applyProtection="1">
      <alignment horizontal="center" vertical="center"/>
      <protection locked="0"/>
    </xf>
    <xf numFmtId="1" fontId="51" fillId="0" borderId="9" xfId="2" applyNumberFormat="1" applyFont="1" applyFill="1" applyBorder="1" applyAlignment="1" applyProtection="1">
      <alignment horizontal="left" vertical="top" wrapText="1"/>
      <protection locked="0"/>
    </xf>
    <xf numFmtId="49" fontId="51" fillId="0" borderId="36" xfId="2" applyNumberFormat="1" applyFont="1" applyFill="1" applyBorder="1" applyAlignment="1" applyProtection="1">
      <alignment horizontal="left" vertical="top" wrapText="1"/>
      <protection locked="0"/>
    </xf>
    <xf numFmtId="0" fontId="51" fillId="0" borderId="36" xfId="2" applyFont="1" applyFill="1" applyBorder="1" applyAlignment="1" applyProtection="1">
      <alignment horizontal="left" vertical="top" wrapText="1"/>
      <protection locked="0"/>
    </xf>
    <xf numFmtId="4" fontId="51" fillId="0" borderId="36" xfId="2" applyNumberFormat="1" applyFont="1" applyFill="1" applyBorder="1" applyAlignment="1" applyProtection="1">
      <alignment horizontal="left" vertical="top" wrapText="1"/>
      <protection locked="0"/>
    </xf>
    <xf numFmtId="14" fontId="13" fillId="0" borderId="1" xfId="3" applyNumberFormat="1" applyFill="1" applyBorder="1" applyAlignment="1" applyProtection="1">
      <alignment horizontal="center" vertical="center"/>
      <protection locked="0"/>
    </xf>
    <xf numFmtId="49" fontId="26" fillId="0" borderId="1" xfId="2" applyNumberFormat="1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1" fontId="26" fillId="0" borderId="3" xfId="2" applyNumberFormat="1" applyFont="1" applyFill="1" applyBorder="1" applyAlignment="1" applyProtection="1">
      <alignment horizontal="left" vertical="top" wrapText="1"/>
      <protection locked="0"/>
    </xf>
    <xf numFmtId="49" fontId="38" fillId="0" borderId="43" xfId="0" applyNumberFormat="1" applyFont="1" applyFill="1" applyBorder="1" applyAlignment="1">
      <alignment horizontal="center" wrapText="1"/>
    </xf>
    <xf numFmtId="0" fontId="19" fillId="5" borderId="1" xfId="1" applyFont="1" applyFill="1" applyBorder="1" applyAlignment="1" applyProtection="1">
      <alignment horizontal="left" vertical="center" wrapText="1" indent="1"/>
    </xf>
    <xf numFmtId="0" fontId="19" fillId="5" borderId="4" xfId="3" applyFont="1" applyFill="1" applyBorder="1" applyAlignment="1" applyProtection="1">
      <alignment horizontal="right"/>
    </xf>
    <xf numFmtId="0" fontId="26" fillId="0" borderId="7" xfId="2" applyFont="1" applyFill="1" applyBorder="1" applyAlignment="1" applyProtection="1">
      <alignment horizontal="center" vertical="top" wrapText="1"/>
      <protection locked="0"/>
    </xf>
    <xf numFmtId="1" fontId="26" fillId="0" borderId="7" xfId="2" applyNumberFormat="1" applyFont="1" applyFill="1" applyBorder="1" applyAlignment="1" applyProtection="1">
      <alignment horizontal="center" vertical="top" wrapText="1"/>
      <protection locked="0"/>
    </xf>
    <xf numFmtId="0" fontId="18" fillId="0" borderId="1" xfId="0" applyFont="1" applyFill="1" applyBorder="1"/>
    <xf numFmtId="0" fontId="2" fillId="0" borderId="1" xfId="25" applyFill="1" applyBorder="1"/>
    <xf numFmtId="14" fontId="21" fillId="0" borderId="0" xfId="9" applyNumberFormat="1" applyFont="1" applyBorder="1" applyAlignment="1" applyProtection="1">
      <alignment horizontal="center" vertical="center"/>
      <protection locked="0"/>
    </xf>
    <xf numFmtId="14" fontId="21" fillId="0" borderId="40" xfId="9" applyNumberFormat="1" applyFont="1" applyBorder="1" applyAlignment="1" applyProtection="1">
      <alignment horizontal="center" vertical="center"/>
      <protection locked="0"/>
    </xf>
    <xf numFmtId="14" fontId="23" fillId="2" borderId="0" xfId="9" applyNumberFormat="1" applyFont="1" applyFill="1" applyBorder="1" applyAlignment="1" applyProtection="1">
      <alignment horizontal="center" vertical="center"/>
    </xf>
    <xf numFmtId="0" fontId="21" fillId="2" borderId="0" xfId="9" applyFont="1" applyFill="1" applyBorder="1" applyAlignment="1" applyProtection="1">
      <alignment horizontal="left" vertical="center" wrapText="1"/>
      <protection locked="0"/>
    </xf>
    <xf numFmtId="0" fontId="31" fillId="4" borderId="10" xfId="9" applyFont="1" applyFill="1" applyBorder="1" applyAlignment="1" applyProtection="1">
      <alignment horizontal="center" vertical="center"/>
    </xf>
    <xf numFmtId="0" fontId="31" fillId="4" borderId="12" xfId="9" applyFont="1" applyFill="1" applyBorder="1" applyAlignment="1" applyProtection="1">
      <alignment horizontal="center" vertical="center"/>
    </xf>
    <xf numFmtId="0" fontId="31" fillId="4" borderId="11" xfId="9" applyFont="1" applyFill="1" applyBorder="1" applyAlignment="1" applyProtection="1">
      <alignment horizontal="center" vertical="center"/>
    </xf>
    <xf numFmtId="14" fontId="23" fillId="2" borderId="37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center" vertical="center" wrapText="1"/>
    </xf>
    <xf numFmtId="14" fontId="23" fillId="2" borderId="0" xfId="9" applyNumberFormat="1" applyFont="1" applyFill="1" applyBorder="1" applyAlignment="1" applyProtection="1">
      <alignment horizontal="left" vertical="center" wrapText="1"/>
    </xf>
    <xf numFmtId="0" fontId="19" fillId="5" borderId="0" xfId="1" applyFont="1" applyFill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14" fontId="23" fillId="2" borderId="0" xfId="10" applyNumberFormat="1" applyFont="1" applyFill="1" applyBorder="1" applyAlignment="1" applyProtection="1">
      <alignment horizontal="left" vertical="center" wrapText="1"/>
    </xf>
    <xf numFmtId="14" fontId="23" fillId="2" borderId="37" xfId="10" applyNumberFormat="1" applyFont="1" applyFill="1" applyBorder="1" applyAlignment="1" applyProtection="1">
      <alignment horizontal="center" vertical="center"/>
    </xf>
    <xf numFmtId="14" fontId="23" fillId="2" borderId="37" xfId="10" applyNumberFormat="1" applyFont="1" applyFill="1" applyBorder="1" applyAlignment="1" applyProtection="1">
      <alignment horizontal="center" vertical="center" wrapText="1"/>
    </xf>
    <xf numFmtId="14" fontId="23" fillId="2" borderId="0" xfId="10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left" vertical="top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14" fontId="21" fillId="0" borderId="0" xfId="9" applyNumberFormat="1" applyFont="1" applyBorder="1" applyAlignment="1" applyProtection="1">
      <alignment horizontal="left" vertical="center"/>
      <protection locked="0"/>
    </xf>
    <xf numFmtId="14" fontId="21" fillId="0" borderId="40" xfId="9" applyNumberFormat="1" applyFont="1" applyBorder="1" applyAlignment="1" applyProtection="1">
      <alignment horizontal="left" vertical="center"/>
      <protection locked="0"/>
    </xf>
    <xf numFmtId="0" fontId="21" fillId="5" borderId="1" xfId="4" applyFont="1" applyFill="1" applyBorder="1" applyAlignment="1" applyProtection="1">
      <alignment horizontal="center" vertical="center" wrapText="1"/>
    </xf>
    <xf numFmtId="0" fontId="21" fillId="0" borderId="36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6" xfId="31" applyFont="1" applyFill="1" applyBorder="1" applyAlignment="1" applyProtection="1">
      <alignment horizontal="center" vertical="center" wrapText="1"/>
      <protection locked="0"/>
    </xf>
    <xf numFmtId="0" fontId="21" fillId="0" borderId="2" xfId="31" applyFont="1" applyFill="1" applyBorder="1" applyAlignment="1" applyProtection="1">
      <alignment horizontal="center" vertical="center" wrapText="1"/>
      <protection locked="0"/>
    </xf>
    <xf numFmtId="0" fontId="21" fillId="0" borderId="3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1" fontId="21" fillId="0" borderId="36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 applyProtection="1">
      <alignment horizontal="center"/>
      <protection locked="0"/>
    </xf>
    <xf numFmtId="14" fontId="21" fillId="0" borderId="0" xfId="9" applyNumberFormat="1" applyFont="1" applyFill="1" applyBorder="1" applyAlignment="1" applyProtection="1">
      <alignment horizontal="left" vertical="center"/>
      <protection locked="0"/>
    </xf>
    <xf numFmtId="14" fontId="21" fillId="0" borderId="40" xfId="9" applyNumberFormat="1" applyFont="1" applyFill="1" applyBorder="1" applyAlignment="1" applyProtection="1">
      <alignment horizontal="left" vertical="center"/>
      <protection locked="0"/>
    </xf>
    <xf numFmtId="0" fontId="21" fillId="0" borderId="34" xfId="31" applyFont="1" applyFill="1" applyBorder="1" applyAlignment="1" applyProtection="1">
      <alignment horizontal="center" vertical="center" wrapText="1"/>
      <protection locked="0"/>
    </xf>
    <xf numFmtId="49" fontId="21" fillId="0" borderId="36" xfId="31" applyNumberFormat="1" applyFont="1" applyBorder="1" applyAlignment="1" applyProtection="1">
      <alignment horizontal="center" vertical="center" wrapText="1"/>
      <protection locked="0"/>
    </xf>
    <xf numFmtId="49" fontId="21" fillId="0" borderId="34" xfId="31" applyNumberFormat="1" applyFont="1" applyBorder="1" applyAlignment="1" applyProtection="1">
      <alignment horizontal="center" vertical="center" wrapText="1"/>
      <protection locked="0"/>
    </xf>
    <xf numFmtId="49" fontId="21" fillId="0" borderId="2" xfId="31" applyNumberFormat="1" applyFont="1" applyBorder="1" applyAlignment="1" applyProtection="1">
      <alignment horizontal="center" vertical="center" wrapText="1"/>
      <protection locked="0"/>
    </xf>
    <xf numFmtId="0" fontId="21" fillId="0" borderId="36" xfId="31" applyFont="1" applyBorder="1" applyAlignment="1" applyProtection="1">
      <alignment horizontal="center" vertical="center" wrapText="1"/>
      <protection locked="0"/>
    </xf>
    <xf numFmtId="0" fontId="21" fillId="0" borderId="34" xfId="31" applyFont="1" applyBorder="1" applyAlignment="1" applyProtection="1">
      <alignment horizontal="center" vertical="center" wrapText="1"/>
      <protection locked="0"/>
    </xf>
    <xf numFmtId="0" fontId="21" fillId="0" borderId="2" xfId="31" applyFont="1" applyBorder="1" applyAlignment="1" applyProtection="1">
      <alignment horizontal="center" vertical="center" wrapText="1"/>
      <protection locked="0"/>
    </xf>
    <xf numFmtId="49" fontId="21" fillId="0" borderId="1" xfId="31" applyNumberFormat="1" applyFont="1" applyBorder="1" applyAlignment="1" applyProtection="1">
      <alignment horizontal="center" vertical="center" wrapText="1"/>
      <protection locked="0"/>
    </xf>
    <xf numFmtId="0" fontId="21" fillId="0" borderId="1" xfId="31" applyFont="1" applyBorder="1" applyAlignment="1" applyProtection="1">
      <alignment horizontal="center" vertical="center" wrapText="1"/>
      <protection locked="0"/>
    </xf>
    <xf numFmtId="0" fontId="49" fillId="0" borderId="36" xfId="31" applyFont="1" applyFill="1" applyBorder="1" applyAlignment="1" applyProtection="1">
      <alignment horizontal="center" vertical="center" wrapText="1"/>
      <protection locked="0"/>
    </xf>
    <xf numFmtId="0" fontId="49" fillId="0" borderId="34" xfId="31" applyFont="1" applyFill="1" applyBorder="1" applyAlignment="1" applyProtection="1">
      <alignment horizontal="center" vertical="center" wrapText="1"/>
      <protection locked="0"/>
    </xf>
    <xf numFmtId="0" fontId="49" fillId="0" borderId="2" xfId="31" applyFont="1" applyFill="1" applyBorder="1" applyAlignment="1" applyProtection="1">
      <alignment horizontal="center" vertical="center" wrapText="1"/>
      <protection locked="0"/>
    </xf>
    <xf numFmtId="0" fontId="49" fillId="0" borderId="36" xfId="0" applyNumberFormat="1" applyFont="1" applyFill="1" applyBorder="1" applyAlignment="1">
      <alignment horizontal="center" vertical="center"/>
    </xf>
    <xf numFmtId="0" fontId="49" fillId="0" borderId="34" xfId="0" applyNumberFormat="1" applyFont="1" applyFill="1" applyBorder="1" applyAlignment="1">
      <alignment horizontal="center" vertical="center"/>
    </xf>
    <xf numFmtId="0" fontId="49" fillId="0" borderId="2" xfId="0" applyNumberFormat="1" applyFont="1" applyFill="1" applyBorder="1" applyAlignment="1">
      <alignment horizontal="center" vertical="center"/>
    </xf>
    <xf numFmtId="49" fontId="49" fillId="0" borderId="36" xfId="31" applyNumberFormat="1" applyFont="1" applyFill="1" applyBorder="1" applyAlignment="1" applyProtection="1">
      <alignment horizontal="center" vertical="center" wrapText="1"/>
      <protection locked="0"/>
    </xf>
    <xf numFmtId="49" fontId="49" fillId="0" borderId="34" xfId="31" applyNumberFormat="1" applyFont="1" applyFill="1" applyBorder="1" applyAlignment="1" applyProtection="1">
      <alignment horizontal="center" vertical="center" wrapText="1"/>
      <protection locked="0"/>
    </xf>
    <xf numFmtId="49" fontId="49" fillId="0" borderId="2" xfId="31" applyNumberFormat="1" applyFont="1" applyFill="1" applyBorder="1" applyAlignment="1" applyProtection="1">
      <alignment horizontal="center" vertical="center" wrapText="1"/>
      <protection locked="0"/>
    </xf>
    <xf numFmtId="0" fontId="21" fillId="0" borderId="36" xfId="0" applyNumberFormat="1" applyFont="1" applyFill="1" applyBorder="1" applyAlignment="1">
      <alignment horizontal="center" vertical="center" wrapText="1"/>
    </xf>
    <xf numFmtId="0" fontId="21" fillId="0" borderId="34" xfId="0" applyNumberFormat="1" applyFont="1" applyFill="1" applyBorder="1" applyAlignment="1">
      <alignment horizontal="center" vertical="center" wrapText="1"/>
    </xf>
    <xf numFmtId="0" fontId="21" fillId="0" borderId="2" xfId="0" applyNumberFormat="1" applyFont="1" applyFill="1" applyBorder="1" applyAlignment="1">
      <alignment horizontal="center" vertical="center" wrapText="1"/>
    </xf>
    <xf numFmtId="49" fontId="21" fillId="0" borderId="36" xfId="0" applyNumberFormat="1" applyFont="1" applyFill="1" applyBorder="1" applyAlignment="1" applyProtection="1">
      <alignment horizontal="center" vertical="center"/>
      <protection locked="0"/>
    </xf>
    <xf numFmtId="49" fontId="21" fillId="0" borderId="34" xfId="0" applyNumberFormat="1" applyFont="1" applyFill="1" applyBorder="1" applyAlignment="1" applyProtection="1">
      <alignment horizontal="center" vertical="center"/>
      <protection locked="0"/>
    </xf>
    <xf numFmtId="49" fontId="21" fillId="0" borderId="2" xfId="0" applyNumberFormat="1" applyFont="1" applyFill="1" applyBorder="1" applyAlignment="1" applyProtection="1">
      <alignment horizontal="center" vertical="center"/>
      <protection locked="0"/>
    </xf>
    <xf numFmtId="49" fontId="21" fillId="0" borderId="36" xfId="0" applyNumberFormat="1" applyFont="1" applyFill="1" applyBorder="1" applyAlignment="1">
      <alignment horizontal="center" vertical="center" wrapText="1"/>
    </xf>
    <xf numFmtId="49" fontId="21" fillId="0" borderId="34" xfId="0" applyNumberFormat="1" applyFont="1" applyFill="1" applyBorder="1" applyAlignment="1">
      <alignment horizontal="center" vertical="center" wrapText="1"/>
    </xf>
    <xf numFmtId="49" fontId="21" fillId="0" borderId="2" xfId="0" applyNumberFormat="1" applyFont="1" applyFill="1" applyBorder="1" applyAlignment="1">
      <alignment horizontal="center" vertical="center" wrapText="1"/>
    </xf>
    <xf numFmtId="2" fontId="21" fillId="0" borderId="1" xfId="31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31" applyFont="1" applyFill="1" applyBorder="1" applyAlignment="1" applyProtection="1">
      <alignment horizontal="center" vertical="center" wrapText="1"/>
      <protection locked="0"/>
    </xf>
    <xf numFmtId="2" fontId="21" fillId="0" borderId="36" xfId="31" applyNumberFormat="1" applyFont="1" applyFill="1" applyBorder="1" applyAlignment="1" applyProtection="1">
      <alignment horizontal="center" vertical="center" wrapText="1"/>
    </xf>
    <xf numFmtId="2" fontId="21" fillId="0" borderId="34" xfId="31" applyNumberFormat="1" applyFont="1" applyFill="1" applyBorder="1" applyAlignment="1" applyProtection="1">
      <alignment horizontal="center" vertical="center" wrapText="1"/>
    </xf>
    <xf numFmtId="2" fontId="21" fillId="0" borderId="2" xfId="31" applyNumberFormat="1" applyFont="1" applyFill="1" applyBorder="1" applyAlignment="1" applyProtection="1">
      <alignment horizontal="center" vertical="center" wrapText="1"/>
    </xf>
    <xf numFmtId="49" fontId="21" fillId="0" borderId="1" xfId="0" applyNumberFormat="1" applyFont="1" applyFill="1" applyBorder="1" applyAlignment="1" applyProtection="1">
      <alignment horizontal="center" vertical="center"/>
      <protection locked="0"/>
    </xf>
    <xf numFmtId="2" fontId="21" fillId="0" borderId="1" xfId="0" applyNumberFormat="1" applyFont="1" applyFill="1" applyBorder="1" applyAlignment="1">
      <alignment horizontal="center" vertical="center"/>
    </xf>
  </cellXfs>
  <cellStyles count="32">
    <cellStyle name="Normal" xfId="0" builtinId="0"/>
    <cellStyle name="Normal 10" xfId="18"/>
    <cellStyle name="Normal 10 2" xfId="19"/>
    <cellStyle name="Normal 10 2 2" xfId="20"/>
    <cellStyle name="Normal 11" xfId="21"/>
    <cellStyle name="Normal 11 2" xfId="22"/>
    <cellStyle name="Normal 2" xfId="2"/>
    <cellStyle name="Normal 2 2" xfId="23"/>
    <cellStyle name="Normal 2 3" xfId="24"/>
    <cellStyle name="Normal 3" xfId="3"/>
    <cellStyle name="Normal 4" xfId="4"/>
    <cellStyle name="Normal 4 2" xfId="25"/>
    <cellStyle name="Normal 4 2 2" xfId="31"/>
    <cellStyle name="Normal 5" xfId="5"/>
    <cellStyle name="Normal 5 2" xfId="6"/>
    <cellStyle name="Normal 5 2 2" xfId="7"/>
    <cellStyle name="Normal 5 2 2 2" xfId="14"/>
    <cellStyle name="Normal 5 2 2 2 2" xfId="30"/>
    <cellStyle name="Normal 5 2 3" xfId="8"/>
    <cellStyle name="Normal 5 2 3 2" xfId="11"/>
    <cellStyle name="Normal 5 2 3 2 2" xfId="17"/>
    <cellStyle name="Normal 5 2 3 3" xfId="26"/>
    <cellStyle name="Normal 5 3" xfId="9"/>
    <cellStyle name="Normal 5 3 2" xfId="10"/>
    <cellStyle name="Normal 5 3 2 2" xfId="16"/>
    <cellStyle name="Normal 5 3 2 2 2" xfId="29"/>
    <cellStyle name="Normal 5 3 3" xfId="15"/>
    <cellStyle name="Normal 6" xfId="12"/>
    <cellStyle name="Normal 7" xfId="13"/>
    <cellStyle name="Normal 8" xfId="27"/>
    <cellStyle name="Normal 9" xfId="28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171450</xdr:rowOff>
    </xdr:from>
    <xdr:to>
      <xdr:col>2</xdr:col>
      <xdr:colOff>1495425</xdr:colOff>
      <xdr:row>39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2207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32</xdr:row>
      <xdr:rowOff>180975</xdr:rowOff>
    </xdr:from>
    <xdr:to>
      <xdr:col>6</xdr:col>
      <xdr:colOff>219075</xdr:colOff>
      <xdr:row>32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171450</xdr:rowOff>
    </xdr:from>
    <xdr:to>
      <xdr:col>2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37</xdr:row>
      <xdr:rowOff>152400</xdr:rowOff>
    </xdr:from>
    <xdr:to>
      <xdr:col>7</xdr:col>
      <xdr:colOff>9525</xdr:colOff>
      <xdr:row>37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171450</xdr:rowOff>
    </xdr:from>
    <xdr:to>
      <xdr:col>1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38</xdr:row>
      <xdr:rowOff>180975</xdr:rowOff>
    </xdr:from>
    <xdr:to>
      <xdr:col>2</xdr:col>
      <xdr:colOff>554556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171450</xdr:rowOff>
    </xdr:from>
    <xdr:to>
      <xdr:col>2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28</xdr:row>
      <xdr:rowOff>4082</xdr:rowOff>
    </xdr:from>
    <xdr:to>
      <xdr:col>5</xdr:col>
      <xdr:colOff>110219</xdr:colOff>
      <xdr:row>28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171450</xdr:rowOff>
    </xdr:from>
    <xdr:to>
      <xdr:col>1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777240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47</xdr:row>
      <xdr:rowOff>180975</xdr:rowOff>
    </xdr:from>
    <xdr:to>
      <xdr:col>2</xdr:col>
      <xdr:colOff>554556</xdr:colOff>
      <xdr:row>47</xdr:row>
      <xdr:rowOff>182563</xdr:rowOff>
    </xdr:to>
    <xdr:cxnSp macro="">
      <xdr:nvCxnSpPr>
        <xdr:cNvPr id="3" name="Straight Connector 2"/>
        <xdr:cNvCxnSpPr/>
      </xdr:nvCxnSpPr>
      <xdr:spPr>
        <a:xfrm>
          <a:off x="1219719" y="7772400"/>
          <a:ext cx="5540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8.06-16.11.2016%20naerti%20mpg%20q.o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rakliAmiranashvili/Downloads/08.06-28.06.2016/08.06.-28.06.2016%20mpg%20q.o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 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 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მ.პ.გ. ქართული ოცნება - დემოკრატიული საქართველო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მ.პ.გ. ქართული ოცნება - დემოკრატიული საქართველო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press.ge/" TargetMode="External"/><Relationship Id="rId13" Type="http://schemas.openxmlformats.org/officeDocument/2006/relationships/hyperlink" Target="http://www.ipress.ge/" TargetMode="External"/><Relationship Id="rId18" Type="http://schemas.openxmlformats.org/officeDocument/2006/relationships/hyperlink" Target="http://www.ipn.ge/mobile,%20&#4321;&#4322;&#4304;&#4322;&#4312;&#4312;&#4321;%20&#4332;&#4312;&#4316;&#4315;&#4321;&#4332;&#4320;&#4308;&#4305;&#4312;%20200000%20%20&#4329;&#4309;&#4308;&#4316;&#4308;&#4305;&#4304;%20&#4311;&#4309;&#4308;&#4328;&#4312;." TargetMode="External"/><Relationship Id="rId3" Type="http://schemas.openxmlformats.org/officeDocument/2006/relationships/hyperlink" Target="http://www.tpress.ge/" TargetMode="External"/><Relationship Id="rId7" Type="http://schemas.openxmlformats.org/officeDocument/2006/relationships/hyperlink" Target="http://www.tpress.ge/" TargetMode="External"/><Relationship Id="rId12" Type="http://schemas.openxmlformats.org/officeDocument/2006/relationships/hyperlink" Target="http://www.ghn.ge/" TargetMode="External"/><Relationship Id="rId17" Type="http://schemas.openxmlformats.org/officeDocument/2006/relationships/hyperlink" Target="http://www.ipn.ge/mobile,%20H1%20100000%20%20&#4329;&#4309;&#4308;&#4316;&#4308;&#4305;&#4304;%20&#4311;&#4309;&#4308;&#4328;&#4312;." TargetMode="External"/><Relationship Id="rId2" Type="http://schemas.openxmlformats.org/officeDocument/2006/relationships/hyperlink" Target="http://www.tpress.ge/" TargetMode="External"/><Relationship Id="rId16" Type="http://schemas.openxmlformats.org/officeDocument/2006/relationships/hyperlink" Target="http://www.bpn.ge/mobile%20B1%20&#4305;&#4304;&#4316;&#4308;&#4320;&#4312;%20100000%20&#4329;&#4309;&#4308;&#4316;&#4308;&#4305;&#4304;%20&#4311;&#4309;&#4308;&#4328;&#4312;." TargetMode="External"/><Relationship Id="rId1" Type="http://schemas.openxmlformats.org/officeDocument/2006/relationships/hyperlink" Target="http://www.alion.ge/" TargetMode="External"/><Relationship Id="rId6" Type="http://schemas.openxmlformats.org/officeDocument/2006/relationships/hyperlink" Target="http://www.tpress.ge/" TargetMode="External"/><Relationship Id="rId11" Type="http://schemas.openxmlformats.org/officeDocument/2006/relationships/hyperlink" Target="http://www.primenewsgeorgia.ge/" TargetMode="External"/><Relationship Id="rId5" Type="http://schemas.openxmlformats.org/officeDocument/2006/relationships/hyperlink" Target="http://www.tpress.ge/" TargetMode="External"/><Relationship Id="rId15" Type="http://schemas.openxmlformats.org/officeDocument/2006/relationships/hyperlink" Target="http://www.livepress.ge/" TargetMode="External"/><Relationship Id="rId10" Type="http://schemas.openxmlformats.org/officeDocument/2006/relationships/hyperlink" Target="http://www.mediamall.ge/" TargetMode="External"/><Relationship Id="rId19" Type="http://schemas.openxmlformats.org/officeDocument/2006/relationships/printerSettings" Target="../printerSettings/printerSettings15.bin"/><Relationship Id="rId4" Type="http://schemas.openxmlformats.org/officeDocument/2006/relationships/hyperlink" Target="http://www.tpress.ge/" TargetMode="External"/><Relationship Id="rId9" Type="http://schemas.openxmlformats.org/officeDocument/2006/relationships/hyperlink" Target="http://www.adjaraps.com/" TargetMode="External"/><Relationship Id="rId14" Type="http://schemas.openxmlformats.org/officeDocument/2006/relationships/hyperlink" Target="http://www.versia.ge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3"/>
  <sheetViews>
    <sheetView showGridLines="0" view="pageBreakPreview" topLeftCell="D1" zoomScale="80" zoomScaleNormal="100" zoomScaleSheetLayoutView="80" workbookViewId="0">
      <selection activeCell="M1" sqref="M1:XFD1048576"/>
    </sheetView>
  </sheetViews>
  <sheetFormatPr defaultRowHeight="15"/>
  <cols>
    <col min="1" max="1" width="6.28515625" style="285" bestFit="1" customWidth="1"/>
    <col min="2" max="2" width="13.140625" style="285" customWidth="1"/>
    <col min="3" max="3" width="17.85546875" style="285" customWidth="1"/>
    <col min="4" max="4" width="15.140625" style="285" customWidth="1"/>
    <col min="5" max="5" width="24.5703125" style="285" customWidth="1"/>
    <col min="6" max="8" width="19.140625" style="286" customWidth="1"/>
    <col min="9" max="9" width="16.42578125" style="285" bestFit="1" customWidth="1"/>
    <col min="10" max="10" width="17.42578125" style="285" customWidth="1"/>
    <col min="11" max="11" width="13.140625" style="285" bestFit="1" customWidth="1"/>
    <col min="12" max="12" width="15.28515625" style="285" customWidth="1"/>
    <col min="13" max="16384" width="9.140625" style="285"/>
  </cols>
  <sheetData>
    <row r="1" spans="1:12" s="296" customFormat="1">
      <c r="A1" s="357" t="s">
        <v>307</v>
      </c>
      <c r="B1" s="343"/>
      <c r="C1" s="343"/>
      <c r="D1" s="343"/>
      <c r="E1" s="344"/>
      <c r="F1" s="338"/>
      <c r="G1" s="344"/>
      <c r="H1" s="356"/>
      <c r="I1" s="343"/>
      <c r="J1" s="344"/>
      <c r="K1" s="344"/>
      <c r="L1" s="355" t="s">
        <v>109</v>
      </c>
    </row>
    <row r="2" spans="1:12" s="296" customFormat="1">
      <c r="A2" s="354" t="s">
        <v>140</v>
      </c>
      <c r="B2" s="343"/>
      <c r="C2" s="343"/>
      <c r="D2" s="343"/>
      <c r="E2" s="344"/>
      <c r="F2" s="338"/>
      <c r="G2" s="344"/>
      <c r="H2" s="353"/>
      <c r="I2" s="343"/>
      <c r="J2" s="344"/>
      <c r="K2" s="753" t="s">
        <v>515</v>
      </c>
      <c r="L2" s="754"/>
    </row>
    <row r="3" spans="1:12" s="296" customFormat="1">
      <c r="A3" s="352"/>
      <c r="B3" s="343"/>
      <c r="C3" s="351"/>
      <c r="D3" s="350"/>
      <c r="E3" s="344"/>
      <c r="F3" s="349"/>
      <c r="G3" s="344"/>
      <c r="H3" s="344"/>
      <c r="I3" s="338"/>
      <c r="J3" s="343"/>
      <c r="K3" s="343"/>
      <c r="L3" s="342"/>
    </row>
    <row r="4" spans="1:12" s="296" customFormat="1">
      <c r="A4" s="386" t="s">
        <v>274</v>
      </c>
      <c r="B4" s="338"/>
      <c r="C4" s="338"/>
      <c r="D4" s="393" t="s">
        <v>514</v>
      </c>
      <c r="E4" s="378"/>
      <c r="F4" s="295"/>
      <c r="G4" s="288"/>
      <c r="H4" s="379"/>
      <c r="I4" s="378"/>
      <c r="J4" s="380"/>
      <c r="K4" s="288"/>
      <c r="L4" s="381"/>
    </row>
    <row r="5" spans="1:12" s="296" customFormat="1" ht="15.75" thickBot="1">
      <c r="A5" s="348"/>
      <c r="B5" s="344"/>
      <c r="C5" s="347"/>
      <c r="D5" s="346"/>
      <c r="E5" s="344"/>
      <c r="F5" s="345"/>
      <c r="G5" s="345"/>
      <c r="H5" s="345"/>
      <c r="I5" s="344"/>
      <c r="J5" s="343"/>
      <c r="K5" s="343"/>
      <c r="L5" s="342"/>
    </row>
    <row r="6" spans="1:12" ht="15.75" thickBot="1">
      <c r="A6" s="341"/>
      <c r="B6" s="340"/>
      <c r="C6" s="339"/>
      <c r="D6" s="339"/>
      <c r="E6" s="339"/>
      <c r="F6" s="338"/>
      <c r="G6" s="338"/>
      <c r="H6" s="338"/>
      <c r="I6" s="757" t="s">
        <v>474</v>
      </c>
      <c r="J6" s="758"/>
      <c r="K6" s="759"/>
      <c r="L6" s="337"/>
    </row>
    <row r="7" spans="1:12" s="325" customFormat="1" ht="51.75" thickBot="1">
      <c r="A7" s="336" t="s">
        <v>64</v>
      </c>
      <c r="B7" s="335" t="s">
        <v>141</v>
      </c>
      <c r="C7" s="335" t="s">
        <v>473</v>
      </c>
      <c r="D7" s="334" t="s">
        <v>280</v>
      </c>
      <c r="E7" s="333" t="s">
        <v>472</v>
      </c>
      <c r="F7" s="332" t="s">
        <v>471</v>
      </c>
      <c r="G7" s="331" t="s">
        <v>228</v>
      </c>
      <c r="H7" s="330" t="s">
        <v>225</v>
      </c>
      <c r="I7" s="329" t="s">
        <v>470</v>
      </c>
      <c r="J7" s="328" t="s">
        <v>277</v>
      </c>
      <c r="K7" s="327" t="s">
        <v>229</v>
      </c>
      <c r="L7" s="326" t="s">
        <v>230</v>
      </c>
    </row>
    <row r="8" spans="1:12" s="319" customFormat="1" ht="15.75" thickBot="1">
      <c r="A8" s="323">
        <v>1</v>
      </c>
      <c r="B8" s="322">
        <v>2</v>
      </c>
      <c r="C8" s="324">
        <v>3</v>
      </c>
      <c r="D8" s="324">
        <v>4</v>
      </c>
      <c r="E8" s="323">
        <v>5</v>
      </c>
      <c r="F8" s="322">
        <v>6</v>
      </c>
      <c r="G8" s="324">
        <v>7</v>
      </c>
      <c r="H8" s="322">
        <v>8</v>
      </c>
      <c r="I8" s="323">
        <v>9</v>
      </c>
      <c r="J8" s="322">
        <v>10</v>
      </c>
      <c r="K8" s="321">
        <v>11</v>
      </c>
      <c r="L8" s="320">
        <v>12</v>
      </c>
    </row>
    <row r="9" spans="1:12" ht="27">
      <c r="A9" s="318">
        <v>1</v>
      </c>
      <c r="B9" s="394" t="s">
        <v>516</v>
      </c>
      <c r="C9" s="395" t="s">
        <v>231</v>
      </c>
      <c r="D9" s="396">
        <v>20</v>
      </c>
      <c r="E9" s="395" t="s">
        <v>517</v>
      </c>
      <c r="F9" s="397" t="s">
        <v>518</v>
      </c>
      <c r="G9" s="398" t="s">
        <v>519</v>
      </c>
      <c r="H9" s="399" t="s">
        <v>520</v>
      </c>
      <c r="I9" s="400"/>
      <c r="J9" s="400"/>
      <c r="K9" s="312"/>
      <c r="L9" s="311"/>
    </row>
    <row r="10" spans="1:12" ht="27">
      <c r="A10" s="318">
        <v>2</v>
      </c>
      <c r="B10" s="401" t="s">
        <v>521</v>
      </c>
      <c r="C10" s="402" t="s">
        <v>522</v>
      </c>
      <c r="D10" s="403">
        <v>10000</v>
      </c>
      <c r="E10" s="404" t="s">
        <v>523</v>
      </c>
      <c r="F10" s="397" t="s">
        <v>524</v>
      </c>
      <c r="G10" s="397" t="s">
        <v>525</v>
      </c>
      <c r="H10" s="397" t="s">
        <v>526</v>
      </c>
      <c r="I10" s="405"/>
      <c r="J10" s="400"/>
      <c r="K10" s="312"/>
      <c r="L10" s="311"/>
    </row>
    <row r="11" spans="1:12" ht="81">
      <c r="A11" s="318">
        <v>3</v>
      </c>
      <c r="B11" s="401">
        <v>42374</v>
      </c>
      <c r="C11" s="402" t="s">
        <v>527</v>
      </c>
      <c r="D11" s="406">
        <v>500</v>
      </c>
      <c r="E11" s="407" t="s">
        <v>528</v>
      </c>
      <c r="F11" s="397" t="s">
        <v>529</v>
      </c>
      <c r="G11" s="397"/>
      <c r="H11" s="397"/>
      <c r="I11" s="405"/>
      <c r="J11" s="397" t="s">
        <v>530</v>
      </c>
      <c r="K11" s="312"/>
      <c r="L11" s="311"/>
    </row>
    <row r="12" spans="1:12" ht="27">
      <c r="A12" s="318">
        <v>4</v>
      </c>
      <c r="B12" s="408" t="s">
        <v>531</v>
      </c>
      <c r="C12" s="409" t="s">
        <v>522</v>
      </c>
      <c r="D12" s="410">
        <v>10000</v>
      </c>
      <c r="E12" s="409" t="s">
        <v>532</v>
      </c>
      <c r="F12" s="397" t="s">
        <v>533</v>
      </c>
      <c r="G12" s="397" t="s">
        <v>534</v>
      </c>
      <c r="H12" s="397" t="s">
        <v>526</v>
      </c>
      <c r="I12" s="411"/>
      <c r="J12" s="412"/>
      <c r="K12" s="312"/>
      <c r="L12" s="311"/>
    </row>
    <row r="13" spans="1:12" ht="27">
      <c r="A13" s="318">
        <v>5</v>
      </c>
      <c r="B13" s="401">
        <v>42415</v>
      </c>
      <c r="C13" s="395" t="s">
        <v>231</v>
      </c>
      <c r="D13" s="396">
        <v>20</v>
      </c>
      <c r="E13" s="395" t="s">
        <v>517</v>
      </c>
      <c r="F13" s="397" t="s">
        <v>518</v>
      </c>
      <c r="G13" s="398" t="s">
        <v>519</v>
      </c>
      <c r="H13" s="399" t="s">
        <v>520</v>
      </c>
      <c r="I13" s="405"/>
      <c r="J13" s="413"/>
      <c r="K13" s="312"/>
      <c r="L13" s="311"/>
    </row>
    <row r="14" spans="1:12" ht="27">
      <c r="A14" s="318">
        <v>6</v>
      </c>
      <c r="B14" s="401">
        <v>42444</v>
      </c>
      <c r="C14" s="395" t="s">
        <v>231</v>
      </c>
      <c r="D14" s="396">
        <v>20</v>
      </c>
      <c r="E14" s="395" t="s">
        <v>517</v>
      </c>
      <c r="F14" s="397" t="s">
        <v>518</v>
      </c>
      <c r="G14" s="398" t="s">
        <v>519</v>
      </c>
      <c r="H14" s="399" t="s">
        <v>520</v>
      </c>
      <c r="I14" s="405"/>
      <c r="J14" s="413"/>
      <c r="K14" s="312"/>
      <c r="L14" s="311"/>
    </row>
    <row r="15" spans="1:12" ht="27">
      <c r="A15" s="318">
        <v>7</v>
      </c>
      <c r="B15" s="427" t="s">
        <v>535</v>
      </c>
      <c r="C15" s="409" t="s">
        <v>522</v>
      </c>
      <c r="D15" s="430">
        <v>12000</v>
      </c>
      <c r="E15" s="397" t="s">
        <v>536</v>
      </c>
      <c r="F15" s="397" t="s">
        <v>537</v>
      </c>
      <c r="G15" s="397" t="s">
        <v>538</v>
      </c>
      <c r="H15" s="397" t="s">
        <v>526</v>
      </c>
      <c r="I15" s="416"/>
      <c r="J15" s="416"/>
      <c r="K15" s="312"/>
      <c r="L15" s="311"/>
    </row>
    <row r="16" spans="1:12" ht="27">
      <c r="A16" s="318">
        <v>8</v>
      </c>
      <c r="B16" s="427" t="s">
        <v>535</v>
      </c>
      <c r="C16" s="409" t="s">
        <v>522</v>
      </c>
      <c r="D16" s="430">
        <v>10000</v>
      </c>
      <c r="E16" s="397" t="s">
        <v>539</v>
      </c>
      <c r="F16" s="397" t="s">
        <v>540</v>
      </c>
      <c r="G16" s="397" t="s">
        <v>541</v>
      </c>
      <c r="H16" s="397" t="s">
        <v>526</v>
      </c>
      <c r="I16" s="416"/>
      <c r="J16" s="416"/>
      <c r="K16" s="312"/>
      <c r="L16" s="311"/>
    </row>
    <row r="17" spans="1:12" ht="27">
      <c r="A17" s="318">
        <v>9</v>
      </c>
      <c r="B17" s="427" t="s">
        <v>535</v>
      </c>
      <c r="C17" s="409" t="s">
        <v>522</v>
      </c>
      <c r="D17" s="430">
        <v>8000</v>
      </c>
      <c r="E17" s="397" t="s">
        <v>542</v>
      </c>
      <c r="F17" s="397" t="s">
        <v>543</v>
      </c>
      <c r="G17" s="397" t="s">
        <v>544</v>
      </c>
      <c r="H17" s="397" t="s">
        <v>526</v>
      </c>
      <c r="I17" s="416"/>
      <c r="J17" s="416"/>
      <c r="K17" s="312"/>
      <c r="L17" s="311"/>
    </row>
    <row r="18" spans="1:12" ht="27">
      <c r="A18" s="318">
        <v>10</v>
      </c>
      <c r="B18" s="427" t="s">
        <v>535</v>
      </c>
      <c r="C18" s="409" t="s">
        <v>522</v>
      </c>
      <c r="D18" s="430">
        <v>13000</v>
      </c>
      <c r="E18" s="397" t="s">
        <v>545</v>
      </c>
      <c r="F18" s="397" t="s">
        <v>546</v>
      </c>
      <c r="G18" s="397" t="s">
        <v>547</v>
      </c>
      <c r="H18" s="397" t="s">
        <v>526</v>
      </c>
      <c r="I18" s="416"/>
      <c r="J18" s="416"/>
      <c r="K18" s="312"/>
      <c r="L18" s="311"/>
    </row>
    <row r="19" spans="1:12" ht="27">
      <c r="A19" s="318">
        <v>11</v>
      </c>
      <c r="B19" s="427" t="s">
        <v>535</v>
      </c>
      <c r="C19" s="409" t="s">
        <v>522</v>
      </c>
      <c r="D19" s="430">
        <v>15000</v>
      </c>
      <c r="E19" s="397" t="s">
        <v>548</v>
      </c>
      <c r="F19" s="397" t="s">
        <v>549</v>
      </c>
      <c r="G19" s="397" t="s">
        <v>550</v>
      </c>
      <c r="H19" s="397" t="s">
        <v>526</v>
      </c>
      <c r="I19" s="416"/>
      <c r="J19" s="416"/>
      <c r="K19" s="312"/>
      <c r="L19" s="311"/>
    </row>
    <row r="20" spans="1:12" ht="27">
      <c r="A20" s="318">
        <v>12</v>
      </c>
      <c r="B20" s="427" t="s">
        <v>535</v>
      </c>
      <c r="C20" s="409" t="s">
        <v>522</v>
      </c>
      <c r="D20" s="430">
        <v>7000</v>
      </c>
      <c r="E20" s="397" t="s">
        <v>551</v>
      </c>
      <c r="F20" s="397" t="s">
        <v>552</v>
      </c>
      <c r="G20" s="397" t="s">
        <v>553</v>
      </c>
      <c r="H20" s="397" t="s">
        <v>526</v>
      </c>
      <c r="I20" s="416"/>
      <c r="J20" s="416"/>
      <c r="K20" s="312"/>
      <c r="L20" s="311"/>
    </row>
    <row r="21" spans="1:12" ht="27">
      <c r="A21" s="318">
        <v>13</v>
      </c>
      <c r="B21" s="427" t="s">
        <v>535</v>
      </c>
      <c r="C21" s="409" t="s">
        <v>522</v>
      </c>
      <c r="D21" s="430">
        <v>9000</v>
      </c>
      <c r="E21" s="397" t="s">
        <v>554</v>
      </c>
      <c r="F21" s="397" t="s">
        <v>555</v>
      </c>
      <c r="G21" s="397" t="s">
        <v>556</v>
      </c>
      <c r="H21" s="397" t="s">
        <v>526</v>
      </c>
      <c r="I21" s="416"/>
      <c r="J21" s="416"/>
      <c r="K21" s="312"/>
      <c r="L21" s="311"/>
    </row>
    <row r="22" spans="1:12" ht="27">
      <c r="A22" s="318">
        <v>14</v>
      </c>
      <c r="B22" s="427" t="s">
        <v>557</v>
      </c>
      <c r="C22" s="409" t="s">
        <v>231</v>
      </c>
      <c r="D22" s="430">
        <v>20</v>
      </c>
      <c r="E22" s="397" t="s">
        <v>558</v>
      </c>
      <c r="F22" s="397" t="s">
        <v>518</v>
      </c>
      <c r="G22" s="397" t="s">
        <v>519</v>
      </c>
      <c r="H22" s="397" t="s">
        <v>520</v>
      </c>
      <c r="I22" s="416"/>
      <c r="J22" s="416"/>
      <c r="K22" s="312"/>
      <c r="L22" s="311"/>
    </row>
    <row r="23" spans="1:12" ht="27">
      <c r="A23" s="318">
        <v>15</v>
      </c>
      <c r="B23" s="427" t="s">
        <v>559</v>
      </c>
      <c r="C23" s="409" t="s">
        <v>522</v>
      </c>
      <c r="D23" s="430">
        <v>50000</v>
      </c>
      <c r="E23" s="397" t="s">
        <v>560</v>
      </c>
      <c r="F23" s="397" t="s">
        <v>561</v>
      </c>
      <c r="G23" s="397" t="s">
        <v>562</v>
      </c>
      <c r="H23" s="397" t="s">
        <v>526</v>
      </c>
      <c r="I23" s="416"/>
      <c r="J23" s="416"/>
      <c r="K23" s="312"/>
      <c r="L23" s="311"/>
    </row>
    <row r="24" spans="1:12" ht="27">
      <c r="A24" s="318">
        <v>16</v>
      </c>
      <c r="B24" s="427" t="s">
        <v>559</v>
      </c>
      <c r="C24" s="409" t="s">
        <v>522</v>
      </c>
      <c r="D24" s="430">
        <v>25000</v>
      </c>
      <c r="E24" s="397" t="s">
        <v>563</v>
      </c>
      <c r="F24" s="397" t="s">
        <v>564</v>
      </c>
      <c r="G24" s="397" t="s">
        <v>565</v>
      </c>
      <c r="H24" s="397" t="s">
        <v>526</v>
      </c>
      <c r="I24" s="416"/>
      <c r="J24" s="416"/>
      <c r="K24" s="312"/>
      <c r="L24" s="311"/>
    </row>
    <row r="25" spans="1:12" ht="27">
      <c r="A25" s="318">
        <v>17</v>
      </c>
      <c r="B25" s="427" t="s">
        <v>566</v>
      </c>
      <c r="C25" s="409" t="s">
        <v>522</v>
      </c>
      <c r="D25" s="430">
        <v>8000</v>
      </c>
      <c r="E25" s="397" t="s">
        <v>567</v>
      </c>
      <c r="F25" s="397" t="s">
        <v>568</v>
      </c>
      <c r="G25" s="397" t="s">
        <v>569</v>
      </c>
      <c r="H25" s="397" t="s">
        <v>526</v>
      </c>
      <c r="I25" s="416"/>
      <c r="J25" s="417"/>
      <c r="K25" s="312"/>
      <c r="L25" s="311"/>
    </row>
    <row r="26" spans="1:12" ht="27">
      <c r="A26" s="318">
        <v>18</v>
      </c>
      <c r="B26" s="427" t="s">
        <v>566</v>
      </c>
      <c r="C26" s="409" t="s">
        <v>522</v>
      </c>
      <c r="D26" s="430">
        <v>6000</v>
      </c>
      <c r="E26" s="397" t="s">
        <v>570</v>
      </c>
      <c r="F26" s="397" t="s">
        <v>571</v>
      </c>
      <c r="G26" s="397" t="s">
        <v>572</v>
      </c>
      <c r="H26" s="397" t="s">
        <v>526</v>
      </c>
      <c r="I26" s="418"/>
      <c r="J26" s="400"/>
      <c r="K26" s="312"/>
      <c r="L26" s="311"/>
    </row>
    <row r="27" spans="1:12" ht="27">
      <c r="A27" s="318">
        <v>19</v>
      </c>
      <c r="B27" s="427" t="s">
        <v>566</v>
      </c>
      <c r="C27" s="409" t="s">
        <v>522</v>
      </c>
      <c r="D27" s="430">
        <v>8000</v>
      </c>
      <c r="E27" s="397" t="s">
        <v>573</v>
      </c>
      <c r="F27" s="397" t="s">
        <v>574</v>
      </c>
      <c r="G27" s="397" t="s">
        <v>575</v>
      </c>
      <c r="H27" s="397" t="s">
        <v>526</v>
      </c>
      <c r="I27" s="418"/>
      <c r="J27" s="405"/>
      <c r="K27" s="312"/>
      <c r="L27" s="311"/>
    </row>
    <row r="28" spans="1:12" ht="27">
      <c r="A28" s="318">
        <v>20</v>
      </c>
      <c r="B28" s="427" t="s">
        <v>566</v>
      </c>
      <c r="C28" s="409" t="s">
        <v>522</v>
      </c>
      <c r="D28" s="430">
        <v>7000</v>
      </c>
      <c r="E28" s="397" t="s">
        <v>576</v>
      </c>
      <c r="F28" s="397" t="s">
        <v>577</v>
      </c>
      <c r="G28" s="397" t="s">
        <v>578</v>
      </c>
      <c r="H28" s="397" t="s">
        <v>526</v>
      </c>
      <c r="I28" s="419"/>
      <c r="J28" s="417"/>
      <c r="K28" s="312"/>
      <c r="L28" s="311"/>
    </row>
    <row r="29" spans="1:12" ht="27">
      <c r="A29" s="318">
        <v>21</v>
      </c>
      <c r="B29" s="427" t="s">
        <v>566</v>
      </c>
      <c r="C29" s="409" t="s">
        <v>522</v>
      </c>
      <c r="D29" s="430">
        <v>9000</v>
      </c>
      <c r="E29" s="397" t="s">
        <v>579</v>
      </c>
      <c r="F29" s="397" t="s">
        <v>580</v>
      </c>
      <c r="G29" s="397" t="s">
        <v>581</v>
      </c>
      <c r="H29" s="397" t="s">
        <v>526</v>
      </c>
      <c r="I29" s="420"/>
      <c r="J29" s="400"/>
      <c r="K29" s="312"/>
      <c r="L29" s="311"/>
    </row>
    <row r="30" spans="1:12" ht="27">
      <c r="A30" s="318">
        <v>22</v>
      </c>
      <c r="B30" s="427" t="s">
        <v>582</v>
      </c>
      <c r="C30" s="409" t="s">
        <v>522</v>
      </c>
      <c r="D30" s="430">
        <v>24000</v>
      </c>
      <c r="E30" s="397" t="s">
        <v>583</v>
      </c>
      <c r="F30" s="397" t="s">
        <v>584</v>
      </c>
      <c r="G30" s="397" t="s">
        <v>585</v>
      </c>
      <c r="H30" s="397" t="s">
        <v>526</v>
      </c>
      <c r="I30" s="421"/>
      <c r="J30" s="412"/>
      <c r="K30" s="312"/>
      <c r="L30" s="311"/>
    </row>
    <row r="31" spans="1:12" ht="27">
      <c r="A31" s="318">
        <v>23</v>
      </c>
      <c r="B31" s="427" t="s">
        <v>582</v>
      </c>
      <c r="C31" s="409" t="s">
        <v>522</v>
      </c>
      <c r="D31" s="430">
        <v>9000</v>
      </c>
      <c r="E31" s="397" t="s">
        <v>586</v>
      </c>
      <c r="F31" s="397" t="s">
        <v>587</v>
      </c>
      <c r="G31" s="397" t="s">
        <v>588</v>
      </c>
      <c r="H31" s="397" t="s">
        <v>526</v>
      </c>
      <c r="I31" s="421"/>
      <c r="J31" s="412"/>
      <c r="K31" s="312"/>
      <c r="L31" s="311"/>
    </row>
    <row r="32" spans="1:12" ht="27">
      <c r="A32" s="318">
        <v>24</v>
      </c>
      <c r="B32" s="427" t="s">
        <v>582</v>
      </c>
      <c r="C32" s="409" t="s">
        <v>522</v>
      </c>
      <c r="D32" s="430">
        <v>6000</v>
      </c>
      <c r="E32" s="397" t="s">
        <v>589</v>
      </c>
      <c r="F32" s="397" t="s">
        <v>590</v>
      </c>
      <c r="G32" s="397" t="s">
        <v>591</v>
      </c>
      <c r="H32" s="397" t="s">
        <v>526</v>
      </c>
      <c r="I32" s="421"/>
      <c r="J32" s="412"/>
      <c r="K32" s="312"/>
      <c r="L32" s="311"/>
    </row>
    <row r="33" spans="1:12" ht="27">
      <c r="A33" s="318">
        <v>25</v>
      </c>
      <c r="B33" s="427" t="s">
        <v>582</v>
      </c>
      <c r="C33" s="409" t="s">
        <v>522</v>
      </c>
      <c r="D33" s="430">
        <v>21000</v>
      </c>
      <c r="E33" s="397" t="s">
        <v>592</v>
      </c>
      <c r="F33" s="397" t="s">
        <v>593</v>
      </c>
      <c r="G33" s="397" t="s">
        <v>594</v>
      </c>
      <c r="H33" s="397" t="s">
        <v>526</v>
      </c>
      <c r="I33" s="421"/>
      <c r="J33" s="412"/>
      <c r="K33" s="312"/>
      <c r="L33" s="311"/>
    </row>
    <row r="34" spans="1:12" ht="27">
      <c r="A34" s="318">
        <v>26</v>
      </c>
      <c r="B34" s="427" t="s">
        <v>582</v>
      </c>
      <c r="C34" s="409" t="s">
        <v>522</v>
      </c>
      <c r="D34" s="431">
        <v>15000</v>
      </c>
      <c r="E34" s="422" t="s">
        <v>595</v>
      </c>
      <c r="F34" s="422" t="s">
        <v>596</v>
      </c>
      <c r="G34" s="422" t="s">
        <v>597</v>
      </c>
      <c r="H34" s="422" t="s">
        <v>526</v>
      </c>
      <c r="I34" s="421"/>
      <c r="J34" s="412"/>
      <c r="K34" s="312"/>
      <c r="L34" s="311"/>
    </row>
    <row r="35" spans="1:12" ht="27">
      <c r="A35" s="318">
        <v>27</v>
      </c>
      <c r="B35" s="427" t="s">
        <v>598</v>
      </c>
      <c r="C35" s="409" t="s">
        <v>522</v>
      </c>
      <c r="D35" s="430">
        <v>25000</v>
      </c>
      <c r="E35" s="397" t="s">
        <v>599</v>
      </c>
      <c r="F35" s="397" t="s">
        <v>600</v>
      </c>
      <c r="G35" s="397" t="s">
        <v>601</v>
      </c>
      <c r="H35" s="397" t="s">
        <v>526</v>
      </c>
      <c r="I35" s="421"/>
      <c r="J35" s="412"/>
      <c r="K35" s="312"/>
      <c r="L35" s="311"/>
    </row>
    <row r="36" spans="1:12" ht="27">
      <c r="A36" s="318">
        <v>28</v>
      </c>
      <c r="B36" s="427" t="s">
        <v>598</v>
      </c>
      <c r="C36" s="409" t="s">
        <v>522</v>
      </c>
      <c r="D36" s="430">
        <v>7000</v>
      </c>
      <c r="E36" s="397" t="s">
        <v>602</v>
      </c>
      <c r="F36" s="397" t="s">
        <v>603</v>
      </c>
      <c r="G36" s="397" t="s">
        <v>604</v>
      </c>
      <c r="H36" s="397" t="s">
        <v>526</v>
      </c>
      <c r="I36" s="421"/>
      <c r="J36" s="412"/>
      <c r="K36" s="312"/>
      <c r="L36" s="311"/>
    </row>
    <row r="37" spans="1:12" ht="27">
      <c r="A37" s="318">
        <v>29</v>
      </c>
      <c r="B37" s="427" t="s">
        <v>598</v>
      </c>
      <c r="C37" s="409" t="s">
        <v>522</v>
      </c>
      <c r="D37" s="430">
        <v>7000</v>
      </c>
      <c r="E37" s="397" t="s">
        <v>605</v>
      </c>
      <c r="F37" s="397" t="s">
        <v>606</v>
      </c>
      <c r="G37" s="397" t="s">
        <v>607</v>
      </c>
      <c r="H37" s="397" t="s">
        <v>526</v>
      </c>
      <c r="I37" s="421"/>
      <c r="J37" s="412"/>
      <c r="K37" s="312"/>
      <c r="L37" s="311"/>
    </row>
    <row r="38" spans="1:12" ht="27">
      <c r="A38" s="318">
        <v>30</v>
      </c>
      <c r="B38" s="427" t="s">
        <v>598</v>
      </c>
      <c r="C38" s="409" t="s">
        <v>522</v>
      </c>
      <c r="D38" s="430">
        <v>15000</v>
      </c>
      <c r="E38" s="397" t="s">
        <v>608</v>
      </c>
      <c r="F38" s="397" t="s">
        <v>609</v>
      </c>
      <c r="G38" s="397" t="s">
        <v>610</v>
      </c>
      <c r="H38" s="397" t="s">
        <v>526</v>
      </c>
      <c r="I38" s="421"/>
      <c r="J38" s="412"/>
      <c r="K38" s="312"/>
      <c r="L38" s="311"/>
    </row>
    <row r="39" spans="1:12" ht="27">
      <c r="A39" s="318">
        <v>31</v>
      </c>
      <c r="B39" s="427" t="s">
        <v>598</v>
      </c>
      <c r="C39" s="409" t="s">
        <v>522</v>
      </c>
      <c r="D39" s="430">
        <v>7000</v>
      </c>
      <c r="E39" s="397" t="s">
        <v>611</v>
      </c>
      <c r="F39" s="397" t="s">
        <v>612</v>
      </c>
      <c r="G39" s="397" t="s">
        <v>613</v>
      </c>
      <c r="H39" s="397" t="s">
        <v>526</v>
      </c>
      <c r="I39" s="421"/>
      <c r="J39" s="412"/>
      <c r="K39" s="312"/>
      <c r="L39" s="311"/>
    </row>
    <row r="40" spans="1:12" ht="27">
      <c r="A40" s="318">
        <v>32</v>
      </c>
      <c r="B40" s="427" t="s">
        <v>598</v>
      </c>
      <c r="C40" s="409" t="s">
        <v>522</v>
      </c>
      <c r="D40" s="430">
        <v>10000</v>
      </c>
      <c r="E40" s="397" t="s">
        <v>614</v>
      </c>
      <c r="F40" s="397" t="s">
        <v>615</v>
      </c>
      <c r="G40" s="397" t="s">
        <v>616</v>
      </c>
      <c r="H40" s="397" t="s">
        <v>526</v>
      </c>
      <c r="I40" s="421"/>
      <c r="J40" s="412"/>
      <c r="K40" s="312"/>
      <c r="L40" s="311"/>
    </row>
    <row r="41" spans="1:12" ht="27">
      <c r="A41" s="318">
        <v>33</v>
      </c>
      <c r="B41" s="427" t="s">
        <v>598</v>
      </c>
      <c r="C41" s="409" t="s">
        <v>522</v>
      </c>
      <c r="D41" s="430">
        <v>6000</v>
      </c>
      <c r="E41" s="397" t="s">
        <v>617</v>
      </c>
      <c r="F41" s="397" t="s">
        <v>618</v>
      </c>
      <c r="G41" s="397" t="s">
        <v>619</v>
      </c>
      <c r="H41" s="397" t="s">
        <v>526</v>
      </c>
      <c r="I41" s="421"/>
      <c r="J41" s="412"/>
      <c r="K41" s="312"/>
      <c r="L41" s="311"/>
    </row>
    <row r="42" spans="1:12" ht="27">
      <c r="A42" s="318">
        <v>34</v>
      </c>
      <c r="B42" s="427" t="s">
        <v>598</v>
      </c>
      <c r="C42" s="409" t="s">
        <v>522</v>
      </c>
      <c r="D42" s="430">
        <v>6000</v>
      </c>
      <c r="E42" s="397" t="s">
        <v>620</v>
      </c>
      <c r="F42" s="397" t="s">
        <v>621</v>
      </c>
      <c r="G42" s="397" t="s">
        <v>622</v>
      </c>
      <c r="H42" s="397" t="s">
        <v>526</v>
      </c>
      <c r="I42" s="421"/>
      <c r="J42" s="412"/>
      <c r="K42" s="312"/>
      <c r="L42" s="311"/>
    </row>
    <row r="43" spans="1:12" ht="27">
      <c r="A43" s="318">
        <v>35</v>
      </c>
      <c r="B43" s="427" t="s">
        <v>598</v>
      </c>
      <c r="C43" s="409" t="s">
        <v>522</v>
      </c>
      <c r="D43" s="430">
        <v>7000</v>
      </c>
      <c r="E43" s="397" t="s">
        <v>623</v>
      </c>
      <c r="F43" s="397" t="s">
        <v>624</v>
      </c>
      <c r="G43" s="397" t="s">
        <v>625</v>
      </c>
      <c r="H43" s="397" t="s">
        <v>526</v>
      </c>
      <c r="I43" s="421"/>
      <c r="J43" s="412"/>
      <c r="K43" s="312"/>
      <c r="L43" s="311"/>
    </row>
    <row r="44" spans="1:12" ht="27">
      <c r="A44" s="318">
        <v>36</v>
      </c>
      <c r="B44" s="427" t="s">
        <v>598</v>
      </c>
      <c r="C44" s="409" t="s">
        <v>522</v>
      </c>
      <c r="D44" s="430">
        <v>10000</v>
      </c>
      <c r="E44" s="397" t="s">
        <v>626</v>
      </c>
      <c r="F44" s="397" t="s">
        <v>627</v>
      </c>
      <c r="G44" s="397" t="s">
        <v>628</v>
      </c>
      <c r="H44" s="397" t="s">
        <v>526</v>
      </c>
      <c r="I44" s="421"/>
      <c r="J44" s="412"/>
      <c r="K44" s="312"/>
      <c r="L44" s="311"/>
    </row>
    <row r="45" spans="1:12" ht="27">
      <c r="A45" s="318">
        <v>37</v>
      </c>
      <c r="B45" s="427" t="s">
        <v>598</v>
      </c>
      <c r="C45" s="409" t="s">
        <v>522</v>
      </c>
      <c r="D45" s="430">
        <v>6000</v>
      </c>
      <c r="E45" s="397" t="s">
        <v>629</v>
      </c>
      <c r="F45" s="397" t="s">
        <v>630</v>
      </c>
      <c r="G45" s="397" t="s">
        <v>631</v>
      </c>
      <c r="H45" s="397" t="s">
        <v>526</v>
      </c>
      <c r="I45" s="421"/>
      <c r="J45" s="412"/>
      <c r="K45" s="312"/>
      <c r="L45" s="311"/>
    </row>
    <row r="46" spans="1:12" ht="27">
      <c r="A46" s="318">
        <v>38</v>
      </c>
      <c r="B46" s="427" t="s">
        <v>598</v>
      </c>
      <c r="C46" s="409" t="s">
        <v>522</v>
      </c>
      <c r="D46" s="430">
        <v>7000</v>
      </c>
      <c r="E46" s="397" t="s">
        <v>632</v>
      </c>
      <c r="F46" s="397" t="s">
        <v>633</v>
      </c>
      <c r="G46" s="397" t="s">
        <v>634</v>
      </c>
      <c r="H46" s="397" t="s">
        <v>526</v>
      </c>
      <c r="I46" s="421"/>
      <c r="J46" s="412"/>
      <c r="K46" s="312"/>
      <c r="L46" s="311"/>
    </row>
    <row r="47" spans="1:12" ht="27">
      <c r="A47" s="318">
        <v>39</v>
      </c>
      <c r="B47" s="427" t="s">
        <v>598</v>
      </c>
      <c r="C47" s="409" t="s">
        <v>522</v>
      </c>
      <c r="D47" s="430">
        <v>7000</v>
      </c>
      <c r="E47" s="397" t="s">
        <v>635</v>
      </c>
      <c r="F47" s="397" t="s">
        <v>636</v>
      </c>
      <c r="G47" s="397" t="s">
        <v>637</v>
      </c>
      <c r="H47" s="397" t="s">
        <v>526</v>
      </c>
      <c r="I47" s="421"/>
      <c r="J47" s="412"/>
      <c r="K47" s="312"/>
      <c r="L47" s="311"/>
    </row>
    <row r="48" spans="1:12" ht="27">
      <c r="A48" s="318">
        <v>40</v>
      </c>
      <c r="B48" s="427" t="s">
        <v>598</v>
      </c>
      <c r="C48" s="409" t="s">
        <v>522</v>
      </c>
      <c r="D48" s="430">
        <v>44000</v>
      </c>
      <c r="E48" s="397" t="s">
        <v>638</v>
      </c>
      <c r="F48" s="397" t="s">
        <v>639</v>
      </c>
      <c r="G48" s="397" t="s">
        <v>640</v>
      </c>
      <c r="H48" s="397" t="s">
        <v>526</v>
      </c>
      <c r="I48" s="421"/>
      <c r="J48" s="412"/>
      <c r="K48" s="312"/>
      <c r="L48" s="311"/>
    </row>
    <row r="49" spans="1:12" ht="27">
      <c r="A49" s="318">
        <v>41</v>
      </c>
      <c r="B49" s="428" t="s">
        <v>641</v>
      </c>
      <c r="C49" s="409" t="s">
        <v>522</v>
      </c>
      <c r="D49" s="431">
        <v>33000</v>
      </c>
      <c r="E49" s="422" t="s">
        <v>642</v>
      </c>
      <c r="F49" s="422" t="s">
        <v>643</v>
      </c>
      <c r="G49" s="422" t="s">
        <v>644</v>
      </c>
      <c r="H49" s="422" t="s">
        <v>526</v>
      </c>
      <c r="I49" s="421"/>
      <c r="J49" s="412"/>
      <c r="K49" s="312"/>
      <c r="L49" s="311"/>
    </row>
    <row r="50" spans="1:12" ht="27">
      <c r="A50" s="318">
        <v>42</v>
      </c>
      <c r="B50" s="427" t="s">
        <v>645</v>
      </c>
      <c r="C50" s="409" t="s">
        <v>522</v>
      </c>
      <c r="D50" s="430">
        <v>20000</v>
      </c>
      <c r="E50" s="397" t="s">
        <v>646</v>
      </c>
      <c r="F50" s="397" t="s">
        <v>647</v>
      </c>
      <c r="G50" s="397" t="s">
        <v>648</v>
      </c>
      <c r="H50" s="397" t="s">
        <v>526</v>
      </c>
      <c r="I50" s="421"/>
      <c r="J50" s="412"/>
      <c r="K50" s="312"/>
      <c r="L50" s="311"/>
    </row>
    <row r="51" spans="1:12" ht="27">
      <c r="A51" s="318">
        <v>43</v>
      </c>
      <c r="B51" s="427" t="s">
        <v>645</v>
      </c>
      <c r="C51" s="409" t="s">
        <v>522</v>
      </c>
      <c r="D51" s="430">
        <v>10000</v>
      </c>
      <c r="E51" s="397" t="s">
        <v>649</v>
      </c>
      <c r="F51" s="397" t="s">
        <v>650</v>
      </c>
      <c r="G51" s="397" t="s">
        <v>651</v>
      </c>
      <c r="H51" s="397" t="s">
        <v>526</v>
      </c>
      <c r="I51" s="421"/>
      <c r="J51" s="412"/>
      <c r="K51" s="312"/>
      <c r="L51" s="311"/>
    </row>
    <row r="52" spans="1:12" ht="27">
      <c r="A52" s="318">
        <v>44</v>
      </c>
      <c r="B52" s="427" t="s">
        <v>645</v>
      </c>
      <c r="C52" s="409" t="s">
        <v>522</v>
      </c>
      <c r="D52" s="430">
        <v>5000</v>
      </c>
      <c r="E52" s="397" t="s">
        <v>652</v>
      </c>
      <c r="F52" s="397" t="s">
        <v>653</v>
      </c>
      <c r="G52" s="397" t="s">
        <v>654</v>
      </c>
      <c r="H52" s="397" t="s">
        <v>526</v>
      </c>
      <c r="I52" s="421"/>
      <c r="J52" s="412"/>
      <c r="K52" s="312"/>
      <c r="L52" s="311"/>
    </row>
    <row r="53" spans="1:12" ht="27">
      <c r="A53" s="318">
        <v>45</v>
      </c>
      <c r="B53" s="427" t="s">
        <v>645</v>
      </c>
      <c r="C53" s="409" t="s">
        <v>522</v>
      </c>
      <c r="D53" s="430">
        <v>33000</v>
      </c>
      <c r="E53" s="397" t="s">
        <v>655</v>
      </c>
      <c r="F53" s="397" t="s">
        <v>656</v>
      </c>
      <c r="G53" s="397" t="s">
        <v>657</v>
      </c>
      <c r="H53" s="397" t="s">
        <v>526</v>
      </c>
      <c r="I53" s="421"/>
      <c r="J53" s="412"/>
      <c r="K53" s="312"/>
      <c r="L53" s="311"/>
    </row>
    <row r="54" spans="1:12" ht="27">
      <c r="A54" s="318">
        <v>46</v>
      </c>
      <c r="B54" s="427" t="s">
        <v>645</v>
      </c>
      <c r="C54" s="409" t="s">
        <v>522</v>
      </c>
      <c r="D54" s="430">
        <v>33000</v>
      </c>
      <c r="E54" s="397" t="s">
        <v>658</v>
      </c>
      <c r="F54" s="397" t="s">
        <v>659</v>
      </c>
      <c r="G54" s="397" t="s">
        <v>660</v>
      </c>
      <c r="H54" s="397" t="s">
        <v>526</v>
      </c>
      <c r="I54" s="421"/>
      <c r="J54" s="412"/>
      <c r="K54" s="312"/>
      <c r="L54" s="311"/>
    </row>
    <row r="55" spans="1:12" ht="27">
      <c r="A55" s="318">
        <v>47</v>
      </c>
      <c r="B55" s="427" t="s">
        <v>661</v>
      </c>
      <c r="C55" s="409" t="s">
        <v>522</v>
      </c>
      <c r="D55" s="430">
        <v>5000</v>
      </c>
      <c r="E55" s="397" t="s">
        <v>662</v>
      </c>
      <c r="F55" s="397" t="s">
        <v>663</v>
      </c>
      <c r="G55" s="397" t="s">
        <v>664</v>
      </c>
      <c r="H55" s="397" t="s">
        <v>526</v>
      </c>
      <c r="I55" s="421"/>
      <c r="J55" s="412"/>
      <c r="K55" s="312"/>
      <c r="L55" s="311"/>
    </row>
    <row r="56" spans="1:12" ht="27">
      <c r="A56" s="318">
        <v>48</v>
      </c>
      <c r="B56" s="427" t="s">
        <v>661</v>
      </c>
      <c r="C56" s="409" t="s">
        <v>522</v>
      </c>
      <c r="D56" s="430">
        <v>5000</v>
      </c>
      <c r="E56" s="397" t="s">
        <v>665</v>
      </c>
      <c r="F56" s="397" t="s">
        <v>666</v>
      </c>
      <c r="G56" s="397" t="s">
        <v>667</v>
      </c>
      <c r="H56" s="397" t="s">
        <v>526</v>
      </c>
      <c r="I56" s="421"/>
      <c r="J56" s="412"/>
      <c r="K56" s="312"/>
      <c r="L56" s="311"/>
    </row>
    <row r="57" spans="1:12" ht="27">
      <c r="A57" s="318">
        <v>49</v>
      </c>
      <c r="B57" s="427" t="s">
        <v>661</v>
      </c>
      <c r="C57" s="409" t="s">
        <v>522</v>
      </c>
      <c r="D57" s="430">
        <v>4000</v>
      </c>
      <c r="E57" s="397" t="s">
        <v>668</v>
      </c>
      <c r="F57" s="397" t="s">
        <v>669</v>
      </c>
      <c r="G57" s="397" t="s">
        <v>670</v>
      </c>
      <c r="H57" s="397" t="s">
        <v>526</v>
      </c>
      <c r="I57" s="421"/>
      <c r="J57" s="412"/>
      <c r="K57" s="312"/>
      <c r="L57" s="311"/>
    </row>
    <row r="58" spans="1:12" ht="27">
      <c r="A58" s="318">
        <v>50</v>
      </c>
      <c r="B58" s="427" t="s">
        <v>661</v>
      </c>
      <c r="C58" s="409" t="s">
        <v>522</v>
      </c>
      <c r="D58" s="430">
        <v>3000</v>
      </c>
      <c r="E58" s="397" t="s">
        <v>671</v>
      </c>
      <c r="F58" s="397" t="s">
        <v>672</v>
      </c>
      <c r="G58" s="397" t="s">
        <v>673</v>
      </c>
      <c r="H58" s="397" t="s">
        <v>526</v>
      </c>
      <c r="I58" s="421"/>
      <c r="J58" s="412"/>
      <c r="K58" s="312"/>
      <c r="L58" s="311"/>
    </row>
    <row r="59" spans="1:12" ht="27">
      <c r="A59" s="318">
        <v>51</v>
      </c>
      <c r="B59" s="427" t="s">
        <v>661</v>
      </c>
      <c r="C59" s="409" t="s">
        <v>522</v>
      </c>
      <c r="D59" s="430">
        <v>21800</v>
      </c>
      <c r="E59" s="397" t="s">
        <v>674</v>
      </c>
      <c r="F59" s="397" t="s">
        <v>675</v>
      </c>
      <c r="G59" s="397" t="s">
        <v>676</v>
      </c>
      <c r="H59" s="397" t="s">
        <v>526</v>
      </c>
      <c r="I59" s="421"/>
      <c r="J59" s="412"/>
      <c r="K59" s="312"/>
      <c r="L59" s="311"/>
    </row>
    <row r="60" spans="1:12" ht="27">
      <c r="A60" s="318">
        <v>52</v>
      </c>
      <c r="B60" s="427" t="s">
        <v>661</v>
      </c>
      <c r="C60" s="409" t="s">
        <v>522</v>
      </c>
      <c r="D60" s="430">
        <v>21800</v>
      </c>
      <c r="E60" s="397" t="s">
        <v>677</v>
      </c>
      <c r="F60" s="397" t="s">
        <v>678</v>
      </c>
      <c r="G60" s="397" t="s">
        <v>679</v>
      </c>
      <c r="H60" s="397" t="s">
        <v>526</v>
      </c>
      <c r="I60" s="421"/>
      <c r="J60" s="412"/>
      <c r="K60" s="312"/>
      <c r="L60" s="311"/>
    </row>
    <row r="61" spans="1:12" ht="27">
      <c r="A61" s="318">
        <v>53</v>
      </c>
      <c r="B61" s="427" t="s">
        <v>661</v>
      </c>
      <c r="C61" s="409" t="s">
        <v>522</v>
      </c>
      <c r="D61" s="430">
        <v>5000</v>
      </c>
      <c r="E61" s="397" t="s">
        <v>680</v>
      </c>
      <c r="F61" s="397" t="s">
        <v>681</v>
      </c>
      <c r="G61" s="397" t="s">
        <v>682</v>
      </c>
      <c r="H61" s="397" t="s">
        <v>526</v>
      </c>
      <c r="I61" s="421"/>
      <c r="J61" s="412"/>
      <c r="K61" s="312"/>
      <c r="L61" s="311"/>
    </row>
    <row r="62" spans="1:12" ht="27">
      <c r="A62" s="318">
        <v>54</v>
      </c>
      <c r="B62" s="427" t="s">
        <v>661</v>
      </c>
      <c r="C62" s="409" t="s">
        <v>522</v>
      </c>
      <c r="D62" s="430">
        <v>29000</v>
      </c>
      <c r="E62" s="397" t="s">
        <v>683</v>
      </c>
      <c r="F62" s="397" t="s">
        <v>684</v>
      </c>
      <c r="G62" s="397" t="s">
        <v>685</v>
      </c>
      <c r="H62" s="397" t="s">
        <v>526</v>
      </c>
      <c r="I62" s="421"/>
      <c r="J62" s="412"/>
      <c r="K62" s="312"/>
      <c r="L62" s="311"/>
    </row>
    <row r="63" spans="1:12" ht="27">
      <c r="A63" s="318">
        <v>55</v>
      </c>
      <c r="B63" s="427" t="s">
        <v>661</v>
      </c>
      <c r="C63" s="409" t="s">
        <v>522</v>
      </c>
      <c r="D63" s="430">
        <v>18000</v>
      </c>
      <c r="E63" s="397" t="s">
        <v>686</v>
      </c>
      <c r="F63" s="397" t="s">
        <v>687</v>
      </c>
      <c r="G63" s="397" t="s">
        <v>688</v>
      </c>
      <c r="H63" s="397" t="s">
        <v>526</v>
      </c>
      <c r="I63" s="421"/>
      <c r="J63" s="412"/>
      <c r="K63" s="312"/>
      <c r="L63" s="311"/>
    </row>
    <row r="64" spans="1:12" ht="27">
      <c r="A64" s="318">
        <v>56</v>
      </c>
      <c r="B64" s="427" t="s">
        <v>661</v>
      </c>
      <c r="C64" s="409" t="s">
        <v>522</v>
      </c>
      <c r="D64" s="430">
        <v>28000</v>
      </c>
      <c r="E64" s="397" t="s">
        <v>689</v>
      </c>
      <c r="F64" s="397" t="s">
        <v>690</v>
      </c>
      <c r="G64" s="397" t="s">
        <v>691</v>
      </c>
      <c r="H64" s="397" t="s">
        <v>526</v>
      </c>
      <c r="I64" s="421"/>
      <c r="J64" s="412"/>
      <c r="K64" s="312"/>
      <c r="L64" s="311"/>
    </row>
    <row r="65" spans="1:12" ht="27">
      <c r="A65" s="318">
        <v>57</v>
      </c>
      <c r="B65" s="427" t="s">
        <v>661</v>
      </c>
      <c r="C65" s="409" t="s">
        <v>522</v>
      </c>
      <c r="D65" s="430">
        <v>27000</v>
      </c>
      <c r="E65" s="397" t="s">
        <v>692</v>
      </c>
      <c r="F65" s="397" t="s">
        <v>693</v>
      </c>
      <c r="G65" s="397" t="s">
        <v>694</v>
      </c>
      <c r="H65" s="397" t="s">
        <v>526</v>
      </c>
      <c r="I65" s="421"/>
      <c r="J65" s="412"/>
      <c r="K65" s="312"/>
      <c r="L65" s="311"/>
    </row>
    <row r="66" spans="1:12" ht="27">
      <c r="A66" s="318">
        <v>58</v>
      </c>
      <c r="B66" s="429" t="s">
        <v>695</v>
      </c>
      <c r="C66" s="409" t="s">
        <v>231</v>
      </c>
      <c r="D66" s="396">
        <v>20</v>
      </c>
      <c r="E66" s="423" t="s">
        <v>558</v>
      </c>
      <c r="F66" s="397" t="s">
        <v>518</v>
      </c>
      <c r="G66" s="397" t="s">
        <v>519</v>
      </c>
      <c r="H66" s="397" t="s">
        <v>520</v>
      </c>
      <c r="I66" s="421"/>
      <c r="J66" s="412"/>
      <c r="K66" s="312"/>
      <c r="L66" s="311"/>
    </row>
    <row r="67" spans="1:12" ht="181.5">
      <c r="A67" s="318">
        <v>59</v>
      </c>
      <c r="B67" s="429" t="s">
        <v>645</v>
      </c>
      <c r="C67" s="409" t="s">
        <v>527</v>
      </c>
      <c r="D67" s="430">
        <v>50</v>
      </c>
      <c r="E67" s="397" t="s">
        <v>696</v>
      </c>
      <c r="F67" s="397" t="s">
        <v>697</v>
      </c>
      <c r="G67" s="423"/>
      <c r="H67" s="423"/>
      <c r="I67" s="415" t="s">
        <v>698</v>
      </c>
      <c r="J67" s="412"/>
      <c r="K67" s="312"/>
      <c r="L67" s="311"/>
    </row>
    <row r="68" spans="1:12" ht="181.5">
      <c r="A68" s="318">
        <v>60</v>
      </c>
      <c r="B68" s="429" t="s">
        <v>645</v>
      </c>
      <c r="C68" s="409" t="s">
        <v>527</v>
      </c>
      <c r="D68" s="430">
        <v>50</v>
      </c>
      <c r="E68" s="397" t="s">
        <v>699</v>
      </c>
      <c r="F68" s="397" t="s">
        <v>700</v>
      </c>
      <c r="G68" s="423"/>
      <c r="H68" s="423"/>
      <c r="I68" s="415" t="s">
        <v>698</v>
      </c>
      <c r="J68" s="412"/>
      <c r="K68" s="312"/>
      <c r="L68" s="311"/>
    </row>
    <row r="69" spans="1:12" ht="148.5">
      <c r="A69" s="318">
        <v>61</v>
      </c>
      <c r="B69" s="429" t="s">
        <v>645</v>
      </c>
      <c r="C69" s="409" t="s">
        <v>527</v>
      </c>
      <c r="D69" s="430">
        <v>125</v>
      </c>
      <c r="E69" s="397" t="s">
        <v>701</v>
      </c>
      <c r="F69" s="397" t="s">
        <v>702</v>
      </c>
      <c r="G69" s="423"/>
      <c r="H69" s="423"/>
      <c r="I69" s="415" t="s">
        <v>703</v>
      </c>
      <c r="J69" s="412"/>
      <c r="K69" s="312"/>
      <c r="L69" s="311"/>
    </row>
    <row r="70" spans="1:12" ht="27">
      <c r="A70" s="318">
        <v>62</v>
      </c>
      <c r="B70" s="429" t="s">
        <v>704</v>
      </c>
      <c r="C70" s="409" t="s">
        <v>522</v>
      </c>
      <c r="D70" s="430">
        <v>32400</v>
      </c>
      <c r="E70" s="397" t="s">
        <v>705</v>
      </c>
      <c r="F70" s="397" t="s">
        <v>706</v>
      </c>
      <c r="G70" s="397" t="s">
        <v>707</v>
      </c>
      <c r="H70" s="397" t="s">
        <v>526</v>
      </c>
      <c r="I70" s="400"/>
      <c r="J70" s="412"/>
      <c r="K70" s="312"/>
      <c r="L70" s="311"/>
    </row>
    <row r="71" spans="1:12" ht="27">
      <c r="A71" s="318">
        <v>63</v>
      </c>
      <c r="B71" s="429" t="s">
        <v>704</v>
      </c>
      <c r="C71" s="409" t="s">
        <v>522</v>
      </c>
      <c r="D71" s="430">
        <v>21600</v>
      </c>
      <c r="E71" s="397" t="s">
        <v>708</v>
      </c>
      <c r="F71" s="397" t="s">
        <v>709</v>
      </c>
      <c r="G71" s="397" t="s">
        <v>710</v>
      </c>
      <c r="H71" s="397" t="s">
        <v>526</v>
      </c>
      <c r="I71" s="400"/>
      <c r="J71" s="412"/>
      <c r="K71" s="312"/>
      <c r="L71" s="311"/>
    </row>
    <row r="72" spans="1:12" ht="27">
      <c r="A72" s="318">
        <v>64</v>
      </c>
      <c r="B72" s="429" t="s">
        <v>704</v>
      </c>
      <c r="C72" s="409" t="s">
        <v>522</v>
      </c>
      <c r="D72" s="430">
        <v>21600</v>
      </c>
      <c r="E72" s="397" t="s">
        <v>711</v>
      </c>
      <c r="F72" s="397" t="s">
        <v>712</v>
      </c>
      <c r="G72" s="397" t="s">
        <v>713</v>
      </c>
      <c r="H72" s="397" t="s">
        <v>526</v>
      </c>
      <c r="I72" s="400"/>
      <c r="J72" s="412"/>
      <c r="K72" s="312"/>
      <c r="L72" s="311"/>
    </row>
    <row r="73" spans="1:12" ht="27">
      <c r="A73" s="318">
        <v>65</v>
      </c>
      <c r="B73" s="429" t="s">
        <v>714</v>
      </c>
      <c r="C73" s="409" t="s">
        <v>522</v>
      </c>
      <c r="D73" s="430">
        <v>20000</v>
      </c>
      <c r="E73" s="397" t="s">
        <v>715</v>
      </c>
      <c r="F73" s="397" t="s">
        <v>716</v>
      </c>
      <c r="G73" s="397" t="s">
        <v>717</v>
      </c>
      <c r="H73" s="397" t="s">
        <v>526</v>
      </c>
      <c r="I73" s="400"/>
      <c r="J73" s="412"/>
      <c r="K73" s="312"/>
      <c r="L73" s="311"/>
    </row>
    <row r="74" spans="1:12" ht="27">
      <c r="A74" s="318">
        <v>66</v>
      </c>
      <c r="B74" s="429" t="s">
        <v>714</v>
      </c>
      <c r="C74" s="409" t="s">
        <v>522</v>
      </c>
      <c r="D74" s="430">
        <v>20000</v>
      </c>
      <c r="E74" s="397" t="s">
        <v>718</v>
      </c>
      <c r="F74" s="397" t="s">
        <v>719</v>
      </c>
      <c r="G74" s="397" t="s">
        <v>720</v>
      </c>
      <c r="H74" s="397" t="s">
        <v>526</v>
      </c>
      <c r="I74" s="400"/>
      <c r="J74" s="412"/>
      <c r="K74" s="312"/>
      <c r="L74" s="311"/>
    </row>
    <row r="75" spans="1:12" ht="27">
      <c r="A75" s="318">
        <v>67</v>
      </c>
      <c r="B75" s="429" t="s">
        <v>714</v>
      </c>
      <c r="C75" s="409" t="s">
        <v>522</v>
      </c>
      <c r="D75" s="430">
        <v>20000</v>
      </c>
      <c r="E75" s="397" t="s">
        <v>721</v>
      </c>
      <c r="F75" s="397" t="s">
        <v>722</v>
      </c>
      <c r="G75" s="397" t="s">
        <v>723</v>
      </c>
      <c r="H75" s="397" t="s">
        <v>526</v>
      </c>
      <c r="I75" s="400"/>
      <c r="J75" s="412"/>
      <c r="K75" s="312"/>
      <c r="L75" s="311"/>
    </row>
    <row r="76" spans="1:12" ht="27">
      <c r="A76" s="318">
        <v>68</v>
      </c>
      <c r="B76" s="429" t="s">
        <v>714</v>
      </c>
      <c r="C76" s="409" t="s">
        <v>522</v>
      </c>
      <c r="D76" s="430">
        <v>15000</v>
      </c>
      <c r="E76" s="397" t="s">
        <v>724</v>
      </c>
      <c r="F76" s="397" t="s">
        <v>725</v>
      </c>
      <c r="G76" s="397" t="s">
        <v>726</v>
      </c>
      <c r="H76" s="397" t="s">
        <v>526</v>
      </c>
      <c r="I76" s="400"/>
      <c r="J76" s="412"/>
      <c r="K76" s="312"/>
      <c r="L76" s="311"/>
    </row>
    <row r="77" spans="1:12" ht="27">
      <c r="A77" s="318">
        <v>69</v>
      </c>
      <c r="B77" s="429" t="s">
        <v>714</v>
      </c>
      <c r="C77" s="409" t="s">
        <v>522</v>
      </c>
      <c r="D77" s="430">
        <v>6000</v>
      </c>
      <c r="E77" s="397" t="s">
        <v>727</v>
      </c>
      <c r="F77" s="397" t="s">
        <v>728</v>
      </c>
      <c r="G77" s="397" t="s">
        <v>729</v>
      </c>
      <c r="H77" s="397" t="s">
        <v>526</v>
      </c>
      <c r="I77" s="400"/>
      <c r="J77" s="412"/>
      <c r="K77" s="312"/>
      <c r="L77" s="311"/>
    </row>
    <row r="78" spans="1:12" ht="27">
      <c r="A78" s="318">
        <v>70</v>
      </c>
      <c r="B78" s="429" t="s">
        <v>714</v>
      </c>
      <c r="C78" s="409" t="s">
        <v>522</v>
      </c>
      <c r="D78" s="430">
        <v>6000</v>
      </c>
      <c r="E78" s="397" t="s">
        <v>730</v>
      </c>
      <c r="F78" s="397" t="s">
        <v>731</v>
      </c>
      <c r="G78" s="397" t="s">
        <v>732</v>
      </c>
      <c r="H78" s="397" t="s">
        <v>526</v>
      </c>
      <c r="I78" s="400"/>
      <c r="J78" s="412"/>
      <c r="K78" s="312"/>
      <c r="L78" s="311"/>
    </row>
    <row r="79" spans="1:12" ht="27">
      <c r="A79" s="318">
        <v>71</v>
      </c>
      <c r="B79" s="429" t="s">
        <v>714</v>
      </c>
      <c r="C79" s="409" t="s">
        <v>522</v>
      </c>
      <c r="D79" s="430">
        <v>10000</v>
      </c>
      <c r="E79" s="397" t="s">
        <v>733</v>
      </c>
      <c r="F79" s="397" t="s">
        <v>734</v>
      </c>
      <c r="G79" s="397" t="s">
        <v>735</v>
      </c>
      <c r="H79" s="397" t="s">
        <v>526</v>
      </c>
      <c r="I79" s="400"/>
      <c r="J79" s="412"/>
      <c r="K79" s="312"/>
      <c r="L79" s="311"/>
    </row>
    <row r="80" spans="1:12" ht="27">
      <c r="A80" s="318">
        <v>72</v>
      </c>
      <c r="B80" s="429" t="s">
        <v>714</v>
      </c>
      <c r="C80" s="409" t="s">
        <v>522</v>
      </c>
      <c r="D80" s="430">
        <v>10000</v>
      </c>
      <c r="E80" s="397" t="s">
        <v>736</v>
      </c>
      <c r="F80" s="397" t="s">
        <v>737</v>
      </c>
      <c r="G80" s="397" t="s">
        <v>738</v>
      </c>
      <c r="H80" s="397" t="s">
        <v>526</v>
      </c>
      <c r="I80" s="400"/>
      <c r="J80" s="412"/>
      <c r="K80" s="312"/>
      <c r="L80" s="311"/>
    </row>
    <row r="81" spans="1:12" ht="27">
      <c r="A81" s="318">
        <v>73</v>
      </c>
      <c r="B81" s="429" t="s">
        <v>714</v>
      </c>
      <c r="C81" s="409" t="s">
        <v>522</v>
      </c>
      <c r="D81" s="430">
        <v>15000</v>
      </c>
      <c r="E81" s="397" t="s">
        <v>739</v>
      </c>
      <c r="F81" s="397" t="s">
        <v>740</v>
      </c>
      <c r="G81" s="397" t="s">
        <v>741</v>
      </c>
      <c r="H81" s="397" t="s">
        <v>526</v>
      </c>
      <c r="I81" s="400"/>
      <c r="J81" s="412"/>
      <c r="K81" s="312"/>
      <c r="L81" s="311"/>
    </row>
    <row r="82" spans="1:12" ht="27">
      <c r="A82" s="318">
        <v>74</v>
      </c>
      <c r="B82" s="429" t="s">
        <v>714</v>
      </c>
      <c r="C82" s="409" t="s">
        <v>522</v>
      </c>
      <c r="D82" s="430">
        <v>7000</v>
      </c>
      <c r="E82" s="397" t="s">
        <v>742</v>
      </c>
      <c r="F82" s="397" t="s">
        <v>743</v>
      </c>
      <c r="G82" s="397" t="s">
        <v>744</v>
      </c>
      <c r="H82" s="397" t="s">
        <v>526</v>
      </c>
      <c r="I82" s="400"/>
      <c r="J82" s="412"/>
      <c r="K82" s="312"/>
      <c r="L82" s="311"/>
    </row>
    <row r="83" spans="1:12" ht="27">
      <c r="A83" s="318">
        <v>75</v>
      </c>
      <c r="B83" s="429" t="s">
        <v>714</v>
      </c>
      <c r="C83" s="409" t="s">
        <v>522</v>
      </c>
      <c r="D83" s="430">
        <v>20000</v>
      </c>
      <c r="E83" s="397" t="s">
        <v>745</v>
      </c>
      <c r="F83" s="397" t="s">
        <v>746</v>
      </c>
      <c r="G83" s="397" t="s">
        <v>747</v>
      </c>
      <c r="H83" s="397" t="s">
        <v>526</v>
      </c>
      <c r="I83" s="400"/>
      <c r="J83" s="412"/>
      <c r="K83" s="312"/>
      <c r="L83" s="311"/>
    </row>
    <row r="84" spans="1:12" ht="27">
      <c r="A84" s="318">
        <v>76</v>
      </c>
      <c r="B84" s="429" t="s">
        <v>714</v>
      </c>
      <c r="C84" s="409" t="s">
        <v>522</v>
      </c>
      <c r="D84" s="430">
        <v>10000</v>
      </c>
      <c r="E84" s="397" t="s">
        <v>748</v>
      </c>
      <c r="F84" s="397" t="s">
        <v>749</v>
      </c>
      <c r="G84" s="397" t="s">
        <v>750</v>
      </c>
      <c r="H84" s="397" t="s">
        <v>526</v>
      </c>
      <c r="I84" s="400"/>
      <c r="J84" s="412"/>
      <c r="K84" s="312"/>
      <c r="L84" s="311"/>
    </row>
    <row r="85" spans="1:12" ht="27">
      <c r="A85" s="318">
        <v>77</v>
      </c>
      <c r="B85" s="429" t="s">
        <v>714</v>
      </c>
      <c r="C85" s="409" t="s">
        <v>522</v>
      </c>
      <c r="D85" s="430">
        <v>15000</v>
      </c>
      <c r="E85" s="397" t="s">
        <v>751</v>
      </c>
      <c r="F85" s="397" t="s">
        <v>752</v>
      </c>
      <c r="G85" s="397" t="s">
        <v>753</v>
      </c>
      <c r="H85" s="397" t="s">
        <v>526</v>
      </c>
      <c r="I85" s="400"/>
      <c r="J85" s="412"/>
      <c r="K85" s="312"/>
      <c r="L85" s="311"/>
    </row>
    <row r="86" spans="1:12" ht="27">
      <c r="A86" s="318">
        <v>78</v>
      </c>
      <c r="B86" s="429" t="s">
        <v>714</v>
      </c>
      <c r="C86" s="409" t="s">
        <v>522</v>
      </c>
      <c r="D86" s="430">
        <v>10000</v>
      </c>
      <c r="E86" s="397" t="s">
        <v>754</v>
      </c>
      <c r="F86" s="397" t="s">
        <v>755</v>
      </c>
      <c r="G86" s="397" t="s">
        <v>756</v>
      </c>
      <c r="H86" s="397" t="s">
        <v>526</v>
      </c>
      <c r="I86" s="400"/>
      <c r="J86" s="412"/>
      <c r="K86" s="312"/>
      <c r="L86" s="311"/>
    </row>
    <row r="87" spans="1:12" ht="27">
      <c r="A87" s="318">
        <v>79</v>
      </c>
      <c r="B87" s="429" t="s">
        <v>714</v>
      </c>
      <c r="C87" s="409" t="s">
        <v>522</v>
      </c>
      <c r="D87" s="430">
        <v>20000</v>
      </c>
      <c r="E87" s="397" t="s">
        <v>757</v>
      </c>
      <c r="F87" s="397" t="s">
        <v>758</v>
      </c>
      <c r="G87" s="397" t="s">
        <v>759</v>
      </c>
      <c r="H87" s="397" t="s">
        <v>526</v>
      </c>
      <c r="I87" s="400"/>
      <c r="J87" s="412"/>
      <c r="K87" s="312"/>
      <c r="L87" s="311"/>
    </row>
    <row r="88" spans="1:12" ht="27">
      <c r="A88" s="318">
        <v>80</v>
      </c>
      <c r="B88" s="429" t="s">
        <v>714</v>
      </c>
      <c r="C88" s="409" t="s">
        <v>522</v>
      </c>
      <c r="D88" s="430">
        <v>10000</v>
      </c>
      <c r="E88" s="397" t="s">
        <v>760</v>
      </c>
      <c r="F88" s="397" t="s">
        <v>761</v>
      </c>
      <c r="G88" s="397" t="s">
        <v>762</v>
      </c>
      <c r="H88" s="397" t="s">
        <v>526</v>
      </c>
      <c r="I88" s="400"/>
      <c r="J88" s="412"/>
      <c r="K88" s="312"/>
      <c r="L88" s="311"/>
    </row>
    <row r="89" spans="1:12" ht="27">
      <c r="A89" s="318">
        <v>81</v>
      </c>
      <c r="B89" s="429" t="s">
        <v>714</v>
      </c>
      <c r="C89" s="409" t="s">
        <v>522</v>
      </c>
      <c r="D89" s="430">
        <v>21300</v>
      </c>
      <c r="E89" s="397" t="s">
        <v>763</v>
      </c>
      <c r="F89" s="397" t="s">
        <v>764</v>
      </c>
      <c r="G89" s="397" t="s">
        <v>765</v>
      </c>
      <c r="H89" s="397" t="s">
        <v>526</v>
      </c>
      <c r="I89" s="400"/>
      <c r="J89" s="412"/>
      <c r="K89" s="312"/>
      <c r="L89" s="311"/>
    </row>
    <row r="90" spans="1:12" ht="27">
      <c r="A90" s="318">
        <v>82</v>
      </c>
      <c r="B90" s="429" t="s">
        <v>714</v>
      </c>
      <c r="C90" s="409" t="s">
        <v>522</v>
      </c>
      <c r="D90" s="430">
        <v>21300</v>
      </c>
      <c r="E90" s="397" t="s">
        <v>766</v>
      </c>
      <c r="F90" s="397" t="s">
        <v>767</v>
      </c>
      <c r="G90" s="397" t="s">
        <v>768</v>
      </c>
      <c r="H90" s="397" t="s">
        <v>526</v>
      </c>
      <c r="I90" s="400"/>
      <c r="J90" s="412"/>
      <c r="K90" s="312"/>
      <c r="L90" s="311"/>
    </row>
    <row r="91" spans="1:12" ht="27">
      <c r="A91" s="318">
        <v>83</v>
      </c>
      <c r="B91" s="427" t="s">
        <v>769</v>
      </c>
      <c r="C91" s="409" t="s">
        <v>522</v>
      </c>
      <c r="D91" s="430">
        <v>58000</v>
      </c>
      <c r="E91" s="397" t="s">
        <v>770</v>
      </c>
      <c r="F91" s="397" t="s">
        <v>771</v>
      </c>
      <c r="G91" s="397" t="s">
        <v>772</v>
      </c>
      <c r="H91" s="397" t="s">
        <v>526</v>
      </c>
      <c r="I91" s="400"/>
      <c r="J91" s="412"/>
      <c r="K91" s="312"/>
      <c r="L91" s="311"/>
    </row>
    <row r="92" spans="1:12" ht="27">
      <c r="A92" s="318">
        <v>84</v>
      </c>
      <c r="B92" s="427" t="s">
        <v>769</v>
      </c>
      <c r="C92" s="409" t="s">
        <v>522</v>
      </c>
      <c r="D92" s="430">
        <v>21400</v>
      </c>
      <c r="E92" s="397" t="s">
        <v>773</v>
      </c>
      <c r="F92" s="397" t="s">
        <v>774</v>
      </c>
      <c r="G92" s="397" t="s">
        <v>775</v>
      </c>
      <c r="H92" s="397" t="s">
        <v>526</v>
      </c>
      <c r="I92" s="400"/>
      <c r="J92" s="412"/>
      <c r="K92" s="312"/>
      <c r="L92" s="311"/>
    </row>
    <row r="93" spans="1:12" ht="27">
      <c r="A93" s="318">
        <v>85</v>
      </c>
      <c r="B93" s="427" t="s">
        <v>776</v>
      </c>
      <c r="C93" s="409" t="s">
        <v>522</v>
      </c>
      <c r="D93" s="430">
        <v>20000</v>
      </c>
      <c r="E93" s="397" t="s">
        <v>777</v>
      </c>
      <c r="F93" s="397" t="s">
        <v>778</v>
      </c>
      <c r="G93" s="397" t="s">
        <v>779</v>
      </c>
      <c r="H93" s="397" t="s">
        <v>526</v>
      </c>
      <c r="I93" s="400"/>
      <c r="J93" s="412"/>
      <c r="K93" s="312"/>
      <c r="L93" s="311"/>
    </row>
    <row r="94" spans="1:12" ht="27">
      <c r="A94" s="318">
        <v>86</v>
      </c>
      <c r="B94" s="427" t="s">
        <v>776</v>
      </c>
      <c r="C94" s="409" t="s">
        <v>522</v>
      </c>
      <c r="D94" s="430">
        <v>21400</v>
      </c>
      <c r="E94" s="397" t="s">
        <v>780</v>
      </c>
      <c r="F94" s="397" t="s">
        <v>781</v>
      </c>
      <c r="G94" s="397" t="s">
        <v>782</v>
      </c>
      <c r="H94" s="397" t="s">
        <v>526</v>
      </c>
      <c r="I94" s="400"/>
      <c r="J94" s="412"/>
      <c r="K94" s="312"/>
      <c r="L94" s="311"/>
    </row>
    <row r="95" spans="1:12" ht="27">
      <c r="A95" s="318">
        <v>87</v>
      </c>
      <c r="B95" s="427" t="s">
        <v>776</v>
      </c>
      <c r="C95" s="409" t="s">
        <v>522</v>
      </c>
      <c r="D95" s="430">
        <v>21400</v>
      </c>
      <c r="E95" s="397" t="s">
        <v>783</v>
      </c>
      <c r="F95" s="397" t="s">
        <v>784</v>
      </c>
      <c r="G95" s="397" t="s">
        <v>785</v>
      </c>
      <c r="H95" s="397" t="s">
        <v>526</v>
      </c>
      <c r="I95" s="400"/>
      <c r="J95" s="412"/>
      <c r="K95" s="312"/>
      <c r="L95" s="311"/>
    </row>
    <row r="96" spans="1:12" ht="27">
      <c r="A96" s="318">
        <v>88</v>
      </c>
      <c r="B96" s="427" t="s">
        <v>776</v>
      </c>
      <c r="C96" s="409" t="s">
        <v>522</v>
      </c>
      <c r="D96" s="430">
        <v>7000</v>
      </c>
      <c r="E96" s="397" t="s">
        <v>786</v>
      </c>
      <c r="F96" s="397" t="s">
        <v>787</v>
      </c>
      <c r="G96" s="397" t="s">
        <v>788</v>
      </c>
      <c r="H96" s="397" t="s">
        <v>526</v>
      </c>
      <c r="I96" s="400"/>
      <c r="J96" s="412"/>
      <c r="K96" s="312"/>
      <c r="L96" s="311"/>
    </row>
    <row r="97" spans="1:12" ht="27">
      <c r="A97" s="318">
        <v>89</v>
      </c>
      <c r="B97" s="427" t="s">
        <v>776</v>
      </c>
      <c r="C97" s="409" t="s">
        <v>522</v>
      </c>
      <c r="D97" s="430">
        <v>5000</v>
      </c>
      <c r="E97" s="397" t="s">
        <v>789</v>
      </c>
      <c r="F97" s="397" t="s">
        <v>790</v>
      </c>
      <c r="G97" s="397" t="s">
        <v>791</v>
      </c>
      <c r="H97" s="397" t="s">
        <v>526</v>
      </c>
      <c r="I97" s="400"/>
      <c r="J97" s="412"/>
      <c r="K97" s="312"/>
      <c r="L97" s="311"/>
    </row>
    <row r="98" spans="1:12" ht="27">
      <c r="A98" s="318">
        <v>90</v>
      </c>
      <c r="B98" s="427" t="s">
        <v>776</v>
      </c>
      <c r="C98" s="409" t="s">
        <v>522</v>
      </c>
      <c r="D98" s="430">
        <v>15000</v>
      </c>
      <c r="E98" s="397" t="s">
        <v>792</v>
      </c>
      <c r="F98" s="397" t="s">
        <v>793</v>
      </c>
      <c r="G98" s="397" t="s">
        <v>794</v>
      </c>
      <c r="H98" s="397" t="s">
        <v>526</v>
      </c>
      <c r="I98" s="400"/>
      <c r="J98" s="412"/>
      <c r="K98" s="312"/>
      <c r="L98" s="311"/>
    </row>
    <row r="99" spans="1:12" ht="27">
      <c r="A99" s="318">
        <v>91</v>
      </c>
      <c r="B99" s="427" t="s">
        <v>776</v>
      </c>
      <c r="C99" s="409" t="s">
        <v>522</v>
      </c>
      <c r="D99" s="430">
        <v>15000</v>
      </c>
      <c r="E99" s="397" t="s">
        <v>795</v>
      </c>
      <c r="F99" s="397" t="s">
        <v>796</v>
      </c>
      <c r="G99" s="397" t="s">
        <v>797</v>
      </c>
      <c r="H99" s="397" t="s">
        <v>526</v>
      </c>
      <c r="I99" s="400"/>
      <c r="J99" s="412"/>
      <c r="K99" s="312"/>
      <c r="L99" s="311"/>
    </row>
    <row r="100" spans="1:12" ht="27">
      <c r="A100" s="318">
        <v>92</v>
      </c>
      <c r="B100" s="427" t="s">
        <v>776</v>
      </c>
      <c r="C100" s="409" t="s">
        <v>522</v>
      </c>
      <c r="D100" s="431">
        <v>17000</v>
      </c>
      <c r="E100" s="397" t="s">
        <v>798</v>
      </c>
      <c r="F100" s="397" t="s">
        <v>799</v>
      </c>
      <c r="G100" s="397" t="s">
        <v>800</v>
      </c>
      <c r="H100" s="397" t="s">
        <v>526</v>
      </c>
      <c r="I100" s="400"/>
      <c r="J100" s="412"/>
      <c r="K100" s="312"/>
      <c r="L100" s="311"/>
    </row>
    <row r="101" spans="1:12" ht="27">
      <c r="A101" s="318">
        <v>93</v>
      </c>
      <c r="B101" s="427" t="s">
        <v>776</v>
      </c>
      <c r="C101" s="409" t="s">
        <v>522</v>
      </c>
      <c r="D101" s="430">
        <v>10500</v>
      </c>
      <c r="E101" s="397" t="s">
        <v>801</v>
      </c>
      <c r="F101" s="397" t="s">
        <v>802</v>
      </c>
      <c r="G101" s="397" t="s">
        <v>803</v>
      </c>
      <c r="H101" s="397" t="s">
        <v>526</v>
      </c>
      <c r="I101" s="400"/>
      <c r="J101" s="412"/>
      <c r="K101" s="312"/>
      <c r="L101" s="311"/>
    </row>
    <row r="102" spans="1:12" ht="27">
      <c r="A102" s="318">
        <v>94</v>
      </c>
      <c r="B102" s="427" t="s">
        <v>776</v>
      </c>
      <c r="C102" s="409" t="s">
        <v>522</v>
      </c>
      <c r="D102" s="430">
        <v>15000</v>
      </c>
      <c r="E102" s="397" t="s">
        <v>804</v>
      </c>
      <c r="F102" s="397" t="s">
        <v>805</v>
      </c>
      <c r="G102" s="397" t="s">
        <v>806</v>
      </c>
      <c r="H102" s="397" t="s">
        <v>526</v>
      </c>
      <c r="I102" s="400"/>
      <c r="J102" s="412"/>
      <c r="K102" s="312"/>
      <c r="L102" s="311"/>
    </row>
    <row r="103" spans="1:12" ht="27">
      <c r="A103" s="318">
        <v>95</v>
      </c>
      <c r="B103" s="427" t="s">
        <v>776</v>
      </c>
      <c r="C103" s="409" t="s">
        <v>522</v>
      </c>
      <c r="D103" s="430">
        <v>11000</v>
      </c>
      <c r="E103" s="397" t="s">
        <v>807</v>
      </c>
      <c r="F103" s="397" t="s">
        <v>808</v>
      </c>
      <c r="G103" s="397" t="s">
        <v>809</v>
      </c>
      <c r="H103" s="397" t="s">
        <v>526</v>
      </c>
      <c r="I103" s="400"/>
      <c r="J103" s="412"/>
      <c r="K103" s="312"/>
      <c r="L103" s="311"/>
    </row>
    <row r="104" spans="1:12" ht="27">
      <c r="A104" s="318">
        <v>96</v>
      </c>
      <c r="B104" s="427" t="s">
        <v>776</v>
      </c>
      <c r="C104" s="409" t="s">
        <v>522</v>
      </c>
      <c r="D104" s="430">
        <v>15000</v>
      </c>
      <c r="E104" s="397" t="s">
        <v>810</v>
      </c>
      <c r="F104" s="397" t="s">
        <v>811</v>
      </c>
      <c r="G104" s="397" t="s">
        <v>812</v>
      </c>
      <c r="H104" s="397" t="s">
        <v>526</v>
      </c>
      <c r="I104" s="400"/>
      <c r="J104" s="412"/>
      <c r="K104" s="312"/>
      <c r="L104" s="311"/>
    </row>
    <row r="105" spans="1:12" ht="27">
      <c r="A105" s="318">
        <v>97</v>
      </c>
      <c r="B105" s="427" t="s">
        <v>776</v>
      </c>
      <c r="C105" s="409" t="s">
        <v>522</v>
      </c>
      <c r="D105" s="430">
        <v>10000</v>
      </c>
      <c r="E105" s="397" t="s">
        <v>813</v>
      </c>
      <c r="F105" s="397" t="s">
        <v>814</v>
      </c>
      <c r="G105" s="397" t="s">
        <v>815</v>
      </c>
      <c r="H105" s="397" t="s">
        <v>526</v>
      </c>
      <c r="I105" s="400"/>
      <c r="J105" s="412"/>
      <c r="K105" s="312"/>
      <c r="L105" s="311"/>
    </row>
    <row r="106" spans="1:12" ht="27">
      <c r="A106" s="318">
        <v>98</v>
      </c>
      <c r="B106" s="427" t="s">
        <v>776</v>
      </c>
      <c r="C106" s="409" t="s">
        <v>522</v>
      </c>
      <c r="D106" s="430">
        <v>15000</v>
      </c>
      <c r="E106" s="397" t="s">
        <v>816</v>
      </c>
      <c r="F106" s="397" t="s">
        <v>817</v>
      </c>
      <c r="G106" s="397" t="s">
        <v>818</v>
      </c>
      <c r="H106" s="397" t="s">
        <v>526</v>
      </c>
      <c r="I106" s="400"/>
      <c r="J106" s="412"/>
      <c r="K106" s="312"/>
      <c r="L106" s="311"/>
    </row>
    <row r="107" spans="1:12" ht="27">
      <c r="A107" s="318">
        <v>99</v>
      </c>
      <c r="B107" s="427" t="s">
        <v>776</v>
      </c>
      <c r="C107" s="409" t="s">
        <v>522</v>
      </c>
      <c r="D107" s="430">
        <v>10000</v>
      </c>
      <c r="E107" s="397" t="s">
        <v>819</v>
      </c>
      <c r="F107" s="397" t="s">
        <v>820</v>
      </c>
      <c r="G107" s="397" t="s">
        <v>821</v>
      </c>
      <c r="H107" s="397" t="s">
        <v>526</v>
      </c>
      <c r="I107" s="400"/>
      <c r="J107" s="412"/>
      <c r="K107" s="312"/>
      <c r="L107" s="311"/>
    </row>
    <row r="108" spans="1:12" ht="27">
      <c r="A108" s="318">
        <v>100</v>
      </c>
      <c r="B108" s="427" t="s">
        <v>822</v>
      </c>
      <c r="C108" s="409" t="s">
        <v>522</v>
      </c>
      <c r="D108" s="430">
        <v>5000</v>
      </c>
      <c r="E108" s="397" t="s">
        <v>823</v>
      </c>
      <c r="F108" s="397" t="s">
        <v>824</v>
      </c>
      <c r="G108" s="397" t="s">
        <v>825</v>
      </c>
      <c r="H108" s="397" t="s">
        <v>526</v>
      </c>
      <c r="I108" s="400"/>
      <c r="J108" s="412"/>
      <c r="K108" s="312"/>
      <c r="L108" s="311"/>
    </row>
    <row r="109" spans="1:12" ht="27">
      <c r="A109" s="318">
        <v>101</v>
      </c>
      <c r="B109" s="427" t="s">
        <v>822</v>
      </c>
      <c r="C109" s="409" t="s">
        <v>522</v>
      </c>
      <c r="D109" s="430">
        <v>55000</v>
      </c>
      <c r="E109" s="397" t="s">
        <v>826</v>
      </c>
      <c r="F109" s="397" t="s">
        <v>827</v>
      </c>
      <c r="G109" s="397" t="s">
        <v>828</v>
      </c>
      <c r="H109" s="397" t="s">
        <v>526</v>
      </c>
      <c r="I109" s="400"/>
      <c r="J109" s="412"/>
      <c r="K109" s="312"/>
      <c r="L109" s="311"/>
    </row>
    <row r="110" spans="1:12" ht="27">
      <c r="A110" s="318">
        <v>102</v>
      </c>
      <c r="B110" s="427" t="s">
        <v>822</v>
      </c>
      <c r="C110" s="409" t="s">
        <v>522</v>
      </c>
      <c r="D110" s="430">
        <v>45000</v>
      </c>
      <c r="E110" s="397" t="s">
        <v>829</v>
      </c>
      <c r="F110" s="397" t="s">
        <v>830</v>
      </c>
      <c r="G110" s="397" t="s">
        <v>831</v>
      </c>
      <c r="H110" s="397" t="s">
        <v>526</v>
      </c>
      <c r="I110" s="400"/>
      <c r="J110" s="412"/>
      <c r="K110" s="312"/>
      <c r="L110" s="311"/>
    </row>
    <row r="111" spans="1:12" ht="27">
      <c r="A111" s="318">
        <v>103</v>
      </c>
      <c r="B111" s="427" t="s">
        <v>822</v>
      </c>
      <c r="C111" s="409" t="s">
        <v>522</v>
      </c>
      <c r="D111" s="430">
        <v>10000</v>
      </c>
      <c r="E111" s="397" t="s">
        <v>832</v>
      </c>
      <c r="F111" s="397" t="s">
        <v>833</v>
      </c>
      <c r="G111" s="397" t="s">
        <v>834</v>
      </c>
      <c r="H111" s="397" t="s">
        <v>526</v>
      </c>
      <c r="I111" s="400"/>
      <c r="J111" s="412"/>
      <c r="K111" s="312"/>
      <c r="L111" s="311"/>
    </row>
    <row r="112" spans="1:12" ht="27">
      <c r="A112" s="318">
        <v>104</v>
      </c>
      <c r="B112" s="427" t="s">
        <v>822</v>
      </c>
      <c r="C112" s="409" t="s">
        <v>522</v>
      </c>
      <c r="D112" s="430">
        <v>27000</v>
      </c>
      <c r="E112" s="397" t="s">
        <v>835</v>
      </c>
      <c r="F112" s="397" t="s">
        <v>836</v>
      </c>
      <c r="G112" s="397" t="s">
        <v>837</v>
      </c>
      <c r="H112" s="397" t="s">
        <v>526</v>
      </c>
      <c r="I112" s="400"/>
      <c r="J112" s="412"/>
      <c r="K112" s="312"/>
      <c r="L112" s="311"/>
    </row>
    <row r="113" spans="1:12" ht="27">
      <c r="A113" s="318">
        <v>105</v>
      </c>
      <c r="B113" s="427" t="s">
        <v>822</v>
      </c>
      <c r="C113" s="409" t="s">
        <v>522</v>
      </c>
      <c r="D113" s="430">
        <v>25000</v>
      </c>
      <c r="E113" s="397" t="s">
        <v>838</v>
      </c>
      <c r="F113" s="397" t="s">
        <v>839</v>
      </c>
      <c r="G113" s="397" t="s">
        <v>840</v>
      </c>
      <c r="H113" s="397" t="s">
        <v>526</v>
      </c>
      <c r="I113" s="400"/>
      <c r="J113" s="412"/>
      <c r="K113" s="312"/>
      <c r="L113" s="311"/>
    </row>
    <row r="114" spans="1:12" ht="27">
      <c r="A114" s="318">
        <v>106</v>
      </c>
      <c r="B114" s="428" t="s">
        <v>822</v>
      </c>
      <c r="C114" s="409" t="s">
        <v>522</v>
      </c>
      <c r="D114" s="430">
        <v>5000</v>
      </c>
      <c r="E114" s="397" t="s">
        <v>841</v>
      </c>
      <c r="F114" s="397" t="s">
        <v>842</v>
      </c>
      <c r="G114" s="397" t="s">
        <v>843</v>
      </c>
      <c r="H114" s="397" t="s">
        <v>526</v>
      </c>
      <c r="I114" s="400"/>
      <c r="J114" s="412"/>
      <c r="K114" s="312"/>
      <c r="L114" s="311"/>
    </row>
    <row r="115" spans="1:12" ht="27">
      <c r="A115" s="318">
        <v>107</v>
      </c>
      <c r="B115" s="429" t="s">
        <v>844</v>
      </c>
      <c r="C115" s="409" t="s">
        <v>522</v>
      </c>
      <c r="D115" s="430">
        <v>21400</v>
      </c>
      <c r="E115" s="397" t="s">
        <v>845</v>
      </c>
      <c r="F115" s="397" t="s">
        <v>846</v>
      </c>
      <c r="G115" s="397" t="s">
        <v>847</v>
      </c>
      <c r="H115" s="397" t="s">
        <v>526</v>
      </c>
      <c r="I115" s="424"/>
      <c r="J115" s="412"/>
      <c r="K115" s="312"/>
      <c r="L115" s="311"/>
    </row>
    <row r="116" spans="1:12" ht="27">
      <c r="A116" s="318">
        <v>108</v>
      </c>
      <c r="B116" s="429" t="s">
        <v>844</v>
      </c>
      <c r="C116" s="409" t="s">
        <v>522</v>
      </c>
      <c r="D116" s="430">
        <v>10600</v>
      </c>
      <c r="E116" s="397" t="s">
        <v>848</v>
      </c>
      <c r="F116" s="397" t="s">
        <v>849</v>
      </c>
      <c r="G116" s="397" t="s">
        <v>850</v>
      </c>
      <c r="H116" s="397" t="s">
        <v>526</v>
      </c>
      <c r="I116" s="424"/>
      <c r="J116" s="412"/>
      <c r="K116" s="312"/>
      <c r="L116" s="311"/>
    </row>
    <row r="117" spans="1:12" ht="27">
      <c r="A117" s="318">
        <v>109</v>
      </c>
      <c r="B117" s="429" t="s">
        <v>851</v>
      </c>
      <c r="C117" s="409" t="s">
        <v>522</v>
      </c>
      <c r="D117" s="430">
        <v>20000</v>
      </c>
      <c r="E117" s="397" t="s">
        <v>852</v>
      </c>
      <c r="F117" s="397" t="s">
        <v>853</v>
      </c>
      <c r="G117" s="397" t="s">
        <v>854</v>
      </c>
      <c r="H117" s="397" t="s">
        <v>526</v>
      </c>
      <c r="I117" s="424"/>
      <c r="J117" s="412"/>
      <c r="K117" s="312"/>
      <c r="L117" s="311"/>
    </row>
    <row r="118" spans="1:12" ht="27">
      <c r="A118" s="318">
        <v>110</v>
      </c>
      <c r="B118" s="429" t="s">
        <v>851</v>
      </c>
      <c r="C118" s="409" t="s">
        <v>522</v>
      </c>
      <c r="D118" s="430">
        <v>50000</v>
      </c>
      <c r="E118" s="397" t="s">
        <v>855</v>
      </c>
      <c r="F118" s="397" t="s">
        <v>856</v>
      </c>
      <c r="G118" s="397" t="s">
        <v>857</v>
      </c>
      <c r="H118" s="397" t="s">
        <v>526</v>
      </c>
      <c r="I118" s="424"/>
      <c r="J118" s="412"/>
      <c r="K118" s="312"/>
      <c r="L118" s="311"/>
    </row>
    <row r="119" spans="1:12" ht="27">
      <c r="A119" s="318">
        <v>111</v>
      </c>
      <c r="B119" s="429" t="s">
        <v>851</v>
      </c>
      <c r="C119" s="409" t="s">
        <v>522</v>
      </c>
      <c r="D119" s="430">
        <v>20000</v>
      </c>
      <c r="E119" s="397" t="s">
        <v>858</v>
      </c>
      <c r="F119" s="397" t="s">
        <v>859</v>
      </c>
      <c r="G119" s="397" t="s">
        <v>860</v>
      </c>
      <c r="H119" s="397" t="s">
        <v>526</v>
      </c>
      <c r="I119" s="424"/>
      <c r="J119" s="412"/>
      <c r="K119" s="312"/>
      <c r="L119" s="311"/>
    </row>
    <row r="120" spans="1:12" ht="27">
      <c r="A120" s="318">
        <v>112</v>
      </c>
      <c r="B120" s="429" t="s">
        <v>851</v>
      </c>
      <c r="C120" s="409" t="s">
        <v>522</v>
      </c>
      <c r="D120" s="430">
        <v>20000</v>
      </c>
      <c r="E120" s="397" t="s">
        <v>861</v>
      </c>
      <c r="F120" s="397" t="s">
        <v>862</v>
      </c>
      <c r="G120" s="397" t="s">
        <v>863</v>
      </c>
      <c r="H120" s="397" t="s">
        <v>526</v>
      </c>
      <c r="I120" s="424"/>
      <c r="J120" s="412"/>
      <c r="K120" s="312"/>
      <c r="L120" s="311"/>
    </row>
    <row r="121" spans="1:12" ht="27">
      <c r="A121" s="318">
        <v>113</v>
      </c>
      <c r="B121" s="432" t="s">
        <v>864</v>
      </c>
      <c r="C121" s="433" t="s">
        <v>522</v>
      </c>
      <c r="D121" s="454">
        <v>10000</v>
      </c>
      <c r="E121" s="432" t="s">
        <v>865</v>
      </c>
      <c r="F121" s="432" t="s">
        <v>866</v>
      </c>
      <c r="G121" s="432" t="s">
        <v>867</v>
      </c>
      <c r="H121" s="432" t="s">
        <v>526</v>
      </c>
      <c r="I121" s="435"/>
      <c r="J121" s="436"/>
      <c r="K121" s="437"/>
      <c r="L121" s="311"/>
    </row>
    <row r="122" spans="1:12" ht="27">
      <c r="A122" s="318">
        <v>114</v>
      </c>
      <c r="B122" s="432" t="s">
        <v>864</v>
      </c>
      <c r="C122" s="433" t="s">
        <v>522</v>
      </c>
      <c r="D122" s="454">
        <v>10000</v>
      </c>
      <c r="E122" s="432" t="s">
        <v>868</v>
      </c>
      <c r="F122" s="432" t="s">
        <v>869</v>
      </c>
      <c r="G122" s="432" t="s">
        <v>870</v>
      </c>
      <c r="H122" s="432" t="s">
        <v>526</v>
      </c>
      <c r="I122" s="435"/>
      <c r="J122" s="436"/>
      <c r="K122" s="437"/>
      <c r="L122" s="311"/>
    </row>
    <row r="123" spans="1:12" ht="27">
      <c r="A123" s="318">
        <v>115</v>
      </c>
      <c r="B123" s="432" t="s">
        <v>864</v>
      </c>
      <c r="C123" s="433" t="s">
        <v>522</v>
      </c>
      <c r="D123" s="454">
        <v>15000</v>
      </c>
      <c r="E123" s="432" t="s">
        <v>871</v>
      </c>
      <c r="F123" s="432" t="s">
        <v>872</v>
      </c>
      <c r="G123" s="432" t="s">
        <v>873</v>
      </c>
      <c r="H123" s="432" t="s">
        <v>526</v>
      </c>
      <c r="I123" s="435"/>
      <c r="J123" s="436"/>
      <c r="K123" s="437"/>
      <c r="L123" s="311"/>
    </row>
    <row r="124" spans="1:12" ht="27">
      <c r="A124" s="318">
        <v>116</v>
      </c>
      <c r="B124" s="432" t="s">
        <v>864</v>
      </c>
      <c r="C124" s="433" t="s">
        <v>522</v>
      </c>
      <c r="D124" s="454">
        <v>15000</v>
      </c>
      <c r="E124" s="432" t="s">
        <v>874</v>
      </c>
      <c r="F124" s="432" t="s">
        <v>875</v>
      </c>
      <c r="G124" s="432" t="s">
        <v>876</v>
      </c>
      <c r="H124" s="432" t="s">
        <v>526</v>
      </c>
      <c r="I124" s="435"/>
      <c r="J124" s="436"/>
      <c r="K124" s="437"/>
      <c r="L124" s="311"/>
    </row>
    <row r="125" spans="1:12" ht="27">
      <c r="A125" s="318">
        <v>117</v>
      </c>
      <c r="B125" s="432" t="s">
        <v>864</v>
      </c>
      <c r="C125" s="433" t="s">
        <v>522</v>
      </c>
      <c r="D125" s="454">
        <v>21100</v>
      </c>
      <c r="E125" s="432" t="s">
        <v>877</v>
      </c>
      <c r="F125" s="432" t="s">
        <v>878</v>
      </c>
      <c r="G125" s="432" t="s">
        <v>879</v>
      </c>
      <c r="H125" s="432" t="s">
        <v>526</v>
      </c>
      <c r="I125" s="435"/>
      <c r="J125" s="436"/>
      <c r="K125" s="437"/>
      <c r="L125" s="311"/>
    </row>
    <row r="126" spans="1:12" ht="27">
      <c r="A126" s="318">
        <v>118</v>
      </c>
      <c r="B126" s="432" t="s">
        <v>864</v>
      </c>
      <c r="C126" s="433" t="s">
        <v>522</v>
      </c>
      <c r="D126" s="454">
        <v>21100</v>
      </c>
      <c r="E126" s="432" t="s">
        <v>880</v>
      </c>
      <c r="F126" s="432" t="s">
        <v>881</v>
      </c>
      <c r="G126" s="432" t="s">
        <v>882</v>
      </c>
      <c r="H126" s="432" t="s">
        <v>526</v>
      </c>
      <c r="I126" s="435"/>
      <c r="J126" s="436"/>
      <c r="K126" s="437"/>
      <c r="L126" s="311"/>
    </row>
    <row r="127" spans="1:12" ht="27">
      <c r="A127" s="318">
        <v>119</v>
      </c>
      <c r="B127" s="432" t="s">
        <v>883</v>
      </c>
      <c r="C127" s="433" t="s">
        <v>522</v>
      </c>
      <c r="D127" s="454">
        <v>21100</v>
      </c>
      <c r="E127" s="432" t="s">
        <v>884</v>
      </c>
      <c r="F127" s="432" t="s">
        <v>885</v>
      </c>
      <c r="G127" s="432" t="s">
        <v>886</v>
      </c>
      <c r="H127" s="432" t="s">
        <v>526</v>
      </c>
      <c r="I127" s="435"/>
      <c r="J127" s="436"/>
      <c r="K127" s="437"/>
      <c r="L127" s="311"/>
    </row>
    <row r="128" spans="1:12" ht="27">
      <c r="A128" s="318">
        <v>120</v>
      </c>
      <c r="B128" s="432" t="s">
        <v>883</v>
      </c>
      <c r="C128" s="433" t="s">
        <v>522</v>
      </c>
      <c r="D128" s="454">
        <v>21100</v>
      </c>
      <c r="E128" s="432" t="s">
        <v>887</v>
      </c>
      <c r="F128" s="432" t="s">
        <v>888</v>
      </c>
      <c r="G128" s="432" t="s">
        <v>889</v>
      </c>
      <c r="H128" s="432" t="s">
        <v>526</v>
      </c>
      <c r="I128" s="435"/>
      <c r="J128" s="436"/>
      <c r="K128" s="437"/>
      <c r="L128" s="311"/>
    </row>
    <row r="129" spans="1:12" ht="27">
      <c r="A129" s="318">
        <v>121</v>
      </c>
      <c r="B129" s="432" t="s">
        <v>890</v>
      </c>
      <c r="C129" s="433" t="s">
        <v>522</v>
      </c>
      <c r="D129" s="454">
        <v>5000</v>
      </c>
      <c r="E129" s="432" t="s">
        <v>891</v>
      </c>
      <c r="F129" s="432" t="s">
        <v>892</v>
      </c>
      <c r="G129" s="432" t="s">
        <v>893</v>
      </c>
      <c r="H129" s="432" t="s">
        <v>526</v>
      </c>
      <c r="I129" s="435"/>
      <c r="J129" s="436"/>
      <c r="K129" s="437"/>
      <c r="L129" s="311"/>
    </row>
    <row r="130" spans="1:12" ht="27">
      <c r="A130" s="318">
        <v>122</v>
      </c>
      <c r="B130" s="432" t="s">
        <v>890</v>
      </c>
      <c r="C130" s="433" t="s">
        <v>522</v>
      </c>
      <c r="D130" s="454">
        <v>10000</v>
      </c>
      <c r="E130" s="432" t="s">
        <v>894</v>
      </c>
      <c r="F130" s="432" t="s">
        <v>895</v>
      </c>
      <c r="G130" s="432" t="s">
        <v>896</v>
      </c>
      <c r="H130" s="432" t="s">
        <v>526</v>
      </c>
      <c r="I130" s="435"/>
      <c r="J130" s="436"/>
      <c r="K130" s="437"/>
      <c r="L130" s="311"/>
    </row>
    <row r="131" spans="1:12" ht="27">
      <c r="A131" s="318">
        <v>123</v>
      </c>
      <c r="B131" s="432" t="s">
        <v>890</v>
      </c>
      <c r="C131" s="433" t="s">
        <v>522</v>
      </c>
      <c r="D131" s="454">
        <v>5000</v>
      </c>
      <c r="E131" s="432" t="s">
        <v>897</v>
      </c>
      <c r="F131" s="432" t="s">
        <v>898</v>
      </c>
      <c r="G131" s="432" t="s">
        <v>899</v>
      </c>
      <c r="H131" s="432" t="s">
        <v>526</v>
      </c>
      <c r="I131" s="435"/>
      <c r="J131" s="436"/>
      <c r="K131" s="437"/>
      <c r="L131" s="311"/>
    </row>
    <row r="132" spans="1:12" ht="27">
      <c r="A132" s="318">
        <v>124</v>
      </c>
      <c r="B132" s="432" t="s">
        <v>890</v>
      </c>
      <c r="C132" s="433" t="s">
        <v>522</v>
      </c>
      <c r="D132" s="454">
        <v>5000</v>
      </c>
      <c r="E132" s="432" t="s">
        <v>900</v>
      </c>
      <c r="F132" s="432" t="s">
        <v>901</v>
      </c>
      <c r="G132" s="432" t="s">
        <v>902</v>
      </c>
      <c r="H132" s="432" t="s">
        <v>526</v>
      </c>
      <c r="I132" s="435"/>
      <c r="J132" s="436"/>
      <c r="K132" s="437"/>
      <c r="L132" s="311"/>
    </row>
    <row r="133" spans="1:12" ht="27">
      <c r="A133" s="318">
        <v>125</v>
      </c>
      <c r="B133" s="432" t="s">
        <v>890</v>
      </c>
      <c r="C133" s="433" t="s">
        <v>522</v>
      </c>
      <c r="D133" s="454">
        <v>10600</v>
      </c>
      <c r="E133" s="432" t="s">
        <v>903</v>
      </c>
      <c r="F133" s="432" t="s">
        <v>904</v>
      </c>
      <c r="G133" s="432" t="s">
        <v>905</v>
      </c>
      <c r="H133" s="432" t="s">
        <v>526</v>
      </c>
      <c r="I133" s="435"/>
      <c r="J133" s="436"/>
      <c r="K133" s="437"/>
      <c r="L133" s="311"/>
    </row>
    <row r="134" spans="1:12" ht="27">
      <c r="A134" s="318">
        <v>126</v>
      </c>
      <c r="B134" s="432" t="s">
        <v>890</v>
      </c>
      <c r="C134" s="433" t="s">
        <v>522</v>
      </c>
      <c r="D134" s="454">
        <v>12700</v>
      </c>
      <c r="E134" s="432" t="s">
        <v>906</v>
      </c>
      <c r="F134" s="432" t="s">
        <v>907</v>
      </c>
      <c r="G134" s="432" t="s">
        <v>908</v>
      </c>
      <c r="H134" s="432" t="s">
        <v>526</v>
      </c>
      <c r="I134" s="435"/>
      <c r="J134" s="436"/>
      <c r="K134" s="437"/>
      <c r="L134" s="311"/>
    </row>
    <row r="135" spans="1:12" ht="27">
      <c r="A135" s="318">
        <v>127</v>
      </c>
      <c r="B135" s="438" t="s">
        <v>909</v>
      </c>
      <c r="C135" s="433" t="s">
        <v>231</v>
      </c>
      <c r="D135" s="454">
        <v>20</v>
      </c>
      <c r="E135" s="439" t="s">
        <v>558</v>
      </c>
      <c r="F135" s="432" t="s">
        <v>518</v>
      </c>
      <c r="G135" s="432" t="s">
        <v>519</v>
      </c>
      <c r="H135" s="432" t="s">
        <v>520</v>
      </c>
      <c r="I135" s="435"/>
      <c r="J135" s="436"/>
      <c r="K135" s="437"/>
      <c r="L135" s="311"/>
    </row>
    <row r="136" spans="1:12" ht="27">
      <c r="A136" s="318">
        <v>128</v>
      </c>
      <c r="B136" s="438" t="s">
        <v>909</v>
      </c>
      <c r="C136" s="433" t="s">
        <v>522</v>
      </c>
      <c r="D136" s="454">
        <v>21200</v>
      </c>
      <c r="E136" s="434" t="s">
        <v>910</v>
      </c>
      <c r="F136" s="432" t="s">
        <v>911</v>
      </c>
      <c r="G136" s="432" t="s">
        <v>912</v>
      </c>
      <c r="H136" s="432" t="s">
        <v>526</v>
      </c>
      <c r="I136" s="435"/>
      <c r="J136" s="436"/>
      <c r="K136" s="437"/>
      <c r="L136" s="311"/>
    </row>
    <row r="137" spans="1:12" ht="27">
      <c r="A137" s="318">
        <v>129</v>
      </c>
      <c r="B137" s="438" t="s">
        <v>909</v>
      </c>
      <c r="C137" s="433" t="s">
        <v>522</v>
      </c>
      <c r="D137" s="454">
        <v>15000</v>
      </c>
      <c r="E137" s="434" t="s">
        <v>913</v>
      </c>
      <c r="F137" s="432" t="s">
        <v>914</v>
      </c>
      <c r="G137" s="432" t="s">
        <v>915</v>
      </c>
      <c r="H137" s="432" t="s">
        <v>526</v>
      </c>
      <c r="I137" s="435"/>
      <c r="J137" s="436"/>
      <c r="K137" s="437"/>
      <c r="L137" s="311"/>
    </row>
    <row r="138" spans="1:12" ht="27">
      <c r="A138" s="318">
        <v>130</v>
      </c>
      <c r="B138" s="438" t="s">
        <v>909</v>
      </c>
      <c r="C138" s="433" t="s">
        <v>522</v>
      </c>
      <c r="D138" s="454">
        <v>25000</v>
      </c>
      <c r="E138" s="434" t="s">
        <v>916</v>
      </c>
      <c r="F138" s="432" t="s">
        <v>917</v>
      </c>
      <c r="G138" s="432" t="s">
        <v>918</v>
      </c>
      <c r="H138" s="432" t="s">
        <v>526</v>
      </c>
      <c r="I138" s="435"/>
      <c r="J138" s="436"/>
      <c r="K138" s="437"/>
      <c r="L138" s="311"/>
    </row>
    <row r="139" spans="1:12" ht="27">
      <c r="A139" s="318">
        <v>131</v>
      </c>
      <c r="B139" s="438" t="s">
        <v>909</v>
      </c>
      <c r="C139" s="433" t="s">
        <v>522</v>
      </c>
      <c r="D139" s="454">
        <v>20000</v>
      </c>
      <c r="E139" s="434" t="s">
        <v>919</v>
      </c>
      <c r="F139" s="432" t="s">
        <v>920</v>
      </c>
      <c r="G139" s="432" t="s">
        <v>921</v>
      </c>
      <c r="H139" s="432" t="s">
        <v>526</v>
      </c>
      <c r="I139" s="435"/>
      <c r="J139" s="436"/>
      <c r="K139" s="437"/>
      <c r="L139" s="311"/>
    </row>
    <row r="140" spans="1:12" ht="27">
      <c r="A140" s="318">
        <v>132</v>
      </c>
      <c r="B140" s="438" t="s">
        <v>909</v>
      </c>
      <c r="C140" s="433" t="s">
        <v>522</v>
      </c>
      <c r="D140" s="454">
        <v>10000</v>
      </c>
      <c r="E140" s="434" t="s">
        <v>922</v>
      </c>
      <c r="F140" s="432" t="s">
        <v>923</v>
      </c>
      <c r="G140" s="432" t="s">
        <v>924</v>
      </c>
      <c r="H140" s="432" t="s">
        <v>526</v>
      </c>
      <c r="I140" s="435"/>
      <c r="J140" s="436"/>
      <c r="K140" s="437"/>
      <c r="L140" s="311"/>
    </row>
    <row r="141" spans="1:12" ht="27">
      <c r="A141" s="318">
        <v>133</v>
      </c>
      <c r="B141" s="438" t="s">
        <v>909</v>
      </c>
      <c r="C141" s="433" t="s">
        <v>522</v>
      </c>
      <c r="D141" s="454">
        <v>20000</v>
      </c>
      <c r="E141" s="434" t="s">
        <v>925</v>
      </c>
      <c r="F141" s="432" t="s">
        <v>926</v>
      </c>
      <c r="G141" s="432" t="s">
        <v>927</v>
      </c>
      <c r="H141" s="432" t="s">
        <v>526</v>
      </c>
      <c r="I141" s="435"/>
      <c r="J141" s="436"/>
      <c r="K141" s="437"/>
      <c r="L141" s="311"/>
    </row>
    <row r="142" spans="1:12" ht="27">
      <c r="A142" s="318">
        <v>134</v>
      </c>
      <c r="B142" s="438" t="s">
        <v>909</v>
      </c>
      <c r="C142" s="433" t="s">
        <v>522</v>
      </c>
      <c r="D142" s="454">
        <v>15000</v>
      </c>
      <c r="E142" s="434" t="s">
        <v>928</v>
      </c>
      <c r="F142" s="432" t="s">
        <v>929</v>
      </c>
      <c r="G142" s="432" t="s">
        <v>930</v>
      </c>
      <c r="H142" s="432" t="s">
        <v>526</v>
      </c>
      <c r="I142" s="435"/>
      <c r="J142" s="436"/>
      <c r="K142" s="437"/>
      <c r="L142" s="311"/>
    </row>
    <row r="143" spans="1:12" ht="27">
      <c r="A143" s="318">
        <v>135</v>
      </c>
      <c r="B143" s="438" t="s">
        <v>909</v>
      </c>
      <c r="C143" s="433" t="s">
        <v>522</v>
      </c>
      <c r="D143" s="454">
        <v>20000</v>
      </c>
      <c r="E143" s="434" t="s">
        <v>931</v>
      </c>
      <c r="F143" s="432" t="s">
        <v>932</v>
      </c>
      <c r="G143" s="432" t="s">
        <v>933</v>
      </c>
      <c r="H143" s="432" t="s">
        <v>526</v>
      </c>
      <c r="I143" s="435"/>
      <c r="J143" s="436"/>
      <c r="K143" s="437"/>
      <c r="L143" s="311"/>
    </row>
    <row r="144" spans="1:12" ht="27">
      <c r="A144" s="318">
        <v>136</v>
      </c>
      <c r="B144" s="438" t="s">
        <v>909</v>
      </c>
      <c r="C144" s="433" t="s">
        <v>522</v>
      </c>
      <c r="D144" s="454">
        <v>15000</v>
      </c>
      <c r="E144" s="434" t="s">
        <v>934</v>
      </c>
      <c r="F144" s="432" t="s">
        <v>935</v>
      </c>
      <c r="G144" s="432" t="s">
        <v>936</v>
      </c>
      <c r="H144" s="432" t="s">
        <v>526</v>
      </c>
      <c r="I144" s="435"/>
      <c r="J144" s="436"/>
      <c r="K144" s="437"/>
      <c r="L144" s="311"/>
    </row>
    <row r="145" spans="1:12" ht="27">
      <c r="A145" s="318">
        <v>137</v>
      </c>
      <c r="B145" s="432" t="s">
        <v>937</v>
      </c>
      <c r="C145" s="433" t="s">
        <v>522</v>
      </c>
      <c r="D145" s="454">
        <v>5000</v>
      </c>
      <c r="E145" s="434" t="s">
        <v>938</v>
      </c>
      <c r="F145" s="432" t="s">
        <v>939</v>
      </c>
      <c r="G145" s="432" t="s">
        <v>940</v>
      </c>
      <c r="H145" s="432" t="s">
        <v>526</v>
      </c>
      <c r="I145" s="435"/>
      <c r="J145" s="436"/>
      <c r="K145" s="437"/>
      <c r="L145" s="311"/>
    </row>
    <row r="146" spans="1:12" ht="27">
      <c r="A146" s="318">
        <v>138</v>
      </c>
      <c r="B146" s="432" t="s">
        <v>937</v>
      </c>
      <c r="C146" s="433" t="s">
        <v>522</v>
      </c>
      <c r="D146" s="454">
        <v>20000</v>
      </c>
      <c r="E146" s="434" t="s">
        <v>941</v>
      </c>
      <c r="F146" s="432" t="s">
        <v>942</v>
      </c>
      <c r="G146" s="432" t="s">
        <v>943</v>
      </c>
      <c r="H146" s="432" t="s">
        <v>526</v>
      </c>
      <c r="I146" s="435"/>
      <c r="J146" s="436"/>
      <c r="K146" s="437"/>
      <c r="L146" s="311"/>
    </row>
    <row r="147" spans="1:12" ht="27">
      <c r="A147" s="318">
        <v>139</v>
      </c>
      <c r="B147" s="432" t="s">
        <v>937</v>
      </c>
      <c r="C147" s="433" t="s">
        <v>522</v>
      </c>
      <c r="D147" s="454">
        <v>10000</v>
      </c>
      <c r="E147" s="434" t="s">
        <v>944</v>
      </c>
      <c r="F147" s="432" t="s">
        <v>945</v>
      </c>
      <c r="G147" s="432" t="s">
        <v>946</v>
      </c>
      <c r="H147" s="432" t="s">
        <v>526</v>
      </c>
      <c r="I147" s="435"/>
      <c r="J147" s="436"/>
      <c r="K147" s="437"/>
      <c r="L147" s="311"/>
    </row>
    <row r="148" spans="1:12" ht="27">
      <c r="A148" s="318">
        <v>140</v>
      </c>
      <c r="B148" s="432" t="s">
        <v>937</v>
      </c>
      <c r="C148" s="433" t="s">
        <v>522</v>
      </c>
      <c r="D148" s="454">
        <v>15000</v>
      </c>
      <c r="E148" s="434" t="s">
        <v>947</v>
      </c>
      <c r="F148" s="432" t="s">
        <v>948</v>
      </c>
      <c r="G148" s="432" t="s">
        <v>949</v>
      </c>
      <c r="H148" s="432" t="s">
        <v>526</v>
      </c>
      <c r="I148" s="435"/>
      <c r="J148" s="436"/>
      <c r="K148" s="437"/>
      <c r="L148" s="311"/>
    </row>
    <row r="149" spans="1:12" ht="27">
      <c r="A149" s="318">
        <v>141</v>
      </c>
      <c r="B149" s="432" t="s">
        <v>950</v>
      </c>
      <c r="C149" s="433" t="s">
        <v>522</v>
      </c>
      <c r="D149" s="454">
        <v>21500</v>
      </c>
      <c r="E149" s="440" t="s">
        <v>951</v>
      </c>
      <c r="F149" s="432" t="s">
        <v>952</v>
      </c>
      <c r="G149" s="432" t="s">
        <v>953</v>
      </c>
      <c r="H149" s="432" t="s">
        <v>526</v>
      </c>
      <c r="I149" s="435"/>
      <c r="J149" s="436"/>
      <c r="K149" s="437"/>
      <c r="L149" s="311"/>
    </row>
    <row r="150" spans="1:12" ht="27">
      <c r="A150" s="318">
        <v>142</v>
      </c>
      <c r="B150" s="432" t="s">
        <v>950</v>
      </c>
      <c r="C150" s="433" t="s">
        <v>522</v>
      </c>
      <c r="D150" s="454">
        <v>21500</v>
      </c>
      <c r="E150" s="440" t="s">
        <v>954</v>
      </c>
      <c r="F150" s="432" t="s">
        <v>955</v>
      </c>
      <c r="G150" s="432" t="s">
        <v>956</v>
      </c>
      <c r="H150" s="432" t="s">
        <v>526</v>
      </c>
      <c r="I150" s="435"/>
      <c r="J150" s="436"/>
      <c r="K150" s="437"/>
      <c r="L150" s="311"/>
    </row>
    <row r="151" spans="1:12" ht="27">
      <c r="A151" s="318">
        <v>143</v>
      </c>
      <c r="B151" s="432" t="s">
        <v>957</v>
      </c>
      <c r="C151" s="433" t="s">
        <v>522</v>
      </c>
      <c r="D151" s="454">
        <v>10000</v>
      </c>
      <c r="E151" s="440" t="s">
        <v>958</v>
      </c>
      <c r="F151" s="432" t="s">
        <v>959</v>
      </c>
      <c r="G151" s="432" t="s">
        <v>960</v>
      </c>
      <c r="H151" s="432" t="s">
        <v>526</v>
      </c>
      <c r="I151" s="435"/>
      <c r="J151" s="436"/>
      <c r="K151" s="437"/>
      <c r="L151" s="311"/>
    </row>
    <row r="152" spans="1:12" ht="27">
      <c r="A152" s="318">
        <v>144</v>
      </c>
      <c r="B152" s="432" t="s">
        <v>957</v>
      </c>
      <c r="C152" s="433" t="s">
        <v>522</v>
      </c>
      <c r="D152" s="454">
        <v>6000</v>
      </c>
      <c r="E152" s="440" t="s">
        <v>961</v>
      </c>
      <c r="F152" s="432" t="s">
        <v>962</v>
      </c>
      <c r="G152" s="432" t="s">
        <v>963</v>
      </c>
      <c r="H152" s="432" t="s">
        <v>526</v>
      </c>
      <c r="I152" s="435"/>
      <c r="J152" s="436"/>
      <c r="K152" s="437"/>
      <c r="L152" s="311"/>
    </row>
    <row r="153" spans="1:12" ht="27">
      <c r="A153" s="318">
        <v>145</v>
      </c>
      <c r="B153" s="432" t="s">
        <v>964</v>
      </c>
      <c r="C153" s="433" t="s">
        <v>522</v>
      </c>
      <c r="D153" s="454">
        <v>28500</v>
      </c>
      <c r="E153" s="440" t="s">
        <v>965</v>
      </c>
      <c r="F153" s="432" t="s">
        <v>966</v>
      </c>
      <c r="G153" s="432" t="s">
        <v>967</v>
      </c>
      <c r="H153" s="432" t="s">
        <v>526</v>
      </c>
      <c r="I153" s="435"/>
      <c r="J153" s="436"/>
      <c r="K153" s="437"/>
      <c r="L153" s="311"/>
    </row>
    <row r="154" spans="1:12" ht="27">
      <c r="A154" s="318">
        <v>146</v>
      </c>
      <c r="B154" s="432" t="s">
        <v>964</v>
      </c>
      <c r="C154" s="433" t="s">
        <v>522</v>
      </c>
      <c r="D154" s="454">
        <v>25000</v>
      </c>
      <c r="E154" s="440" t="s">
        <v>968</v>
      </c>
      <c r="F154" s="432" t="s">
        <v>969</v>
      </c>
      <c r="G154" s="432" t="s">
        <v>970</v>
      </c>
      <c r="H154" s="432" t="s">
        <v>526</v>
      </c>
      <c r="I154" s="435"/>
      <c r="J154" s="436"/>
      <c r="K154" s="437"/>
      <c r="L154" s="311"/>
    </row>
    <row r="155" spans="1:12" ht="27">
      <c r="A155" s="318">
        <v>147</v>
      </c>
      <c r="B155" s="432" t="s">
        <v>964</v>
      </c>
      <c r="C155" s="433" t="s">
        <v>522</v>
      </c>
      <c r="D155" s="454">
        <v>25000</v>
      </c>
      <c r="E155" s="440" t="s">
        <v>971</v>
      </c>
      <c r="F155" s="432" t="s">
        <v>972</v>
      </c>
      <c r="G155" s="432" t="s">
        <v>973</v>
      </c>
      <c r="H155" s="432" t="s">
        <v>526</v>
      </c>
      <c r="I155" s="435"/>
      <c r="J155" s="436"/>
      <c r="K155" s="437"/>
      <c r="L155" s="311"/>
    </row>
    <row r="156" spans="1:12" ht="27">
      <c r="A156" s="318">
        <v>148</v>
      </c>
      <c r="B156" s="432" t="s">
        <v>974</v>
      </c>
      <c r="C156" s="433" t="s">
        <v>522</v>
      </c>
      <c r="D156" s="454">
        <v>15000</v>
      </c>
      <c r="E156" s="440" t="s">
        <v>975</v>
      </c>
      <c r="F156" s="432" t="s">
        <v>976</v>
      </c>
      <c r="G156" s="432" t="s">
        <v>977</v>
      </c>
      <c r="H156" s="432" t="s">
        <v>526</v>
      </c>
      <c r="I156" s="435"/>
      <c r="J156" s="436"/>
      <c r="K156" s="437"/>
      <c r="L156" s="311"/>
    </row>
    <row r="157" spans="1:12" ht="27">
      <c r="A157" s="318">
        <v>149</v>
      </c>
      <c r="B157" s="432" t="s">
        <v>974</v>
      </c>
      <c r="C157" s="433" t="s">
        <v>522</v>
      </c>
      <c r="D157" s="454">
        <v>28000</v>
      </c>
      <c r="E157" s="440" t="s">
        <v>971</v>
      </c>
      <c r="F157" s="432" t="s">
        <v>978</v>
      </c>
      <c r="G157" s="432" t="s">
        <v>979</v>
      </c>
      <c r="H157" s="432" t="s">
        <v>526</v>
      </c>
      <c r="I157" s="435"/>
      <c r="J157" s="436"/>
      <c r="K157" s="437"/>
      <c r="L157" s="311"/>
    </row>
    <row r="158" spans="1:12" ht="27">
      <c r="A158" s="318">
        <v>150</v>
      </c>
      <c r="B158" s="432" t="s">
        <v>974</v>
      </c>
      <c r="C158" s="433" t="s">
        <v>522</v>
      </c>
      <c r="D158" s="454">
        <v>55000</v>
      </c>
      <c r="E158" s="440" t="s">
        <v>980</v>
      </c>
      <c r="F158" s="432" t="s">
        <v>981</v>
      </c>
      <c r="G158" s="432" t="s">
        <v>982</v>
      </c>
      <c r="H158" s="432" t="s">
        <v>526</v>
      </c>
      <c r="I158" s="435"/>
      <c r="J158" s="436"/>
      <c r="K158" s="437"/>
      <c r="L158" s="311"/>
    </row>
    <row r="159" spans="1:12" ht="27">
      <c r="A159" s="318">
        <v>151</v>
      </c>
      <c r="B159" s="432" t="s">
        <v>974</v>
      </c>
      <c r="C159" s="433" t="s">
        <v>522</v>
      </c>
      <c r="D159" s="454">
        <v>20000</v>
      </c>
      <c r="E159" s="440" t="s">
        <v>983</v>
      </c>
      <c r="F159" s="432" t="s">
        <v>984</v>
      </c>
      <c r="G159" s="432" t="s">
        <v>985</v>
      </c>
      <c r="H159" s="432" t="s">
        <v>526</v>
      </c>
      <c r="I159" s="435"/>
      <c r="J159" s="436"/>
      <c r="K159" s="437"/>
      <c r="L159" s="311"/>
    </row>
    <row r="160" spans="1:12" ht="27">
      <c r="A160" s="318">
        <v>152</v>
      </c>
      <c r="B160" s="432" t="s">
        <v>974</v>
      </c>
      <c r="C160" s="433" t="s">
        <v>522</v>
      </c>
      <c r="D160" s="454">
        <v>20000</v>
      </c>
      <c r="E160" s="440" t="s">
        <v>986</v>
      </c>
      <c r="F160" s="432" t="s">
        <v>987</v>
      </c>
      <c r="G160" s="432" t="s">
        <v>988</v>
      </c>
      <c r="H160" s="432" t="s">
        <v>526</v>
      </c>
      <c r="I160" s="435"/>
      <c r="J160" s="436"/>
      <c r="K160" s="437"/>
      <c r="L160" s="311"/>
    </row>
    <row r="161" spans="1:12" ht="27">
      <c r="A161" s="318">
        <v>153</v>
      </c>
      <c r="B161" s="432" t="s">
        <v>974</v>
      </c>
      <c r="C161" s="433" t="s">
        <v>522</v>
      </c>
      <c r="D161" s="454">
        <v>20000</v>
      </c>
      <c r="E161" s="440" t="s">
        <v>989</v>
      </c>
      <c r="F161" s="432" t="s">
        <v>990</v>
      </c>
      <c r="G161" s="432" t="s">
        <v>991</v>
      </c>
      <c r="H161" s="432" t="s">
        <v>526</v>
      </c>
      <c r="I161" s="435"/>
      <c r="J161" s="436"/>
      <c r="K161" s="437"/>
      <c r="L161" s="311"/>
    </row>
    <row r="162" spans="1:12" ht="27">
      <c r="A162" s="318">
        <v>154</v>
      </c>
      <c r="B162" s="432" t="s">
        <v>974</v>
      </c>
      <c r="C162" s="433" t="s">
        <v>522</v>
      </c>
      <c r="D162" s="454">
        <v>20000</v>
      </c>
      <c r="E162" s="440" t="s">
        <v>992</v>
      </c>
      <c r="F162" s="432" t="s">
        <v>993</v>
      </c>
      <c r="G162" s="432" t="s">
        <v>994</v>
      </c>
      <c r="H162" s="432" t="s">
        <v>526</v>
      </c>
      <c r="I162" s="435"/>
      <c r="J162" s="436"/>
      <c r="K162" s="437"/>
      <c r="L162" s="311"/>
    </row>
    <row r="163" spans="1:12" ht="27">
      <c r="A163" s="318">
        <v>155</v>
      </c>
      <c r="B163" s="441" t="s">
        <v>974</v>
      </c>
      <c r="C163" s="442" t="s">
        <v>522</v>
      </c>
      <c r="D163" s="454">
        <v>20000</v>
      </c>
      <c r="E163" s="440" t="s">
        <v>995</v>
      </c>
      <c r="F163" s="432" t="s">
        <v>996</v>
      </c>
      <c r="G163" s="432" t="s">
        <v>997</v>
      </c>
      <c r="H163" s="432" t="s">
        <v>526</v>
      </c>
      <c r="I163" s="435"/>
      <c r="J163" s="436"/>
      <c r="K163" s="437"/>
      <c r="L163" s="311"/>
    </row>
    <row r="164" spans="1:12" ht="45">
      <c r="A164" s="318">
        <v>156</v>
      </c>
      <c r="B164" s="441" t="s">
        <v>864</v>
      </c>
      <c r="C164" s="409" t="s">
        <v>522</v>
      </c>
      <c r="D164" s="457">
        <v>120000</v>
      </c>
      <c r="E164" s="443" t="s">
        <v>998</v>
      </c>
      <c r="F164" s="444" t="s">
        <v>999</v>
      </c>
      <c r="G164" s="443" t="s">
        <v>1000</v>
      </c>
      <c r="H164" s="445" t="s">
        <v>520</v>
      </c>
      <c r="I164" s="435"/>
      <c r="J164" s="436"/>
      <c r="K164" s="437"/>
      <c r="L164" s="311"/>
    </row>
    <row r="165" spans="1:12" ht="27">
      <c r="A165" s="318">
        <v>157</v>
      </c>
      <c r="B165" s="414" t="s">
        <v>1001</v>
      </c>
      <c r="C165" s="409" t="s">
        <v>522</v>
      </c>
      <c r="D165" s="454">
        <v>5000</v>
      </c>
      <c r="E165" s="440" t="s">
        <v>1002</v>
      </c>
      <c r="F165" s="432" t="s">
        <v>1003</v>
      </c>
      <c r="G165" s="432" t="s">
        <v>1004</v>
      </c>
      <c r="H165" s="432" t="s">
        <v>526</v>
      </c>
      <c r="I165" s="435"/>
      <c r="J165" s="436"/>
      <c r="K165" s="437"/>
      <c r="L165" s="311"/>
    </row>
    <row r="166" spans="1:12" ht="27">
      <c r="A166" s="318">
        <v>158</v>
      </c>
      <c r="B166" s="414" t="s">
        <v>1001</v>
      </c>
      <c r="C166" s="409" t="s">
        <v>522</v>
      </c>
      <c r="D166" s="454">
        <v>3000</v>
      </c>
      <c r="E166" s="440" t="s">
        <v>1005</v>
      </c>
      <c r="F166" s="432" t="s">
        <v>1006</v>
      </c>
      <c r="G166" s="432" t="s">
        <v>1007</v>
      </c>
      <c r="H166" s="432" t="s">
        <v>526</v>
      </c>
      <c r="I166" s="435"/>
      <c r="J166" s="436"/>
      <c r="K166" s="437"/>
      <c r="L166" s="311"/>
    </row>
    <row r="167" spans="1:12" ht="27">
      <c r="A167" s="318">
        <v>159</v>
      </c>
      <c r="B167" s="414" t="s">
        <v>1001</v>
      </c>
      <c r="C167" s="409" t="s">
        <v>522</v>
      </c>
      <c r="D167" s="454">
        <v>3000</v>
      </c>
      <c r="E167" s="440" t="s">
        <v>1008</v>
      </c>
      <c r="F167" s="432" t="s">
        <v>1009</v>
      </c>
      <c r="G167" s="432" t="s">
        <v>1010</v>
      </c>
      <c r="H167" s="432" t="s">
        <v>526</v>
      </c>
      <c r="I167" s="435"/>
      <c r="J167" s="436"/>
      <c r="K167" s="437"/>
      <c r="L167" s="311"/>
    </row>
    <row r="168" spans="1:12" ht="27">
      <c r="A168" s="318">
        <v>160</v>
      </c>
      <c r="B168" s="414" t="s">
        <v>1001</v>
      </c>
      <c r="C168" s="409" t="s">
        <v>522</v>
      </c>
      <c r="D168" s="454">
        <v>3000</v>
      </c>
      <c r="E168" s="440" t="s">
        <v>1011</v>
      </c>
      <c r="F168" s="432" t="s">
        <v>1012</v>
      </c>
      <c r="G168" s="432" t="s">
        <v>1013</v>
      </c>
      <c r="H168" s="432" t="s">
        <v>526</v>
      </c>
      <c r="I168" s="435"/>
      <c r="J168" s="436"/>
      <c r="K168" s="437"/>
      <c r="L168" s="311"/>
    </row>
    <row r="169" spans="1:12" ht="27">
      <c r="A169" s="318">
        <v>161</v>
      </c>
      <c r="B169" s="414" t="s">
        <v>1001</v>
      </c>
      <c r="C169" s="409" t="s">
        <v>522</v>
      </c>
      <c r="D169" s="454">
        <v>4000</v>
      </c>
      <c r="E169" s="440" t="s">
        <v>1014</v>
      </c>
      <c r="F169" s="432" t="s">
        <v>1015</v>
      </c>
      <c r="G169" s="432" t="s">
        <v>1016</v>
      </c>
      <c r="H169" s="432" t="s">
        <v>526</v>
      </c>
      <c r="I169" s="435"/>
      <c r="J169" s="436"/>
      <c r="K169" s="437"/>
      <c r="L169" s="311"/>
    </row>
    <row r="170" spans="1:12" ht="27">
      <c r="A170" s="318">
        <v>162</v>
      </c>
      <c r="B170" s="414" t="s">
        <v>1001</v>
      </c>
      <c r="C170" s="409" t="s">
        <v>522</v>
      </c>
      <c r="D170" s="454">
        <v>3000</v>
      </c>
      <c r="E170" s="440" t="s">
        <v>1017</v>
      </c>
      <c r="F170" s="432" t="s">
        <v>1018</v>
      </c>
      <c r="G170" s="432" t="s">
        <v>1019</v>
      </c>
      <c r="H170" s="432" t="s">
        <v>526</v>
      </c>
      <c r="I170" s="435"/>
      <c r="J170" s="436"/>
      <c r="K170" s="437"/>
      <c r="L170" s="311"/>
    </row>
    <row r="171" spans="1:12" ht="27">
      <c r="A171" s="318">
        <v>163</v>
      </c>
      <c r="B171" s="414" t="s">
        <v>1001</v>
      </c>
      <c r="C171" s="409" t="s">
        <v>522</v>
      </c>
      <c r="D171" s="454">
        <v>3000</v>
      </c>
      <c r="E171" s="440" t="s">
        <v>1020</v>
      </c>
      <c r="F171" s="432" t="s">
        <v>1021</v>
      </c>
      <c r="G171" s="432" t="s">
        <v>1022</v>
      </c>
      <c r="H171" s="432" t="s">
        <v>526</v>
      </c>
      <c r="I171" s="435"/>
      <c r="J171" s="436"/>
      <c r="K171" s="437"/>
      <c r="L171" s="311"/>
    </row>
    <row r="172" spans="1:12" ht="27">
      <c r="A172" s="318">
        <v>164</v>
      </c>
      <c r="B172" s="414" t="s">
        <v>1001</v>
      </c>
      <c r="C172" s="409" t="s">
        <v>522</v>
      </c>
      <c r="D172" s="454">
        <v>6000</v>
      </c>
      <c r="E172" s="440" t="s">
        <v>1023</v>
      </c>
      <c r="F172" s="432" t="s">
        <v>1024</v>
      </c>
      <c r="G172" s="432" t="s">
        <v>1025</v>
      </c>
      <c r="H172" s="432" t="s">
        <v>526</v>
      </c>
      <c r="I172" s="435"/>
      <c r="J172" s="436"/>
      <c r="K172" s="437"/>
      <c r="L172" s="311"/>
    </row>
    <row r="173" spans="1:12" ht="27">
      <c r="A173" s="318">
        <v>165</v>
      </c>
      <c r="B173" s="414" t="s">
        <v>1001</v>
      </c>
      <c r="C173" s="409" t="s">
        <v>522</v>
      </c>
      <c r="D173" s="454">
        <v>2000</v>
      </c>
      <c r="E173" s="440" t="s">
        <v>1026</v>
      </c>
      <c r="F173" s="432" t="s">
        <v>1027</v>
      </c>
      <c r="G173" s="432" t="s">
        <v>1028</v>
      </c>
      <c r="H173" s="432" t="s">
        <v>526</v>
      </c>
      <c r="I173" s="435"/>
      <c r="J173" s="436"/>
      <c r="K173" s="437"/>
      <c r="L173" s="311"/>
    </row>
    <row r="174" spans="1:12" ht="27">
      <c r="A174" s="318">
        <v>166</v>
      </c>
      <c r="B174" s="414" t="s">
        <v>1001</v>
      </c>
      <c r="C174" s="409" t="s">
        <v>522</v>
      </c>
      <c r="D174" s="454">
        <v>5000</v>
      </c>
      <c r="E174" s="440" t="s">
        <v>1029</v>
      </c>
      <c r="F174" s="432" t="s">
        <v>1030</v>
      </c>
      <c r="G174" s="432" t="s">
        <v>1031</v>
      </c>
      <c r="H174" s="432" t="s">
        <v>526</v>
      </c>
      <c r="I174" s="435"/>
      <c r="J174" s="436"/>
      <c r="K174" s="437"/>
      <c r="L174" s="311"/>
    </row>
    <row r="175" spans="1:12" ht="27">
      <c r="A175" s="318">
        <v>167</v>
      </c>
      <c r="B175" s="432" t="s">
        <v>1032</v>
      </c>
      <c r="C175" s="433" t="s">
        <v>522</v>
      </c>
      <c r="D175" s="454">
        <v>1000</v>
      </c>
      <c r="E175" s="432" t="s">
        <v>1033</v>
      </c>
      <c r="F175" s="432" t="s">
        <v>1034</v>
      </c>
      <c r="G175" s="432" t="s">
        <v>1035</v>
      </c>
      <c r="H175" s="432" t="s">
        <v>526</v>
      </c>
      <c r="I175" s="405"/>
      <c r="J175" s="436"/>
      <c r="K175" s="437"/>
      <c r="L175" s="311"/>
    </row>
    <row r="176" spans="1:12" ht="27">
      <c r="A176" s="318">
        <v>168</v>
      </c>
      <c r="B176" s="432" t="s">
        <v>1032</v>
      </c>
      <c r="C176" s="433" t="s">
        <v>522</v>
      </c>
      <c r="D176" s="454">
        <v>2000</v>
      </c>
      <c r="E176" s="432" t="s">
        <v>1036</v>
      </c>
      <c r="F176" s="432" t="s">
        <v>1037</v>
      </c>
      <c r="G176" s="432" t="s">
        <v>1038</v>
      </c>
      <c r="H176" s="432" t="s">
        <v>526</v>
      </c>
      <c r="I176" s="446"/>
      <c r="J176" s="436"/>
      <c r="K176" s="437"/>
      <c r="L176" s="311"/>
    </row>
    <row r="177" spans="1:12" ht="27">
      <c r="A177" s="318">
        <v>169</v>
      </c>
      <c r="B177" s="432" t="s">
        <v>1032</v>
      </c>
      <c r="C177" s="433" t="s">
        <v>522</v>
      </c>
      <c r="D177" s="454">
        <v>2000</v>
      </c>
      <c r="E177" s="432" t="s">
        <v>1039</v>
      </c>
      <c r="F177" s="432" t="s">
        <v>1040</v>
      </c>
      <c r="G177" s="432" t="s">
        <v>1041</v>
      </c>
      <c r="H177" s="432" t="s">
        <v>526</v>
      </c>
      <c r="I177" s="446"/>
      <c r="J177" s="436"/>
      <c r="K177" s="437"/>
      <c r="L177" s="311"/>
    </row>
    <row r="178" spans="1:12" ht="27">
      <c r="A178" s="318">
        <v>170</v>
      </c>
      <c r="B178" s="432" t="s">
        <v>1032</v>
      </c>
      <c r="C178" s="433" t="s">
        <v>522</v>
      </c>
      <c r="D178" s="454">
        <v>2000</v>
      </c>
      <c r="E178" s="432" t="s">
        <v>1042</v>
      </c>
      <c r="F178" s="432" t="s">
        <v>1043</v>
      </c>
      <c r="G178" s="432" t="s">
        <v>1044</v>
      </c>
      <c r="H178" s="432" t="s">
        <v>526</v>
      </c>
      <c r="I178" s="446"/>
      <c r="J178" s="436"/>
      <c r="K178" s="437"/>
      <c r="L178" s="311"/>
    </row>
    <row r="179" spans="1:12" ht="27">
      <c r="A179" s="318">
        <v>171</v>
      </c>
      <c r="B179" s="432" t="s">
        <v>1032</v>
      </c>
      <c r="C179" s="433" t="s">
        <v>522</v>
      </c>
      <c r="D179" s="454">
        <v>2000</v>
      </c>
      <c r="E179" s="432" t="s">
        <v>1045</v>
      </c>
      <c r="F179" s="432" t="s">
        <v>1046</v>
      </c>
      <c r="G179" s="432" t="s">
        <v>1047</v>
      </c>
      <c r="H179" s="432" t="s">
        <v>526</v>
      </c>
      <c r="I179" s="446"/>
      <c r="J179" s="436"/>
      <c r="K179" s="437"/>
      <c r="L179" s="311"/>
    </row>
    <row r="180" spans="1:12" ht="27">
      <c r="A180" s="318">
        <v>172</v>
      </c>
      <c r="B180" s="432" t="s">
        <v>1032</v>
      </c>
      <c r="C180" s="433" t="s">
        <v>522</v>
      </c>
      <c r="D180" s="454">
        <v>3000</v>
      </c>
      <c r="E180" s="432" t="s">
        <v>1048</v>
      </c>
      <c r="F180" s="432" t="s">
        <v>1049</v>
      </c>
      <c r="G180" s="432" t="s">
        <v>1050</v>
      </c>
      <c r="H180" s="432" t="s">
        <v>526</v>
      </c>
      <c r="I180" s="446"/>
      <c r="J180" s="436"/>
      <c r="K180" s="437"/>
      <c r="L180" s="311"/>
    </row>
    <row r="181" spans="1:12" ht="27">
      <c r="A181" s="318">
        <v>173</v>
      </c>
      <c r="B181" s="432" t="s">
        <v>1032</v>
      </c>
      <c r="C181" s="433" t="s">
        <v>522</v>
      </c>
      <c r="D181" s="454">
        <v>4000</v>
      </c>
      <c r="E181" s="432" t="s">
        <v>1051</v>
      </c>
      <c r="F181" s="432" t="s">
        <v>1052</v>
      </c>
      <c r="G181" s="432" t="s">
        <v>1053</v>
      </c>
      <c r="H181" s="432" t="s">
        <v>526</v>
      </c>
      <c r="I181" s="446"/>
      <c r="J181" s="436"/>
      <c r="K181" s="437"/>
      <c r="L181" s="311"/>
    </row>
    <row r="182" spans="1:12" ht="27">
      <c r="A182" s="318">
        <v>174</v>
      </c>
      <c r="B182" s="432" t="s">
        <v>1032</v>
      </c>
      <c r="C182" s="433" t="s">
        <v>522</v>
      </c>
      <c r="D182" s="454">
        <v>20000</v>
      </c>
      <c r="E182" s="432" t="s">
        <v>1054</v>
      </c>
      <c r="F182" s="432" t="s">
        <v>1055</v>
      </c>
      <c r="G182" s="432" t="s">
        <v>1056</v>
      </c>
      <c r="H182" s="432" t="s">
        <v>526</v>
      </c>
      <c r="I182" s="446"/>
      <c r="J182" s="436"/>
      <c r="K182" s="437"/>
      <c r="L182" s="311"/>
    </row>
    <row r="183" spans="1:12" ht="27">
      <c r="A183" s="318">
        <v>175</v>
      </c>
      <c r="B183" s="432" t="s">
        <v>1032</v>
      </c>
      <c r="C183" s="433" t="s">
        <v>522</v>
      </c>
      <c r="D183" s="454">
        <v>19500</v>
      </c>
      <c r="E183" s="432" t="s">
        <v>1057</v>
      </c>
      <c r="F183" s="432" t="s">
        <v>1058</v>
      </c>
      <c r="G183" s="432" t="s">
        <v>1059</v>
      </c>
      <c r="H183" s="432" t="s">
        <v>526</v>
      </c>
      <c r="I183" s="446"/>
      <c r="J183" s="436"/>
      <c r="K183" s="437"/>
      <c r="L183" s="311"/>
    </row>
    <row r="184" spans="1:12" ht="27">
      <c r="A184" s="318">
        <v>176</v>
      </c>
      <c r="B184" s="432" t="s">
        <v>1032</v>
      </c>
      <c r="C184" s="433" t="s">
        <v>522</v>
      </c>
      <c r="D184" s="454">
        <v>10000</v>
      </c>
      <c r="E184" s="432" t="s">
        <v>1060</v>
      </c>
      <c r="F184" s="432" t="s">
        <v>1061</v>
      </c>
      <c r="G184" s="432" t="s">
        <v>1062</v>
      </c>
      <c r="H184" s="432" t="s">
        <v>526</v>
      </c>
      <c r="I184" s="446"/>
      <c r="J184" s="436"/>
      <c r="K184" s="437"/>
      <c r="L184" s="311"/>
    </row>
    <row r="185" spans="1:12" ht="27">
      <c r="A185" s="318">
        <v>177</v>
      </c>
      <c r="B185" s="432" t="s">
        <v>1032</v>
      </c>
      <c r="C185" s="433" t="s">
        <v>522</v>
      </c>
      <c r="D185" s="454">
        <v>3000</v>
      </c>
      <c r="E185" s="432" t="s">
        <v>1063</v>
      </c>
      <c r="F185" s="432" t="s">
        <v>1064</v>
      </c>
      <c r="G185" s="432" t="s">
        <v>1065</v>
      </c>
      <c r="H185" s="432" t="s">
        <v>526</v>
      </c>
      <c r="I185" s="446"/>
      <c r="J185" s="436"/>
      <c r="K185" s="437"/>
      <c r="L185" s="311"/>
    </row>
    <row r="186" spans="1:12" ht="27">
      <c r="A186" s="318">
        <v>178</v>
      </c>
      <c r="B186" s="432" t="s">
        <v>1032</v>
      </c>
      <c r="C186" s="433" t="s">
        <v>522</v>
      </c>
      <c r="D186" s="454">
        <v>20000</v>
      </c>
      <c r="E186" s="432" t="s">
        <v>1066</v>
      </c>
      <c r="F186" s="432" t="s">
        <v>1067</v>
      </c>
      <c r="G186" s="432" t="s">
        <v>1068</v>
      </c>
      <c r="H186" s="432" t="s">
        <v>526</v>
      </c>
      <c r="I186" s="446"/>
      <c r="J186" s="436"/>
      <c r="K186" s="437"/>
      <c r="L186" s="311"/>
    </row>
    <row r="187" spans="1:12" ht="27">
      <c r="A187" s="318">
        <v>179</v>
      </c>
      <c r="B187" s="432" t="s">
        <v>1032</v>
      </c>
      <c r="C187" s="433" t="s">
        <v>522</v>
      </c>
      <c r="D187" s="454">
        <v>15000</v>
      </c>
      <c r="E187" s="432" t="s">
        <v>1069</v>
      </c>
      <c r="F187" s="432" t="s">
        <v>1070</v>
      </c>
      <c r="G187" s="432" t="s">
        <v>1071</v>
      </c>
      <c r="H187" s="432" t="s">
        <v>526</v>
      </c>
      <c r="I187" s="446"/>
      <c r="J187" s="436"/>
      <c r="K187" s="437"/>
      <c r="L187" s="311"/>
    </row>
    <row r="188" spans="1:12" ht="27">
      <c r="A188" s="318">
        <v>180</v>
      </c>
      <c r="B188" s="432" t="s">
        <v>1032</v>
      </c>
      <c r="C188" s="433" t="s">
        <v>522</v>
      </c>
      <c r="D188" s="454">
        <v>3000</v>
      </c>
      <c r="E188" s="432" t="s">
        <v>1072</v>
      </c>
      <c r="F188" s="432" t="s">
        <v>1073</v>
      </c>
      <c r="G188" s="432" t="s">
        <v>1074</v>
      </c>
      <c r="H188" s="432" t="s">
        <v>526</v>
      </c>
      <c r="I188" s="446"/>
      <c r="J188" s="436"/>
      <c r="K188" s="437"/>
      <c r="L188" s="311"/>
    </row>
    <row r="189" spans="1:12" ht="27">
      <c r="A189" s="318">
        <v>181</v>
      </c>
      <c r="B189" s="432" t="s">
        <v>1032</v>
      </c>
      <c r="C189" s="433" t="s">
        <v>522</v>
      </c>
      <c r="D189" s="454">
        <v>5000</v>
      </c>
      <c r="E189" s="439" t="s">
        <v>1075</v>
      </c>
      <c r="F189" s="432" t="s">
        <v>1076</v>
      </c>
      <c r="G189" s="432" t="s">
        <v>1077</v>
      </c>
      <c r="H189" s="432" t="s">
        <v>526</v>
      </c>
      <c r="I189" s="446"/>
      <c r="J189" s="436"/>
      <c r="K189" s="437"/>
      <c r="L189" s="311"/>
    </row>
    <row r="190" spans="1:12" ht="27">
      <c r="A190" s="318">
        <v>182</v>
      </c>
      <c r="B190" s="432" t="s">
        <v>1032</v>
      </c>
      <c r="C190" s="433" t="s">
        <v>522</v>
      </c>
      <c r="D190" s="454">
        <v>4000</v>
      </c>
      <c r="E190" s="434" t="s">
        <v>1078</v>
      </c>
      <c r="F190" s="432" t="s">
        <v>1079</v>
      </c>
      <c r="G190" s="432" t="s">
        <v>1080</v>
      </c>
      <c r="H190" s="432" t="s">
        <v>526</v>
      </c>
      <c r="I190" s="446"/>
      <c r="J190" s="436"/>
      <c r="K190" s="437"/>
      <c r="L190" s="311"/>
    </row>
    <row r="191" spans="1:12" ht="27">
      <c r="A191" s="318">
        <v>183</v>
      </c>
      <c r="B191" s="432" t="s">
        <v>1032</v>
      </c>
      <c r="C191" s="433" t="s">
        <v>522</v>
      </c>
      <c r="D191" s="454">
        <v>3000</v>
      </c>
      <c r="E191" s="434" t="s">
        <v>1081</v>
      </c>
      <c r="F191" s="432" t="s">
        <v>1082</v>
      </c>
      <c r="G191" s="432" t="s">
        <v>1083</v>
      </c>
      <c r="H191" s="432" t="s">
        <v>526</v>
      </c>
      <c r="I191" s="446"/>
      <c r="J191" s="436"/>
      <c r="K191" s="437"/>
      <c r="L191" s="311"/>
    </row>
    <row r="192" spans="1:12" ht="27">
      <c r="A192" s="318">
        <v>184</v>
      </c>
      <c r="B192" s="432" t="s">
        <v>1084</v>
      </c>
      <c r="C192" s="433" t="s">
        <v>522</v>
      </c>
      <c r="D192" s="454">
        <v>2000</v>
      </c>
      <c r="E192" s="434" t="s">
        <v>1085</v>
      </c>
      <c r="F192" s="432" t="s">
        <v>1086</v>
      </c>
      <c r="G192" s="432" t="s">
        <v>1087</v>
      </c>
      <c r="H192" s="432" t="s">
        <v>526</v>
      </c>
      <c r="I192" s="446"/>
      <c r="J192" s="436"/>
      <c r="K192" s="437"/>
      <c r="L192" s="311"/>
    </row>
    <row r="193" spans="1:12" ht="27">
      <c r="A193" s="318">
        <v>185</v>
      </c>
      <c r="B193" s="432" t="s">
        <v>1084</v>
      </c>
      <c r="C193" s="433" t="s">
        <v>522</v>
      </c>
      <c r="D193" s="454">
        <v>1500</v>
      </c>
      <c r="E193" s="434" t="s">
        <v>1088</v>
      </c>
      <c r="F193" s="432" t="s">
        <v>1089</v>
      </c>
      <c r="G193" s="432" t="s">
        <v>1090</v>
      </c>
      <c r="H193" s="432" t="s">
        <v>526</v>
      </c>
      <c r="I193" s="446"/>
      <c r="J193" s="436"/>
      <c r="K193" s="437"/>
      <c r="L193" s="311"/>
    </row>
    <row r="194" spans="1:12" ht="27">
      <c r="A194" s="318">
        <v>186</v>
      </c>
      <c r="B194" s="432" t="s">
        <v>1084</v>
      </c>
      <c r="C194" s="433" t="s">
        <v>522</v>
      </c>
      <c r="D194" s="454">
        <v>1500</v>
      </c>
      <c r="E194" s="434" t="s">
        <v>1091</v>
      </c>
      <c r="F194" s="432" t="s">
        <v>1092</v>
      </c>
      <c r="G194" s="432" t="s">
        <v>1093</v>
      </c>
      <c r="H194" s="432" t="s">
        <v>526</v>
      </c>
      <c r="I194" s="447"/>
      <c r="J194" s="436"/>
      <c r="K194" s="437"/>
      <c r="L194" s="311"/>
    </row>
    <row r="195" spans="1:12" ht="27">
      <c r="A195" s="318">
        <v>187</v>
      </c>
      <c r="B195" s="432" t="s">
        <v>1084</v>
      </c>
      <c r="C195" s="433" t="s">
        <v>522</v>
      </c>
      <c r="D195" s="454">
        <v>2000</v>
      </c>
      <c r="E195" s="434" t="s">
        <v>1094</v>
      </c>
      <c r="F195" s="432" t="s">
        <v>1095</v>
      </c>
      <c r="G195" s="432" t="s">
        <v>1096</v>
      </c>
      <c r="H195" s="432" t="s">
        <v>526</v>
      </c>
      <c r="I195" s="447"/>
      <c r="J195" s="436"/>
      <c r="K195" s="437"/>
      <c r="L195" s="311"/>
    </row>
    <row r="196" spans="1:12" ht="27">
      <c r="A196" s="318">
        <v>188</v>
      </c>
      <c r="B196" s="432" t="s">
        <v>1084</v>
      </c>
      <c r="C196" s="433" t="s">
        <v>522</v>
      </c>
      <c r="D196" s="454">
        <v>3000</v>
      </c>
      <c r="E196" s="434" t="s">
        <v>1097</v>
      </c>
      <c r="F196" s="432" t="s">
        <v>1098</v>
      </c>
      <c r="G196" s="432" t="s">
        <v>1099</v>
      </c>
      <c r="H196" s="432" t="s">
        <v>526</v>
      </c>
      <c r="I196" s="447"/>
      <c r="J196" s="436"/>
      <c r="K196" s="437"/>
      <c r="L196" s="311"/>
    </row>
    <row r="197" spans="1:12" ht="27">
      <c r="A197" s="318">
        <v>189</v>
      </c>
      <c r="B197" s="432" t="s">
        <v>1084</v>
      </c>
      <c r="C197" s="433" t="s">
        <v>522</v>
      </c>
      <c r="D197" s="454">
        <v>2500</v>
      </c>
      <c r="E197" s="434" t="s">
        <v>1100</v>
      </c>
      <c r="F197" s="432" t="s">
        <v>1101</v>
      </c>
      <c r="G197" s="432" t="s">
        <v>1102</v>
      </c>
      <c r="H197" s="432" t="s">
        <v>526</v>
      </c>
      <c r="I197" s="447"/>
      <c r="J197" s="436"/>
      <c r="K197" s="437"/>
      <c r="L197" s="311"/>
    </row>
    <row r="198" spans="1:12" ht="27">
      <c r="A198" s="318">
        <v>190</v>
      </c>
      <c r="B198" s="432" t="s">
        <v>1084</v>
      </c>
      <c r="C198" s="433" t="s">
        <v>522</v>
      </c>
      <c r="D198" s="454">
        <v>1500</v>
      </c>
      <c r="E198" s="434" t="s">
        <v>1103</v>
      </c>
      <c r="F198" s="432" t="s">
        <v>1104</v>
      </c>
      <c r="G198" s="432" t="s">
        <v>1105</v>
      </c>
      <c r="H198" s="432" t="s">
        <v>526</v>
      </c>
      <c r="I198" s="447"/>
      <c r="J198" s="436"/>
      <c r="K198" s="437"/>
      <c r="L198" s="311"/>
    </row>
    <row r="199" spans="1:12" ht="27">
      <c r="A199" s="318">
        <v>191</v>
      </c>
      <c r="B199" s="432" t="s">
        <v>1084</v>
      </c>
      <c r="C199" s="433" t="s">
        <v>522</v>
      </c>
      <c r="D199" s="454">
        <v>2000</v>
      </c>
      <c r="E199" s="434" t="s">
        <v>1106</v>
      </c>
      <c r="F199" s="432" t="s">
        <v>1107</v>
      </c>
      <c r="G199" s="432" t="s">
        <v>1108</v>
      </c>
      <c r="H199" s="432" t="s">
        <v>526</v>
      </c>
      <c r="I199" s="447"/>
      <c r="J199" s="436"/>
      <c r="K199" s="437"/>
      <c r="L199" s="311"/>
    </row>
    <row r="200" spans="1:12" ht="27">
      <c r="A200" s="318">
        <v>192</v>
      </c>
      <c r="B200" s="432" t="s">
        <v>1084</v>
      </c>
      <c r="C200" s="433" t="s">
        <v>522</v>
      </c>
      <c r="D200" s="454">
        <v>1000</v>
      </c>
      <c r="E200" s="434" t="s">
        <v>1109</v>
      </c>
      <c r="F200" s="432" t="s">
        <v>1110</v>
      </c>
      <c r="G200" s="432" t="s">
        <v>1111</v>
      </c>
      <c r="H200" s="432" t="s">
        <v>526</v>
      </c>
      <c r="I200" s="447"/>
      <c r="J200" s="436"/>
      <c r="K200" s="437"/>
      <c r="L200" s="311"/>
    </row>
    <row r="201" spans="1:12" ht="27">
      <c r="A201" s="318">
        <v>193</v>
      </c>
      <c r="B201" s="432" t="s">
        <v>1084</v>
      </c>
      <c r="C201" s="433" t="s">
        <v>522</v>
      </c>
      <c r="D201" s="454">
        <v>2000</v>
      </c>
      <c r="E201" s="434" t="s">
        <v>1112</v>
      </c>
      <c r="F201" s="432" t="s">
        <v>1113</v>
      </c>
      <c r="G201" s="432" t="s">
        <v>1114</v>
      </c>
      <c r="H201" s="432" t="s">
        <v>526</v>
      </c>
      <c r="I201" s="447"/>
      <c r="J201" s="436"/>
      <c r="K201" s="437"/>
      <c r="L201" s="311"/>
    </row>
    <row r="202" spans="1:12" ht="27">
      <c r="A202" s="318">
        <v>194</v>
      </c>
      <c r="B202" s="432" t="s">
        <v>1084</v>
      </c>
      <c r="C202" s="433" t="s">
        <v>522</v>
      </c>
      <c r="D202" s="454">
        <v>1500</v>
      </c>
      <c r="E202" s="434" t="s">
        <v>1115</v>
      </c>
      <c r="F202" s="432" t="s">
        <v>1116</v>
      </c>
      <c r="G202" s="432" t="s">
        <v>1117</v>
      </c>
      <c r="H202" s="432" t="s">
        <v>526</v>
      </c>
      <c r="I202" s="447"/>
      <c r="J202" s="436"/>
      <c r="K202" s="437"/>
      <c r="L202" s="311"/>
    </row>
    <row r="203" spans="1:12" ht="27">
      <c r="A203" s="318">
        <v>195</v>
      </c>
      <c r="B203" s="432" t="s">
        <v>1084</v>
      </c>
      <c r="C203" s="433" t="s">
        <v>522</v>
      </c>
      <c r="D203" s="454">
        <v>2000</v>
      </c>
      <c r="E203" s="440" t="s">
        <v>1118</v>
      </c>
      <c r="F203" s="432" t="s">
        <v>1119</v>
      </c>
      <c r="G203" s="432" t="s">
        <v>1120</v>
      </c>
      <c r="H203" s="432" t="s">
        <v>526</v>
      </c>
      <c r="I203" s="447"/>
      <c r="J203" s="436"/>
      <c r="K203" s="437"/>
      <c r="L203" s="311"/>
    </row>
    <row r="204" spans="1:12" ht="27">
      <c r="A204" s="318">
        <v>196</v>
      </c>
      <c r="B204" s="432" t="s">
        <v>1084</v>
      </c>
      <c r="C204" s="433" t="s">
        <v>522</v>
      </c>
      <c r="D204" s="454">
        <v>3000</v>
      </c>
      <c r="E204" s="440" t="s">
        <v>1121</v>
      </c>
      <c r="F204" s="432" t="s">
        <v>1122</v>
      </c>
      <c r="G204" s="432" t="s">
        <v>1123</v>
      </c>
      <c r="H204" s="432" t="s">
        <v>526</v>
      </c>
      <c r="I204" s="447"/>
      <c r="J204" s="436"/>
      <c r="K204" s="437"/>
      <c r="L204" s="311"/>
    </row>
    <row r="205" spans="1:12" ht="27">
      <c r="A205" s="318">
        <v>197</v>
      </c>
      <c r="B205" s="432" t="s">
        <v>1084</v>
      </c>
      <c r="C205" s="433" t="s">
        <v>522</v>
      </c>
      <c r="D205" s="454">
        <v>5000</v>
      </c>
      <c r="E205" s="440" t="s">
        <v>1124</v>
      </c>
      <c r="F205" s="432" t="s">
        <v>1125</v>
      </c>
      <c r="G205" s="432" t="s">
        <v>1126</v>
      </c>
      <c r="H205" s="432" t="s">
        <v>526</v>
      </c>
      <c r="I205" s="447"/>
      <c r="J205" s="436"/>
      <c r="K205" s="437"/>
      <c r="L205" s="311"/>
    </row>
    <row r="206" spans="1:12" ht="27">
      <c r="A206" s="318">
        <v>198</v>
      </c>
      <c r="B206" s="432" t="s">
        <v>1084</v>
      </c>
      <c r="C206" s="433" t="s">
        <v>522</v>
      </c>
      <c r="D206" s="454">
        <v>2000</v>
      </c>
      <c r="E206" s="440" t="s">
        <v>1127</v>
      </c>
      <c r="F206" s="432" t="s">
        <v>1128</v>
      </c>
      <c r="G206" s="432" t="s">
        <v>1129</v>
      </c>
      <c r="H206" s="432" t="s">
        <v>526</v>
      </c>
      <c r="I206" s="447"/>
      <c r="J206" s="436"/>
      <c r="K206" s="437"/>
      <c r="L206" s="311"/>
    </row>
    <row r="207" spans="1:12" ht="27">
      <c r="A207" s="318">
        <v>199</v>
      </c>
      <c r="B207" s="432" t="s">
        <v>1084</v>
      </c>
      <c r="C207" s="433" t="s">
        <v>522</v>
      </c>
      <c r="D207" s="454">
        <v>3000</v>
      </c>
      <c r="E207" s="440" t="s">
        <v>1130</v>
      </c>
      <c r="F207" s="432" t="s">
        <v>1131</v>
      </c>
      <c r="G207" s="432" t="s">
        <v>1132</v>
      </c>
      <c r="H207" s="432" t="s">
        <v>526</v>
      </c>
      <c r="I207" s="447"/>
      <c r="J207" s="436"/>
      <c r="K207" s="437"/>
      <c r="L207" s="311"/>
    </row>
    <row r="208" spans="1:12" ht="27">
      <c r="A208" s="318">
        <v>200</v>
      </c>
      <c r="B208" s="432" t="s">
        <v>1133</v>
      </c>
      <c r="C208" s="433" t="s">
        <v>522</v>
      </c>
      <c r="D208" s="454">
        <v>2000</v>
      </c>
      <c r="E208" s="440" t="s">
        <v>1134</v>
      </c>
      <c r="F208" s="432" t="s">
        <v>1135</v>
      </c>
      <c r="G208" s="432" t="s">
        <v>1136</v>
      </c>
      <c r="H208" s="432" t="s">
        <v>526</v>
      </c>
      <c r="I208" s="447"/>
      <c r="J208" s="436"/>
      <c r="K208" s="437"/>
      <c r="L208" s="311"/>
    </row>
    <row r="209" spans="1:12" ht="27">
      <c r="A209" s="318">
        <v>201</v>
      </c>
      <c r="B209" s="432" t="s">
        <v>1133</v>
      </c>
      <c r="C209" s="433" t="s">
        <v>522</v>
      </c>
      <c r="D209" s="454">
        <v>3000</v>
      </c>
      <c r="E209" s="440" t="s">
        <v>1137</v>
      </c>
      <c r="F209" s="432" t="s">
        <v>1138</v>
      </c>
      <c r="G209" s="432" t="s">
        <v>1139</v>
      </c>
      <c r="H209" s="432" t="s">
        <v>526</v>
      </c>
      <c r="I209" s="447"/>
      <c r="J209" s="436"/>
      <c r="K209" s="437"/>
      <c r="L209" s="311"/>
    </row>
    <row r="210" spans="1:12" ht="27">
      <c r="A210" s="318">
        <v>202</v>
      </c>
      <c r="B210" s="432" t="s">
        <v>1133</v>
      </c>
      <c r="C210" s="433" t="s">
        <v>522</v>
      </c>
      <c r="D210" s="454">
        <v>4000</v>
      </c>
      <c r="E210" s="440" t="s">
        <v>1140</v>
      </c>
      <c r="F210" s="432" t="s">
        <v>1141</v>
      </c>
      <c r="G210" s="432" t="s">
        <v>1142</v>
      </c>
      <c r="H210" s="432" t="s">
        <v>526</v>
      </c>
      <c r="I210" s="447"/>
      <c r="J210" s="436"/>
      <c r="K210" s="437"/>
      <c r="L210" s="311"/>
    </row>
    <row r="211" spans="1:12" ht="27">
      <c r="A211" s="318">
        <v>203</v>
      </c>
      <c r="B211" s="432" t="s">
        <v>1133</v>
      </c>
      <c r="C211" s="433" t="s">
        <v>522</v>
      </c>
      <c r="D211" s="454">
        <v>3000</v>
      </c>
      <c r="E211" s="440" t="s">
        <v>1143</v>
      </c>
      <c r="F211" s="432" t="s">
        <v>1144</v>
      </c>
      <c r="G211" s="432" t="s">
        <v>1145</v>
      </c>
      <c r="H211" s="432" t="s">
        <v>526</v>
      </c>
      <c r="I211" s="447"/>
      <c r="J211" s="436"/>
      <c r="K211" s="437"/>
      <c r="L211" s="311"/>
    </row>
    <row r="212" spans="1:12" ht="27">
      <c r="A212" s="318">
        <v>204</v>
      </c>
      <c r="B212" s="432" t="s">
        <v>1133</v>
      </c>
      <c r="C212" s="433" t="s">
        <v>522</v>
      </c>
      <c r="D212" s="454">
        <v>2000</v>
      </c>
      <c r="E212" s="440" t="s">
        <v>1146</v>
      </c>
      <c r="F212" s="432" t="s">
        <v>1147</v>
      </c>
      <c r="G212" s="432" t="s">
        <v>1148</v>
      </c>
      <c r="H212" s="432" t="s">
        <v>526</v>
      </c>
      <c r="I212" s="447"/>
      <c r="J212" s="436"/>
      <c r="K212" s="437"/>
      <c r="L212" s="311"/>
    </row>
    <row r="213" spans="1:12" ht="27">
      <c r="A213" s="318">
        <v>205</v>
      </c>
      <c r="B213" s="432" t="s">
        <v>1133</v>
      </c>
      <c r="C213" s="433" t="s">
        <v>522</v>
      </c>
      <c r="D213" s="454">
        <v>53000</v>
      </c>
      <c r="E213" s="440" t="s">
        <v>1149</v>
      </c>
      <c r="F213" s="432" t="s">
        <v>1150</v>
      </c>
      <c r="G213" s="432" t="s">
        <v>1151</v>
      </c>
      <c r="H213" s="432" t="s">
        <v>526</v>
      </c>
      <c r="I213" s="447"/>
      <c r="J213" s="436"/>
      <c r="K213" s="437"/>
      <c r="L213" s="311"/>
    </row>
    <row r="214" spans="1:12" ht="27">
      <c r="A214" s="318">
        <v>206</v>
      </c>
      <c r="B214" s="432" t="s">
        <v>1133</v>
      </c>
      <c r="C214" s="433" t="s">
        <v>522</v>
      </c>
      <c r="D214" s="454">
        <v>24000</v>
      </c>
      <c r="E214" s="440" t="s">
        <v>1152</v>
      </c>
      <c r="F214" s="432" t="s">
        <v>1153</v>
      </c>
      <c r="G214" s="432" t="s">
        <v>1154</v>
      </c>
      <c r="H214" s="432" t="s">
        <v>526</v>
      </c>
      <c r="I214" s="447"/>
      <c r="J214" s="436"/>
      <c r="K214" s="437"/>
      <c r="L214" s="311"/>
    </row>
    <row r="215" spans="1:12" ht="27">
      <c r="A215" s="318">
        <v>207</v>
      </c>
      <c r="B215" s="432" t="s">
        <v>1133</v>
      </c>
      <c r="C215" s="433" t="s">
        <v>522</v>
      </c>
      <c r="D215" s="454">
        <v>25000</v>
      </c>
      <c r="E215" s="440" t="s">
        <v>1155</v>
      </c>
      <c r="F215" s="432" t="s">
        <v>1156</v>
      </c>
      <c r="G215" s="432" t="s">
        <v>1157</v>
      </c>
      <c r="H215" s="432" t="s">
        <v>526</v>
      </c>
      <c r="I215" s="447"/>
      <c r="J215" s="436"/>
      <c r="K215" s="437"/>
      <c r="L215" s="311"/>
    </row>
    <row r="216" spans="1:12" ht="27">
      <c r="A216" s="318">
        <v>208</v>
      </c>
      <c r="B216" s="432" t="s">
        <v>1158</v>
      </c>
      <c r="C216" s="433" t="s">
        <v>522</v>
      </c>
      <c r="D216" s="454">
        <v>3000</v>
      </c>
      <c r="E216" s="440" t="s">
        <v>1159</v>
      </c>
      <c r="F216" s="432" t="s">
        <v>1160</v>
      </c>
      <c r="G216" s="432" t="s">
        <v>1161</v>
      </c>
      <c r="H216" s="432" t="s">
        <v>526</v>
      </c>
      <c r="I216" s="447"/>
      <c r="J216" s="436"/>
      <c r="K216" s="437"/>
      <c r="L216" s="311"/>
    </row>
    <row r="217" spans="1:12" ht="27">
      <c r="A217" s="318">
        <v>209</v>
      </c>
      <c r="B217" s="432" t="s">
        <v>1158</v>
      </c>
      <c r="C217" s="433" t="s">
        <v>522</v>
      </c>
      <c r="D217" s="454">
        <v>3000</v>
      </c>
      <c r="E217" s="440" t="s">
        <v>1162</v>
      </c>
      <c r="F217" s="432" t="s">
        <v>1163</v>
      </c>
      <c r="G217" s="432" t="s">
        <v>1164</v>
      </c>
      <c r="H217" s="432" t="s">
        <v>526</v>
      </c>
      <c r="I217" s="447"/>
      <c r="J217" s="436"/>
      <c r="K217" s="437"/>
      <c r="L217" s="311"/>
    </row>
    <row r="218" spans="1:12" ht="27">
      <c r="A218" s="318">
        <v>210</v>
      </c>
      <c r="B218" s="432" t="s">
        <v>1158</v>
      </c>
      <c r="C218" s="433" t="s">
        <v>522</v>
      </c>
      <c r="D218" s="454">
        <v>3000</v>
      </c>
      <c r="E218" s="443" t="s">
        <v>1165</v>
      </c>
      <c r="F218" s="432" t="s">
        <v>1166</v>
      </c>
      <c r="G218" s="432" t="s">
        <v>1167</v>
      </c>
      <c r="H218" s="432" t="s">
        <v>526</v>
      </c>
      <c r="I218" s="447"/>
      <c r="J218" s="436"/>
      <c r="K218" s="437"/>
      <c r="L218" s="311"/>
    </row>
    <row r="219" spans="1:12" ht="27">
      <c r="A219" s="318">
        <v>211</v>
      </c>
      <c r="B219" s="432" t="s">
        <v>1158</v>
      </c>
      <c r="C219" s="433" t="s">
        <v>522</v>
      </c>
      <c r="D219" s="454">
        <v>3000</v>
      </c>
      <c r="E219" s="440" t="s">
        <v>1168</v>
      </c>
      <c r="F219" s="432" t="s">
        <v>1169</v>
      </c>
      <c r="G219" s="432" t="s">
        <v>1170</v>
      </c>
      <c r="H219" s="432" t="s">
        <v>526</v>
      </c>
      <c r="I219" s="447"/>
      <c r="J219" s="436"/>
      <c r="K219" s="437"/>
      <c r="L219" s="311"/>
    </row>
    <row r="220" spans="1:12" ht="27">
      <c r="A220" s="318">
        <v>212</v>
      </c>
      <c r="B220" s="432" t="s">
        <v>1171</v>
      </c>
      <c r="C220" s="433" t="s">
        <v>522</v>
      </c>
      <c r="D220" s="454">
        <v>3000</v>
      </c>
      <c r="E220" s="440" t="s">
        <v>1172</v>
      </c>
      <c r="F220" s="432" t="s">
        <v>1173</v>
      </c>
      <c r="G220" s="432" t="s">
        <v>1174</v>
      </c>
      <c r="H220" s="432" t="s">
        <v>526</v>
      </c>
      <c r="I220" s="447"/>
      <c r="J220" s="436"/>
      <c r="K220" s="437"/>
      <c r="L220" s="311"/>
    </row>
    <row r="221" spans="1:12" ht="27">
      <c r="A221" s="318">
        <v>213</v>
      </c>
      <c r="B221" s="432" t="s">
        <v>1171</v>
      </c>
      <c r="C221" s="433" t="s">
        <v>522</v>
      </c>
      <c r="D221" s="454">
        <v>3000</v>
      </c>
      <c r="E221" s="440" t="s">
        <v>1175</v>
      </c>
      <c r="F221" s="432" t="s">
        <v>1176</v>
      </c>
      <c r="G221" s="432" t="s">
        <v>1177</v>
      </c>
      <c r="H221" s="432" t="s">
        <v>526</v>
      </c>
      <c r="I221" s="447"/>
      <c r="J221" s="436"/>
      <c r="K221" s="437"/>
      <c r="L221" s="311"/>
    </row>
    <row r="222" spans="1:12" ht="27">
      <c r="A222" s="318">
        <v>214</v>
      </c>
      <c r="B222" s="432" t="s">
        <v>1171</v>
      </c>
      <c r="C222" s="433" t="s">
        <v>522</v>
      </c>
      <c r="D222" s="454">
        <v>2000</v>
      </c>
      <c r="E222" s="440" t="s">
        <v>1178</v>
      </c>
      <c r="F222" s="432" t="s">
        <v>1179</v>
      </c>
      <c r="G222" s="432" t="s">
        <v>1180</v>
      </c>
      <c r="H222" s="432" t="s">
        <v>526</v>
      </c>
      <c r="I222" s="447"/>
      <c r="J222" s="436"/>
      <c r="K222" s="437"/>
      <c r="L222" s="311"/>
    </row>
    <row r="223" spans="1:12" ht="27">
      <c r="A223" s="318">
        <v>215</v>
      </c>
      <c r="B223" s="432" t="s">
        <v>1171</v>
      </c>
      <c r="C223" s="433" t="s">
        <v>522</v>
      </c>
      <c r="D223" s="454">
        <v>4000</v>
      </c>
      <c r="E223" s="440" t="s">
        <v>1181</v>
      </c>
      <c r="F223" s="432" t="s">
        <v>1182</v>
      </c>
      <c r="G223" s="432" t="s">
        <v>1183</v>
      </c>
      <c r="H223" s="432" t="s">
        <v>526</v>
      </c>
      <c r="I223" s="447"/>
      <c r="J223" s="436"/>
      <c r="K223" s="437"/>
      <c r="L223" s="311"/>
    </row>
    <row r="224" spans="1:12" ht="27">
      <c r="A224" s="318">
        <v>216</v>
      </c>
      <c r="B224" s="432" t="s">
        <v>1171</v>
      </c>
      <c r="C224" s="433" t="s">
        <v>522</v>
      </c>
      <c r="D224" s="454">
        <v>2500</v>
      </c>
      <c r="E224" s="440" t="s">
        <v>1184</v>
      </c>
      <c r="F224" s="432" t="s">
        <v>1185</v>
      </c>
      <c r="G224" s="432" t="s">
        <v>1186</v>
      </c>
      <c r="H224" s="432" t="s">
        <v>526</v>
      </c>
      <c r="I224" s="447"/>
      <c r="J224" s="436"/>
      <c r="K224" s="437"/>
      <c r="L224" s="311"/>
    </row>
    <row r="225" spans="1:12" ht="27">
      <c r="A225" s="318">
        <v>217</v>
      </c>
      <c r="B225" s="432" t="s">
        <v>1171</v>
      </c>
      <c r="C225" s="433" t="s">
        <v>522</v>
      </c>
      <c r="D225" s="454">
        <v>3000</v>
      </c>
      <c r="E225" s="440" t="s">
        <v>1187</v>
      </c>
      <c r="F225" s="432" t="s">
        <v>1188</v>
      </c>
      <c r="G225" s="432" t="s">
        <v>1189</v>
      </c>
      <c r="H225" s="432" t="s">
        <v>526</v>
      </c>
      <c r="I225" s="447"/>
      <c r="J225" s="436"/>
      <c r="K225" s="437"/>
      <c r="L225" s="311"/>
    </row>
    <row r="226" spans="1:12" ht="27">
      <c r="A226" s="318">
        <v>218</v>
      </c>
      <c r="B226" s="432" t="s">
        <v>1171</v>
      </c>
      <c r="C226" s="433" t="s">
        <v>522</v>
      </c>
      <c r="D226" s="454">
        <v>4000</v>
      </c>
      <c r="E226" s="440" t="s">
        <v>1190</v>
      </c>
      <c r="F226" s="432" t="s">
        <v>1191</v>
      </c>
      <c r="G226" s="432" t="s">
        <v>1192</v>
      </c>
      <c r="H226" s="432" t="s">
        <v>526</v>
      </c>
      <c r="I226" s="447"/>
      <c r="J226" s="436"/>
      <c r="K226" s="437"/>
      <c r="L226" s="311"/>
    </row>
    <row r="227" spans="1:12" ht="27">
      <c r="A227" s="318">
        <v>219</v>
      </c>
      <c r="B227" s="432" t="s">
        <v>1171</v>
      </c>
      <c r="C227" s="433" t="s">
        <v>522</v>
      </c>
      <c r="D227" s="454">
        <v>2000</v>
      </c>
      <c r="E227" s="440" t="s">
        <v>1193</v>
      </c>
      <c r="F227" s="432" t="s">
        <v>1194</v>
      </c>
      <c r="G227" s="432" t="s">
        <v>1195</v>
      </c>
      <c r="H227" s="432" t="s">
        <v>526</v>
      </c>
      <c r="I227" s="447"/>
      <c r="J227" s="436"/>
      <c r="K227" s="437"/>
      <c r="L227" s="311"/>
    </row>
    <row r="228" spans="1:12" ht="27">
      <c r="A228" s="318">
        <v>220</v>
      </c>
      <c r="B228" s="432" t="s">
        <v>1171</v>
      </c>
      <c r="C228" s="433" t="s">
        <v>522</v>
      </c>
      <c r="D228" s="454">
        <v>2500</v>
      </c>
      <c r="E228" s="440" t="s">
        <v>1196</v>
      </c>
      <c r="F228" s="432" t="s">
        <v>1197</v>
      </c>
      <c r="G228" s="432" t="s">
        <v>1198</v>
      </c>
      <c r="H228" s="432" t="s">
        <v>526</v>
      </c>
      <c r="I228" s="447"/>
      <c r="J228" s="436"/>
      <c r="K228" s="437"/>
      <c r="L228" s="311"/>
    </row>
    <row r="229" spans="1:12" ht="27">
      <c r="A229" s="318">
        <v>221</v>
      </c>
      <c r="B229" s="432" t="s">
        <v>1171</v>
      </c>
      <c r="C229" s="433" t="s">
        <v>522</v>
      </c>
      <c r="D229" s="454">
        <v>22000</v>
      </c>
      <c r="E229" s="440" t="s">
        <v>1199</v>
      </c>
      <c r="F229" s="432" t="s">
        <v>1200</v>
      </c>
      <c r="G229" s="432" t="s">
        <v>1201</v>
      </c>
      <c r="H229" s="432" t="s">
        <v>526</v>
      </c>
      <c r="I229" s="447"/>
      <c r="J229" s="436"/>
      <c r="K229" s="437"/>
      <c r="L229" s="311"/>
    </row>
    <row r="230" spans="1:12" ht="27">
      <c r="A230" s="318">
        <v>222</v>
      </c>
      <c r="B230" s="432" t="s">
        <v>1171</v>
      </c>
      <c r="C230" s="433" t="s">
        <v>522</v>
      </c>
      <c r="D230" s="454">
        <v>48000</v>
      </c>
      <c r="E230" s="440" t="s">
        <v>1202</v>
      </c>
      <c r="F230" s="432" t="s">
        <v>1203</v>
      </c>
      <c r="G230" s="432" t="s">
        <v>1204</v>
      </c>
      <c r="H230" s="432" t="s">
        <v>526</v>
      </c>
      <c r="I230" s="447"/>
      <c r="J230" s="436"/>
      <c r="K230" s="437"/>
      <c r="L230" s="311"/>
    </row>
    <row r="231" spans="1:12" ht="27">
      <c r="A231" s="318">
        <v>223</v>
      </c>
      <c r="B231" s="432" t="s">
        <v>1205</v>
      </c>
      <c r="C231" s="433" t="s">
        <v>522</v>
      </c>
      <c r="D231" s="454">
        <v>3000</v>
      </c>
      <c r="E231" s="440" t="s">
        <v>1206</v>
      </c>
      <c r="F231" s="432" t="s">
        <v>1207</v>
      </c>
      <c r="G231" s="432" t="s">
        <v>1208</v>
      </c>
      <c r="H231" s="432" t="s">
        <v>526</v>
      </c>
      <c r="I231" s="447"/>
      <c r="J231" s="436"/>
      <c r="K231" s="437"/>
      <c r="L231" s="311"/>
    </row>
    <row r="232" spans="1:12" ht="27">
      <c r="A232" s="318">
        <v>224</v>
      </c>
      <c r="B232" s="432" t="s">
        <v>1205</v>
      </c>
      <c r="C232" s="433" t="s">
        <v>522</v>
      </c>
      <c r="D232" s="454">
        <v>4000</v>
      </c>
      <c r="E232" s="440" t="s">
        <v>1209</v>
      </c>
      <c r="F232" s="432" t="s">
        <v>1210</v>
      </c>
      <c r="G232" s="432" t="s">
        <v>1211</v>
      </c>
      <c r="H232" s="432" t="s">
        <v>526</v>
      </c>
      <c r="I232" s="447"/>
      <c r="J232" s="436"/>
      <c r="K232" s="437"/>
      <c r="L232" s="311"/>
    </row>
    <row r="233" spans="1:12" ht="27">
      <c r="A233" s="318">
        <v>225</v>
      </c>
      <c r="B233" s="432" t="s">
        <v>1205</v>
      </c>
      <c r="C233" s="433" t="s">
        <v>522</v>
      </c>
      <c r="D233" s="454">
        <v>25000</v>
      </c>
      <c r="E233" s="440" t="s">
        <v>1212</v>
      </c>
      <c r="F233" s="432" t="s">
        <v>1213</v>
      </c>
      <c r="G233" s="432" t="s">
        <v>1214</v>
      </c>
      <c r="H233" s="432" t="s">
        <v>526</v>
      </c>
      <c r="I233" s="447"/>
      <c r="J233" s="436"/>
      <c r="K233" s="437"/>
      <c r="L233" s="311"/>
    </row>
    <row r="234" spans="1:12" ht="27">
      <c r="A234" s="318">
        <v>226</v>
      </c>
      <c r="B234" s="432" t="s">
        <v>1205</v>
      </c>
      <c r="C234" s="433" t="s">
        <v>522</v>
      </c>
      <c r="D234" s="454">
        <v>25000</v>
      </c>
      <c r="E234" s="440" t="s">
        <v>1215</v>
      </c>
      <c r="F234" s="432" t="s">
        <v>1216</v>
      </c>
      <c r="G234" s="432" t="s">
        <v>1217</v>
      </c>
      <c r="H234" s="432" t="s">
        <v>526</v>
      </c>
      <c r="I234" s="447"/>
      <c r="J234" s="436"/>
      <c r="K234" s="437"/>
      <c r="L234" s="311"/>
    </row>
    <row r="235" spans="1:12" ht="27">
      <c r="A235" s="318">
        <v>227</v>
      </c>
      <c r="B235" s="432" t="s">
        <v>1205</v>
      </c>
      <c r="C235" s="433" t="s">
        <v>522</v>
      </c>
      <c r="D235" s="454">
        <v>20000</v>
      </c>
      <c r="E235" s="440" t="s">
        <v>1218</v>
      </c>
      <c r="F235" s="432" t="s">
        <v>1219</v>
      </c>
      <c r="G235" s="432" t="s">
        <v>1220</v>
      </c>
      <c r="H235" s="432" t="s">
        <v>526</v>
      </c>
      <c r="I235" s="447"/>
      <c r="J235" s="436"/>
      <c r="K235" s="437"/>
      <c r="L235" s="311"/>
    </row>
    <row r="236" spans="1:12" ht="27">
      <c r="A236" s="318">
        <v>228</v>
      </c>
      <c r="B236" s="432" t="s">
        <v>1205</v>
      </c>
      <c r="C236" s="433" t="s">
        <v>522</v>
      </c>
      <c r="D236" s="454">
        <v>3000</v>
      </c>
      <c r="E236" s="440" t="s">
        <v>1221</v>
      </c>
      <c r="F236" s="432" t="s">
        <v>1222</v>
      </c>
      <c r="G236" s="432" t="s">
        <v>1223</v>
      </c>
      <c r="H236" s="432" t="s">
        <v>526</v>
      </c>
      <c r="I236" s="447"/>
      <c r="J236" s="436"/>
      <c r="K236" s="437"/>
      <c r="L236" s="311"/>
    </row>
    <row r="237" spans="1:12" ht="27">
      <c r="A237" s="318">
        <v>229</v>
      </c>
      <c r="B237" s="432" t="s">
        <v>1205</v>
      </c>
      <c r="C237" s="433" t="s">
        <v>522</v>
      </c>
      <c r="D237" s="454">
        <v>3000</v>
      </c>
      <c r="E237" s="440" t="s">
        <v>1224</v>
      </c>
      <c r="F237" s="432" t="s">
        <v>1225</v>
      </c>
      <c r="G237" s="432" t="s">
        <v>1226</v>
      </c>
      <c r="H237" s="432" t="s">
        <v>526</v>
      </c>
      <c r="I237" s="447"/>
      <c r="J237" s="436"/>
      <c r="K237" s="437"/>
      <c r="L237" s="311"/>
    </row>
    <row r="238" spans="1:12" ht="27">
      <c r="A238" s="318">
        <v>230</v>
      </c>
      <c r="B238" s="432" t="s">
        <v>1227</v>
      </c>
      <c r="C238" s="433" t="s">
        <v>522</v>
      </c>
      <c r="D238" s="454">
        <v>2000</v>
      </c>
      <c r="E238" s="440" t="s">
        <v>1228</v>
      </c>
      <c r="F238" s="432" t="s">
        <v>1229</v>
      </c>
      <c r="G238" s="432" t="s">
        <v>1230</v>
      </c>
      <c r="H238" s="432" t="s">
        <v>526</v>
      </c>
      <c r="I238" s="447"/>
      <c r="J238" s="436"/>
      <c r="K238" s="437"/>
      <c r="L238" s="311"/>
    </row>
    <row r="239" spans="1:12" ht="27">
      <c r="A239" s="318">
        <v>231</v>
      </c>
      <c r="B239" s="432" t="s">
        <v>1227</v>
      </c>
      <c r="C239" s="433" t="s">
        <v>522</v>
      </c>
      <c r="D239" s="454">
        <v>2500</v>
      </c>
      <c r="E239" s="440" t="s">
        <v>1231</v>
      </c>
      <c r="F239" s="432" t="s">
        <v>1232</v>
      </c>
      <c r="G239" s="432" t="s">
        <v>1233</v>
      </c>
      <c r="H239" s="432" t="s">
        <v>526</v>
      </c>
      <c r="I239" s="447"/>
      <c r="J239" s="436"/>
      <c r="K239" s="437"/>
      <c r="L239" s="311"/>
    </row>
    <row r="240" spans="1:12" ht="27">
      <c r="A240" s="318">
        <v>232</v>
      </c>
      <c r="B240" s="432" t="s">
        <v>1227</v>
      </c>
      <c r="C240" s="433" t="s">
        <v>522</v>
      </c>
      <c r="D240" s="454">
        <v>4000</v>
      </c>
      <c r="E240" s="440" t="s">
        <v>1234</v>
      </c>
      <c r="F240" s="432" t="s">
        <v>1235</v>
      </c>
      <c r="G240" s="432" t="s">
        <v>1236</v>
      </c>
      <c r="H240" s="432" t="s">
        <v>526</v>
      </c>
      <c r="I240" s="447"/>
      <c r="J240" s="436"/>
      <c r="K240" s="437"/>
      <c r="L240" s="311"/>
    </row>
    <row r="241" spans="1:12" ht="27">
      <c r="A241" s="318">
        <v>233</v>
      </c>
      <c r="B241" s="432" t="s">
        <v>1227</v>
      </c>
      <c r="C241" s="433" t="s">
        <v>522</v>
      </c>
      <c r="D241" s="454">
        <v>4000</v>
      </c>
      <c r="E241" s="440" t="s">
        <v>1237</v>
      </c>
      <c r="F241" s="432" t="s">
        <v>1238</v>
      </c>
      <c r="G241" s="432" t="s">
        <v>1239</v>
      </c>
      <c r="H241" s="432" t="s">
        <v>526</v>
      </c>
      <c r="I241" s="447"/>
      <c r="J241" s="436"/>
      <c r="K241" s="437"/>
      <c r="L241" s="311"/>
    </row>
    <row r="242" spans="1:12" ht="27">
      <c r="A242" s="318">
        <v>234</v>
      </c>
      <c r="B242" s="432" t="s">
        <v>1227</v>
      </c>
      <c r="C242" s="433" t="s">
        <v>522</v>
      </c>
      <c r="D242" s="454">
        <v>3000</v>
      </c>
      <c r="E242" s="440" t="s">
        <v>1240</v>
      </c>
      <c r="F242" s="432" t="s">
        <v>1241</v>
      </c>
      <c r="G242" s="432" t="s">
        <v>1242</v>
      </c>
      <c r="H242" s="432" t="s">
        <v>526</v>
      </c>
      <c r="I242" s="447"/>
      <c r="J242" s="436"/>
      <c r="K242" s="437"/>
      <c r="L242" s="311"/>
    </row>
    <row r="243" spans="1:12" ht="27">
      <c r="A243" s="318">
        <v>235</v>
      </c>
      <c r="B243" s="432" t="s">
        <v>1243</v>
      </c>
      <c r="C243" s="433" t="s">
        <v>522</v>
      </c>
      <c r="D243" s="454">
        <v>3000</v>
      </c>
      <c r="E243" s="434" t="s">
        <v>1244</v>
      </c>
      <c r="F243" s="432" t="s">
        <v>1245</v>
      </c>
      <c r="G243" s="432" t="s">
        <v>1246</v>
      </c>
      <c r="H243" s="432" t="s">
        <v>526</v>
      </c>
      <c r="I243" s="447"/>
      <c r="J243" s="436"/>
      <c r="K243" s="437"/>
      <c r="L243" s="311"/>
    </row>
    <row r="244" spans="1:12" ht="27">
      <c r="A244" s="318">
        <v>236</v>
      </c>
      <c r="B244" s="432" t="s">
        <v>1243</v>
      </c>
      <c r="C244" s="433" t="s">
        <v>522</v>
      </c>
      <c r="D244" s="454">
        <v>4000</v>
      </c>
      <c r="E244" s="434" t="s">
        <v>1247</v>
      </c>
      <c r="F244" s="432" t="s">
        <v>1248</v>
      </c>
      <c r="G244" s="432" t="s">
        <v>1249</v>
      </c>
      <c r="H244" s="432" t="s">
        <v>526</v>
      </c>
      <c r="I244" s="447"/>
      <c r="J244" s="436"/>
      <c r="K244" s="437"/>
      <c r="L244" s="311"/>
    </row>
    <row r="245" spans="1:12" ht="27">
      <c r="A245" s="318">
        <v>237</v>
      </c>
      <c r="B245" s="432" t="s">
        <v>1250</v>
      </c>
      <c r="C245" s="433" t="s">
        <v>522</v>
      </c>
      <c r="D245" s="454">
        <v>4000</v>
      </c>
      <c r="E245" s="434" t="s">
        <v>1251</v>
      </c>
      <c r="F245" s="432" t="s">
        <v>1252</v>
      </c>
      <c r="G245" s="432" t="s">
        <v>1253</v>
      </c>
      <c r="H245" s="432" t="s">
        <v>526</v>
      </c>
      <c r="I245" s="447"/>
      <c r="J245" s="436"/>
      <c r="K245" s="437"/>
      <c r="L245" s="311"/>
    </row>
    <row r="246" spans="1:12" ht="27">
      <c r="A246" s="318">
        <v>238</v>
      </c>
      <c r="B246" s="432" t="s">
        <v>1250</v>
      </c>
      <c r="C246" s="433" t="s">
        <v>522</v>
      </c>
      <c r="D246" s="454">
        <v>50000</v>
      </c>
      <c r="E246" s="434" t="s">
        <v>1254</v>
      </c>
      <c r="F246" s="432" t="s">
        <v>1255</v>
      </c>
      <c r="G246" s="432" t="s">
        <v>1256</v>
      </c>
      <c r="H246" s="432" t="s">
        <v>526</v>
      </c>
      <c r="I246" s="447"/>
      <c r="J246" s="436"/>
      <c r="K246" s="437"/>
      <c r="L246" s="311"/>
    </row>
    <row r="247" spans="1:12" ht="27">
      <c r="A247" s="318">
        <v>239</v>
      </c>
      <c r="B247" s="432" t="s">
        <v>1250</v>
      </c>
      <c r="C247" s="433" t="s">
        <v>522</v>
      </c>
      <c r="D247" s="454">
        <v>2000</v>
      </c>
      <c r="E247" s="434" t="s">
        <v>1257</v>
      </c>
      <c r="F247" s="432" t="s">
        <v>1258</v>
      </c>
      <c r="G247" s="432" t="s">
        <v>1259</v>
      </c>
      <c r="H247" s="432" t="s">
        <v>526</v>
      </c>
      <c r="I247" s="447"/>
      <c r="J247" s="436"/>
      <c r="K247" s="437"/>
      <c r="L247" s="311"/>
    </row>
    <row r="248" spans="1:12" ht="27">
      <c r="A248" s="318">
        <v>240</v>
      </c>
      <c r="B248" s="432" t="s">
        <v>1250</v>
      </c>
      <c r="C248" s="433" t="s">
        <v>522</v>
      </c>
      <c r="D248" s="454">
        <v>3000</v>
      </c>
      <c r="E248" s="434" t="s">
        <v>1260</v>
      </c>
      <c r="F248" s="432" t="s">
        <v>1261</v>
      </c>
      <c r="G248" s="432" t="s">
        <v>1262</v>
      </c>
      <c r="H248" s="432" t="s">
        <v>526</v>
      </c>
      <c r="I248" s="447"/>
      <c r="J248" s="436"/>
      <c r="K248" s="437"/>
      <c r="L248" s="311"/>
    </row>
    <row r="249" spans="1:12" ht="27">
      <c r="A249" s="318">
        <v>241</v>
      </c>
      <c r="B249" s="432" t="s">
        <v>1250</v>
      </c>
      <c r="C249" s="433" t="s">
        <v>522</v>
      </c>
      <c r="D249" s="454">
        <v>2500</v>
      </c>
      <c r="E249" s="434" t="s">
        <v>1263</v>
      </c>
      <c r="F249" s="432" t="s">
        <v>1264</v>
      </c>
      <c r="G249" s="432" t="s">
        <v>1265</v>
      </c>
      <c r="H249" s="432" t="s">
        <v>526</v>
      </c>
      <c r="I249" s="447"/>
      <c r="J249" s="436"/>
      <c r="K249" s="437"/>
      <c r="L249" s="311"/>
    </row>
    <row r="250" spans="1:12" ht="27">
      <c r="A250" s="318">
        <v>242</v>
      </c>
      <c r="B250" s="432" t="s">
        <v>1250</v>
      </c>
      <c r="C250" s="433" t="s">
        <v>522</v>
      </c>
      <c r="D250" s="454">
        <v>46000</v>
      </c>
      <c r="E250" s="434" t="s">
        <v>1266</v>
      </c>
      <c r="F250" s="432" t="s">
        <v>1267</v>
      </c>
      <c r="G250" s="432" t="s">
        <v>1268</v>
      </c>
      <c r="H250" s="432" t="s">
        <v>526</v>
      </c>
      <c r="I250" s="447"/>
      <c r="J250" s="436"/>
      <c r="K250" s="437"/>
      <c r="L250" s="311"/>
    </row>
    <row r="251" spans="1:12" ht="27">
      <c r="A251" s="318">
        <v>243</v>
      </c>
      <c r="B251" s="432" t="s">
        <v>1250</v>
      </c>
      <c r="C251" s="433" t="s">
        <v>522</v>
      </c>
      <c r="D251" s="454">
        <v>14000</v>
      </c>
      <c r="E251" s="434" t="s">
        <v>1269</v>
      </c>
      <c r="F251" s="432" t="s">
        <v>1270</v>
      </c>
      <c r="G251" s="432" t="s">
        <v>1271</v>
      </c>
      <c r="H251" s="432" t="s">
        <v>526</v>
      </c>
      <c r="I251" s="447"/>
      <c r="J251" s="436"/>
      <c r="K251" s="437"/>
      <c r="L251" s="311"/>
    </row>
    <row r="252" spans="1:12" ht="27">
      <c r="A252" s="318">
        <v>244</v>
      </c>
      <c r="B252" s="432" t="s">
        <v>1272</v>
      </c>
      <c r="C252" s="433" t="s">
        <v>522</v>
      </c>
      <c r="D252" s="454">
        <v>3000</v>
      </c>
      <c r="E252" s="434" t="s">
        <v>1273</v>
      </c>
      <c r="F252" s="432" t="s">
        <v>1274</v>
      </c>
      <c r="G252" s="432" t="s">
        <v>1275</v>
      </c>
      <c r="H252" s="432" t="s">
        <v>526</v>
      </c>
      <c r="I252" s="447"/>
      <c r="J252" s="436"/>
      <c r="K252" s="437"/>
      <c r="L252" s="311"/>
    </row>
    <row r="253" spans="1:12" ht="27">
      <c r="A253" s="318">
        <v>245</v>
      </c>
      <c r="B253" s="432" t="s">
        <v>1272</v>
      </c>
      <c r="C253" s="433" t="s">
        <v>522</v>
      </c>
      <c r="D253" s="454">
        <v>3000</v>
      </c>
      <c r="E253" s="434" t="s">
        <v>1276</v>
      </c>
      <c r="F253" s="432" t="s">
        <v>1277</v>
      </c>
      <c r="G253" s="432" t="s">
        <v>1278</v>
      </c>
      <c r="H253" s="432" t="s">
        <v>526</v>
      </c>
      <c r="I253" s="447"/>
      <c r="J253" s="436"/>
      <c r="K253" s="437"/>
      <c r="L253" s="311"/>
    </row>
    <row r="254" spans="1:12" ht="27">
      <c r="A254" s="318">
        <v>246</v>
      </c>
      <c r="B254" s="432" t="s">
        <v>1272</v>
      </c>
      <c r="C254" s="433" t="s">
        <v>522</v>
      </c>
      <c r="D254" s="454">
        <v>2000</v>
      </c>
      <c r="E254" s="434" t="s">
        <v>1279</v>
      </c>
      <c r="F254" s="432" t="s">
        <v>1280</v>
      </c>
      <c r="G254" s="432" t="s">
        <v>1281</v>
      </c>
      <c r="H254" s="432" t="s">
        <v>526</v>
      </c>
      <c r="I254" s="447"/>
      <c r="J254" s="436"/>
      <c r="K254" s="437"/>
      <c r="L254" s="311"/>
    </row>
    <row r="255" spans="1:12" ht="27">
      <c r="A255" s="318">
        <v>247</v>
      </c>
      <c r="B255" s="432" t="s">
        <v>1272</v>
      </c>
      <c r="C255" s="433" t="s">
        <v>522</v>
      </c>
      <c r="D255" s="454">
        <v>2000</v>
      </c>
      <c r="E255" s="434" t="s">
        <v>1282</v>
      </c>
      <c r="F255" s="432" t="s">
        <v>1283</v>
      </c>
      <c r="G255" s="432" t="s">
        <v>1284</v>
      </c>
      <c r="H255" s="432" t="s">
        <v>526</v>
      </c>
      <c r="I255" s="447"/>
      <c r="J255" s="436"/>
      <c r="K255" s="437"/>
      <c r="L255" s="311"/>
    </row>
    <row r="256" spans="1:12" ht="27">
      <c r="A256" s="318">
        <v>248</v>
      </c>
      <c r="B256" s="432" t="s">
        <v>1272</v>
      </c>
      <c r="C256" s="433" t="s">
        <v>522</v>
      </c>
      <c r="D256" s="454">
        <v>2000</v>
      </c>
      <c r="E256" s="434" t="s">
        <v>1285</v>
      </c>
      <c r="F256" s="432" t="s">
        <v>1286</v>
      </c>
      <c r="G256" s="432" t="s">
        <v>1287</v>
      </c>
      <c r="H256" s="432" t="s">
        <v>526</v>
      </c>
      <c r="I256" s="447"/>
      <c r="J256" s="436"/>
      <c r="K256" s="437"/>
      <c r="L256" s="311"/>
    </row>
    <row r="257" spans="1:12" ht="27">
      <c r="A257" s="318">
        <v>249</v>
      </c>
      <c r="B257" s="432" t="s">
        <v>1272</v>
      </c>
      <c r="C257" s="433" t="s">
        <v>522</v>
      </c>
      <c r="D257" s="454">
        <v>2500</v>
      </c>
      <c r="E257" s="434" t="s">
        <v>1288</v>
      </c>
      <c r="F257" s="432" t="s">
        <v>1289</v>
      </c>
      <c r="G257" s="432" t="s">
        <v>1290</v>
      </c>
      <c r="H257" s="432" t="s">
        <v>526</v>
      </c>
      <c r="I257" s="447"/>
      <c r="J257" s="436"/>
      <c r="K257" s="437"/>
      <c r="L257" s="311"/>
    </row>
    <row r="258" spans="1:12" ht="27">
      <c r="A258" s="318">
        <v>250</v>
      </c>
      <c r="B258" s="432" t="s">
        <v>1272</v>
      </c>
      <c r="C258" s="433" t="s">
        <v>522</v>
      </c>
      <c r="D258" s="454">
        <v>2500</v>
      </c>
      <c r="E258" s="434" t="s">
        <v>1291</v>
      </c>
      <c r="F258" s="432" t="s">
        <v>1292</v>
      </c>
      <c r="G258" s="432" t="s">
        <v>1293</v>
      </c>
      <c r="H258" s="432" t="s">
        <v>526</v>
      </c>
      <c r="I258" s="447"/>
      <c r="J258" s="436"/>
      <c r="K258" s="437"/>
      <c r="L258" s="311"/>
    </row>
    <row r="259" spans="1:12" ht="27">
      <c r="A259" s="318">
        <v>251</v>
      </c>
      <c r="B259" s="432" t="s">
        <v>1272</v>
      </c>
      <c r="C259" s="433" t="s">
        <v>522</v>
      </c>
      <c r="D259" s="454">
        <v>2500</v>
      </c>
      <c r="E259" s="434" t="s">
        <v>1294</v>
      </c>
      <c r="F259" s="432" t="s">
        <v>1295</v>
      </c>
      <c r="G259" s="432" t="s">
        <v>1296</v>
      </c>
      <c r="H259" s="432" t="s">
        <v>526</v>
      </c>
      <c r="I259" s="447"/>
      <c r="J259" s="436"/>
      <c r="K259" s="437"/>
      <c r="L259" s="311"/>
    </row>
    <row r="260" spans="1:12" ht="27">
      <c r="A260" s="318">
        <v>252</v>
      </c>
      <c r="B260" s="432" t="s">
        <v>1272</v>
      </c>
      <c r="C260" s="433" t="s">
        <v>522</v>
      </c>
      <c r="D260" s="454">
        <v>50000</v>
      </c>
      <c r="E260" s="434" t="s">
        <v>1297</v>
      </c>
      <c r="F260" s="432" t="s">
        <v>1298</v>
      </c>
      <c r="G260" s="432" t="s">
        <v>1299</v>
      </c>
      <c r="H260" s="432" t="s">
        <v>526</v>
      </c>
      <c r="I260" s="447"/>
      <c r="J260" s="436"/>
      <c r="K260" s="437"/>
      <c r="L260" s="311"/>
    </row>
    <row r="261" spans="1:12" ht="27">
      <c r="A261" s="318">
        <v>253</v>
      </c>
      <c r="B261" s="432" t="s">
        <v>1272</v>
      </c>
      <c r="C261" s="433" t="s">
        <v>522</v>
      </c>
      <c r="D261" s="454">
        <v>1500</v>
      </c>
      <c r="E261" s="434" t="s">
        <v>1300</v>
      </c>
      <c r="F261" s="432" t="s">
        <v>1301</v>
      </c>
      <c r="G261" s="432" t="s">
        <v>1302</v>
      </c>
      <c r="H261" s="432" t="s">
        <v>526</v>
      </c>
      <c r="I261" s="447"/>
      <c r="J261" s="436"/>
      <c r="K261" s="437"/>
      <c r="L261" s="311"/>
    </row>
    <row r="262" spans="1:12" ht="27">
      <c r="A262" s="318">
        <v>254</v>
      </c>
      <c r="B262" s="432" t="s">
        <v>1272</v>
      </c>
      <c r="C262" s="433" t="s">
        <v>522</v>
      </c>
      <c r="D262" s="454">
        <v>2000</v>
      </c>
      <c r="E262" s="434" t="s">
        <v>1303</v>
      </c>
      <c r="F262" s="432" t="s">
        <v>1304</v>
      </c>
      <c r="G262" s="432" t="s">
        <v>1305</v>
      </c>
      <c r="H262" s="432" t="s">
        <v>526</v>
      </c>
      <c r="I262" s="447"/>
      <c r="J262" s="436"/>
      <c r="K262" s="437"/>
      <c r="L262" s="311"/>
    </row>
    <row r="263" spans="1:12" ht="27">
      <c r="A263" s="318">
        <v>255</v>
      </c>
      <c r="B263" s="432" t="s">
        <v>1272</v>
      </c>
      <c r="C263" s="433" t="s">
        <v>522</v>
      </c>
      <c r="D263" s="454">
        <v>46000</v>
      </c>
      <c r="E263" s="434" t="s">
        <v>1209</v>
      </c>
      <c r="F263" s="432" t="s">
        <v>1210</v>
      </c>
      <c r="G263" s="432" t="s">
        <v>1211</v>
      </c>
      <c r="H263" s="432" t="s">
        <v>526</v>
      </c>
      <c r="I263" s="447"/>
      <c r="J263" s="436"/>
      <c r="K263" s="437"/>
      <c r="L263" s="311"/>
    </row>
    <row r="264" spans="1:12" ht="27">
      <c r="A264" s="318">
        <v>256</v>
      </c>
      <c r="B264" s="432" t="s">
        <v>1272</v>
      </c>
      <c r="C264" s="433" t="s">
        <v>522</v>
      </c>
      <c r="D264" s="454">
        <v>2500</v>
      </c>
      <c r="E264" s="434" t="s">
        <v>1306</v>
      </c>
      <c r="F264" s="432" t="s">
        <v>1307</v>
      </c>
      <c r="G264" s="432" t="s">
        <v>1308</v>
      </c>
      <c r="H264" s="432" t="s">
        <v>526</v>
      </c>
      <c r="I264" s="447"/>
      <c r="J264" s="436"/>
      <c r="K264" s="437"/>
      <c r="L264" s="311"/>
    </row>
    <row r="265" spans="1:12" ht="27">
      <c r="A265" s="318">
        <v>257</v>
      </c>
      <c r="B265" s="432" t="s">
        <v>1272</v>
      </c>
      <c r="C265" s="433" t="s">
        <v>522</v>
      </c>
      <c r="D265" s="454">
        <v>2500</v>
      </c>
      <c r="E265" s="434" t="s">
        <v>1309</v>
      </c>
      <c r="F265" s="432" t="s">
        <v>1310</v>
      </c>
      <c r="G265" s="432" t="s">
        <v>1311</v>
      </c>
      <c r="H265" s="432" t="s">
        <v>526</v>
      </c>
      <c r="I265" s="447"/>
      <c r="J265" s="436"/>
      <c r="K265" s="437"/>
      <c r="L265" s="311"/>
    </row>
    <row r="266" spans="1:12" ht="27">
      <c r="A266" s="318">
        <v>258</v>
      </c>
      <c r="B266" s="432" t="s">
        <v>1272</v>
      </c>
      <c r="C266" s="433" t="s">
        <v>522</v>
      </c>
      <c r="D266" s="454">
        <v>30000</v>
      </c>
      <c r="E266" s="434" t="s">
        <v>1312</v>
      </c>
      <c r="F266" s="432" t="s">
        <v>1313</v>
      </c>
      <c r="G266" s="432" t="s">
        <v>1314</v>
      </c>
      <c r="H266" s="432" t="s">
        <v>526</v>
      </c>
      <c r="I266" s="447"/>
      <c r="J266" s="436"/>
      <c r="K266" s="437"/>
      <c r="L266" s="311"/>
    </row>
    <row r="267" spans="1:12" ht="27">
      <c r="A267" s="318">
        <v>259</v>
      </c>
      <c r="B267" s="432" t="s">
        <v>1272</v>
      </c>
      <c r="C267" s="433" t="s">
        <v>522</v>
      </c>
      <c r="D267" s="454">
        <v>2000</v>
      </c>
      <c r="E267" s="434" t="s">
        <v>1315</v>
      </c>
      <c r="F267" s="432" t="s">
        <v>1316</v>
      </c>
      <c r="G267" s="432" t="s">
        <v>1317</v>
      </c>
      <c r="H267" s="432" t="s">
        <v>526</v>
      </c>
      <c r="I267" s="447"/>
      <c r="J267" s="436"/>
      <c r="K267" s="437"/>
      <c r="L267" s="311"/>
    </row>
    <row r="268" spans="1:12" ht="27">
      <c r="A268" s="318">
        <v>260</v>
      </c>
      <c r="B268" s="432" t="s">
        <v>1272</v>
      </c>
      <c r="C268" s="433" t="s">
        <v>522</v>
      </c>
      <c r="D268" s="454">
        <v>2500</v>
      </c>
      <c r="E268" s="434" t="s">
        <v>1318</v>
      </c>
      <c r="F268" s="432" t="s">
        <v>1319</v>
      </c>
      <c r="G268" s="441" t="s">
        <v>1320</v>
      </c>
      <c r="H268" s="441" t="s">
        <v>526</v>
      </c>
      <c r="I268" s="447"/>
      <c r="J268" s="436"/>
      <c r="K268" s="437"/>
      <c r="L268" s="311"/>
    </row>
    <row r="269" spans="1:12" ht="121.5">
      <c r="A269" s="318">
        <v>261</v>
      </c>
      <c r="B269" s="414" t="s">
        <v>1321</v>
      </c>
      <c r="C269" s="409" t="s">
        <v>527</v>
      </c>
      <c r="D269" s="455">
        <v>2500</v>
      </c>
      <c r="E269" s="440" t="s">
        <v>1322</v>
      </c>
      <c r="F269" s="449" t="s">
        <v>1323</v>
      </c>
      <c r="G269" s="450"/>
      <c r="H269" s="451"/>
      <c r="I269" s="398" t="s">
        <v>1324</v>
      </c>
      <c r="J269" s="436"/>
      <c r="K269" s="437"/>
      <c r="L269" s="311"/>
    </row>
    <row r="270" spans="1:12" ht="27">
      <c r="A270" s="318">
        <v>262</v>
      </c>
      <c r="B270" s="414" t="s">
        <v>1325</v>
      </c>
      <c r="C270" s="409" t="s">
        <v>231</v>
      </c>
      <c r="D270" s="410">
        <v>20</v>
      </c>
      <c r="E270" s="409" t="s">
        <v>1326</v>
      </c>
      <c r="F270" s="451" t="s">
        <v>518</v>
      </c>
      <c r="G270" s="451" t="s">
        <v>519</v>
      </c>
      <c r="H270" s="452" t="s">
        <v>520</v>
      </c>
      <c r="I270" s="447"/>
      <c r="J270" s="436"/>
      <c r="K270" s="437"/>
      <c r="L270" s="311"/>
    </row>
    <row r="271" spans="1:12" ht="27">
      <c r="A271" s="318">
        <v>263</v>
      </c>
      <c r="B271" s="432" t="s">
        <v>1327</v>
      </c>
      <c r="C271" s="409" t="s">
        <v>522</v>
      </c>
      <c r="D271" s="454">
        <v>3000</v>
      </c>
      <c r="E271" s="453" t="s">
        <v>1328</v>
      </c>
      <c r="F271" s="432" t="s">
        <v>1329</v>
      </c>
      <c r="G271" s="432" t="s">
        <v>1330</v>
      </c>
      <c r="H271" s="432" t="s">
        <v>526</v>
      </c>
      <c r="I271" s="447"/>
      <c r="J271" s="436"/>
      <c r="K271" s="437"/>
      <c r="L271" s="311"/>
    </row>
    <row r="272" spans="1:12" ht="27">
      <c r="A272" s="318">
        <v>264</v>
      </c>
      <c r="B272" s="432" t="s">
        <v>1327</v>
      </c>
      <c r="C272" s="409" t="s">
        <v>522</v>
      </c>
      <c r="D272" s="454">
        <v>3000</v>
      </c>
      <c r="E272" s="440" t="s">
        <v>1331</v>
      </c>
      <c r="F272" s="432" t="s">
        <v>1332</v>
      </c>
      <c r="G272" s="432" t="s">
        <v>1333</v>
      </c>
      <c r="H272" s="432" t="s">
        <v>526</v>
      </c>
      <c r="I272" s="447"/>
      <c r="J272" s="436"/>
      <c r="K272" s="437"/>
      <c r="L272" s="311"/>
    </row>
    <row r="273" spans="1:12" ht="27">
      <c r="A273" s="318">
        <v>265</v>
      </c>
      <c r="B273" s="432" t="s">
        <v>1327</v>
      </c>
      <c r="C273" s="409" t="s">
        <v>522</v>
      </c>
      <c r="D273" s="454">
        <v>2000</v>
      </c>
      <c r="E273" s="440" t="s">
        <v>1334</v>
      </c>
      <c r="F273" s="432" t="s">
        <v>1335</v>
      </c>
      <c r="G273" s="432" t="s">
        <v>1336</v>
      </c>
      <c r="H273" s="432" t="s">
        <v>526</v>
      </c>
      <c r="I273" s="447"/>
      <c r="J273" s="436"/>
      <c r="K273" s="437"/>
      <c r="L273" s="311"/>
    </row>
    <row r="274" spans="1:12" ht="27">
      <c r="A274" s="318">
        <v>266</v>
      </c>
      <c r="B274" s="432" t="s">
        <v>1327</v>
      </c>
      <c r="C274" s="409" t="s">
        <v>522</v>
      </c>
      <c r="D274" s="454">
        <v>4000</v>
      </c>
      <c r="E274" s="440" t="s">
        <v>1337</v>
      </c>
      <c r="F274" s="432" t="s">
        <v>1338</v>
      </c>
      <c r="G274" s="432" t="s">
        <v>1339</v>
      </c>
      <c r="H274" s="432" t="s">
        <v>526</v>
      </c>
      <c r="I274" s="447"/>
      <c r="J274" s="436"/>
      <c r="K274" s="437"/>
      <c r="L274" s="311"/>
    </row>
    <row r="275" spans="1:12" ht="27">
      <c r="A275" s="318">
        <v>267</v>
      </c>
      <c r="B275" s="432" t="s">
        <v>1327</v>
      </c>
      <c r="C275" s="409" t="s">
        <v>522</v>
      </c>
      <c r="D275" s="454">
        <v>2000</v>
      </c>
      <c r="E275" s="440" t="s">
        <v>1340</v>
      </c>
      <c r="F275" s="432" t="s">
        <v>1341</v>
      </c>
      <c r="G275" s="432" t="s">
        <v>1342</v>
      </c>
      <c r="H275" s="432" t="s">
        <v>526</v>
      </c>
      <c r="I275" s="447"/>
      <c r="J275" s="436"/>
      <c r="K275" s="437"/>
      <c r="L275" s="311"/>
    </row>
    <row r="276" spans="1:12" ht="27">
      <c r="A276" s="318">
        <v>268</v>
      </c>
      <c r="B276" s="432" t="s">
        <v>1327</v>
      </c>
      <c r="C276" s="409" t="s">
        <v>522</v>
      </c>
      <c r="D276" s="454">
        <v>2000</v>
      </c>
      <c r="E276" s="440" t="s">
        <v>1343</v>
      </c>
      <c r="F276" s="432" t="s">
        <v>1344</v>
      </c>
      <c r="G276" s="432" t="s">
        <v>1345</v>
      </c>
      <c r="H276" s="432" t="s">
        <v>526</v>
      </c>
      <c r="I276" s="447"/>
      <c r="J276" s="436"/>
      <c r="K276" s="437"/>
      <c r="L276" s="311"/>
    </row>
    <row r="277" spans="1:12" ht="27">
      <c r="A277" s="318">
        <v>269</v>
      </c>
      <c r="B277" s="432" t="s">
        <v>1327</v>
      </c>
      <c r="C277" s="409" t="s">
        <v>522</v>
      </c>
      <c r="D277" s="454">
        <v>2000</v>
      </c>
      <c r="E277" s="440" t="s">
        <v>1346</v>
      </c>
      <c r="F277" s="432" t="s">
        <v>1347</v>
      </c>
      <c r="G277" s="432" t="s">
        <v>1348</v>
      </c>
      <c r="H277" s="432" t="s">
        <v>526</v>
      </c>
      <c r="I277" s="447"/>
      <c r="J277" s="436"/>
      <c r="K277" s="437"/>
      <c r="L277" s="311"/>
    </row>
    <row r="278" spans="1:12" ht="27">
      <c r="A278" s="318">
        <v>270</v>
      </c>
      <c r="B278" s="432" t="s">
        <v>1327</v>
      </c>
      <c r="C278" s="409" t="s">
        <v>522</v>
      </c>
      <c r="D278" s="454">
        <v>2500</v>
      </c>
      <c r="E278" s="440" t="s">
        <v>1349</v>
      </c>
      <c r="F278" s="432" t="s">
        <v>1350</v>
      </c>
      <c r="G278" s="432" t="s">
        <v>1351</v>
      </c>
      <c r="H278" s="432" t="s">
        <v>526</v>
      </c>
      <c r="I278" s="447"/>
      <c r="J278" s="436"/>
      <c r="K278" s="437"/>
      <c r="L278" s="311"/>
    </row>
    <row r="279" spans="1:12" ht="27">
      <c r="A279" s="318">
        <v>271</v>
      </c>
      <c r="B279" s="432" t="s">
        <v>1327</v>
      </c>
      <c r="C279" s="409" t="s">
        <v>522</v>
      </c>
      <c r="D279" s="454">
        <v>14000</v>
      </c>
      <c r="E279" s="440" t="s">
        <v>1352</v>
      </c>
      <c r="F279" s="432" t="s">
        <v>1353</v>
      </c>
      <c r="G279" s="432" t="s">
        <v>1354</v>
      </c>
      <c r="H279" s="432" t="s">
        <v>526</v>
      </c>
      <c r="I279" s="447"/>
      <c r="J279" s="436"/>
      <c r="K279" s="437"/>
      <c r="L279" s="311"/>
    </row>
    <row r="280" spans="1:12" ht="27">
      <c r="A280" s="318">
        <v>272</v>
      </c>
      <c r="B280" s="432" t="s">
        <v>1327</v>
      </c>
      <c r="C280" s="409" t="s">
        <v>522</v>
      </c>
      <c r="D280" s="454">
        <v>2000</v>
      </c>
      <c r="E280" s="440" t="s">
        <v>1355</v>
      </c>
      <c r="F280" s="432" t="s">
        <v>1356</v>
      </c>
      <c r="G280" s="432" t="s">
        <v>1357</v>
      </c>
      <c r="H280" s="432" t="s">
        <v>526</v>
      </c>
      <c r="I280" s="447"/>
      <c r="J280" s="436"/>
      <c r="K280" s="437"/>
      <c r="L280" s="311"/>
    </row>
    <row r="281" spans="1:12" ht="27">
      <c r="A281" s="318">
        <v>273</v>
      </c>
      <c r="B281" s="432" t="s">
        <v>1327</v>
      </c>
      <c r="C281" s="409" t="s">
        <v>522</v>
      </c>
      <c r="D281" s="454">
        <v>2000</v>
      </c>
      <c r="E281" s="440" t="s">
        <v>1358</v>
      </c>
      <c r="F281" s="432" t="s">
        <v>1359</v>
      </c>
      <c r="G281" s="432" t="s">
        <v>1360</v>
      </c>
      <c r="H281" s="432" t="s">
        <v>526</v>
      </c>
      <c r="I281" s="447"/>
      <c r="J281" s="436"/>
      <c r="K281" s="437"/>
      <c r="L281" s="311"/>
    </row>
    <row r="282" spans="1:12" ht="27">
      <c r="A282" s="318">
        <v>274</v>
      </c>
      <c r="B282" s="432" t="s">
        <v>1327</v>
      </c>
      <c r="C282" s="409" t="s">
        <v>522</v>
      </c>
      <c r="D282" s="454">
        <v>3000</v>
      </c>
      <c r="E282" s="440" t="s">
        <v>1361</v>
      </c>
      <c r="F282" s="432" t="s">
        <v>1362</v>
      </c>
      <c r="G282" s="432" t="s">
        <v>1363</v>
      </c>
      <c r="H282" s="432" t="s">
        <v>526</v>
      </c>
      <c r="I282" s="447"/>
      <c r="J282" s="436"/>
      <c r="K282" s="437"/>
      <c r="L282" s="311"/>
    </row>
    <row r="283" spans="1:12" ht="27">
      <c r="A283" s="318">
        <v>275</v>
      </c>
      <c r="B283" s="432" t="s">
        <v>1327</v>
      </c>
      <c r="C283" s="409" t="s">
        <v>522</v>
      </c>
      <c r="D283" s="454">
        <v>4000</v>
      </c>
      <c r="E283" s="440" t="s">
        <v>1364</v>
      </c>
      <c r="F283" s="432" t="s">
        <v>1365</v>
      </c>
      <c r="G283" s="432" t="s">
        <v>1366</v>
      </c>
      <c r="H283" s="432" t="s">
        <v>526</v>
      </c>
      <c r="I283" s="447"/>
      <c r="J283" s="436"/>
      <c r="K283" s="437"/>
      <c r="L283" s="311"/>
    </row>
    <row r="284" spans="1:12" ht="27">
      <c r="A284" s="318">
        <v>276</v>
      </c>
      <c r="B284" s="432" t="s">
        <v>1327</v>
      </c>
      <c r="C284" s="409" t="s">
        <v>522</v>
      </c>
      <c r="D284" s="454">
        <v>2000</v>
      </c>
      <c r="E284" s="440" t="s">
        <v>1367</v>
      </c>
      <c r="F284" s="432" t="s">
        <v>1368</v>
      </c>
      <c r="G284" s="432" t="s">
        <v>1369</v>
      </c>
      <c r="H284" s="432" t="s">
        <v>526</v>
      </c>
      <c r="I284" s="447"/>
      <c r="J284" s="436"/>
      <c r="K284" s="437"/>
      <c r="L284" s="311"/>
    </row>
    <row r="285" spans="1:12" ht="27">
      <c r="A285" s="318">
        <v>277</v>
      </c>
      <c r="B285" s="432" t="s">
        <v>1327</v>
      </c>
      <c r="C285" s="409" t="s">
        <v>522</v>
      </c>
      <c r="D285" s="454">
        <v>4000</v>
      </c>
      <c r="E285" s="440" t="s">
        <v>1370</v>
      </c>
      <c r="F285" s="432" t="s">
        <v>1371</v>
      </c>
      <c r="G285" s="432" t="s">
        <v>1372</v>
      </c>
      <c r="H285" s="432" t="s">
        <v>526</v>
      </c>
      <c r="I285" s="447"/>
      <c r="J285" s="436"/>
      <c r="K285" s="437"/>
      <c r="L285" s="311"/>
    </row>
    <row r="286" spans="1:12" ht="27">
      <c r="A286" s="318">
        <v>278</v>
      </c>
      <c r="B286" s="432" t="s">
        <v>1327</v>
      </c>
      <c r="C286" s="409" t="s">
        <v>522</v>
      </c>
      <c r="D286" s="454">
        <v>30000</v>
      </c>
      <c r="E286" s="440" t="s">
        <v>1373</v>
      </c>
      <c r="F286" s="432" t="s">
        <v>1374</v>
      </c>
      <c r="G286" s="432" t="s">
        <v>1375</v>
      </c>
      <c r="H286" s="432" t="s">
        <v>526</v>
      </c>
      <c r="I286" s="447"/>
      <c r="J286" s="436"/>
      <c r="K286" s="437"/>
      <c r="L286" s="311"/>
    </row>
    <row r="287" spans="1:12" ht="27">
      <c r="A287" s="318">
        <v>279</v>
      </c>
      <c r="B287" s="432" t="s">
        <v>1321</v>
      </c>
      <c r="C287" s="409" t="s">
        <v>522</v>
      </c>
      <c r="D287" s="454">
        <v>2000</v>
      </c>
      <c r="E287" s="440" t="s">
        <v>1376</v>
      </c>
      <c r="F287" s="432" t="s">
        <v>1377</v>
      </c>
      <c r="G287" s="432" t="s">
        <v>1378</v>
      </c>
      <c r="H287" s="432" t="s">
        <v>526</v>
      </c>
      <c r="I287" s="447"/>
      <c r="J287" s="436"/>
      <c r="K287" s="437"/>
      <c r="L287" s="311"/>
    </row>
    <row r="288" spans="1:12" ht="27">
      <c r="A288" s="318">
        <v>280</v>
      </c>
      <c r="B288" s="432" t="s">
        <v>1321</v>
      </c>
      <c r="C288" s="409" t="s">
        <v>522</v>
      </c>
      <c r="D288" s="454">
        <v>2500</v>
      </c>
      <c r="E288" s="440" t="s">
        <v>1379</v>
      </c>
      <c r="F288" s="432" t="s">
        <v>1380</v>
      </c>
      <c r="G288" s="432" t="s">
        <v>1381</v>
      </c>
      <c r="H288" s="432" t="s">
        <v>526</v>
      </c>
      <c r="I288" s="447"/>
      <c r="J288" s="436"/>
      <c r="K288" s="437"/>
      <c r="L288" s="311"/>
    </row>
    <row r="289" spans="1:12" ht="27">
      <c r="A289" s="318">
        <v>281</v>
      </c>
      <c r="B289" s="432" t="s">
        <v>1321</v>
      </c>
      <c r="C289" s="409" t="s">
        <v>522</v>
      </c>
      <c r="D289" s="454">
        <v>4000</v>
      </c>
      <c r="E289" s="440" t="s">
        <v>1382</v>
      </c>
      <c r="F289" s="432" t="s">
        <v>1383</v>
      </c>
      <c r="G289" s="432" t="s">
        <v>1384</v>
      </c>
      <c r="H289" s="432" t="s">
        <v>526</v>
      </c>
      <c r="I289" s="447"/>
      <c r="J289" s="436"/>
      <c r="K289" s="437"/>
      <c r="L289" s="311"/>
    </row>
    <row r="290" spans="1:12" ht="27">
      <c r="A290" s="318">
        <v>282</v>
      </c>
      <c r="B290" s="432" t="s">
        <v>1321</v>
      </c>
      <c r="C290" s="409" t="s">
        <v>522</v>
      </c>
      <c r="D290" s="454">
        <v>2000</v>
      </c>
      <c r="E290" s="440" t="s">
        <v>1385</v>
      </c>
      <c r="F290" s="432" t="s">
        <v>1386</v>
      </c>
      <c r="G290" s="432" t="s">
        <v>1387</v>
      </c>
      <c r="H290" s="432" t="s">
        <v>526</v>
      </c>
      <c r="I290" s="447"/>
      <c r="J290" s="436"/>
      <c r="K290" s="437"/>
      <c r="L290" s="311"/>
    </row>
    <row r="291" spans="1:12" ht="27">
      <c r="A291" s="318">
        <v>283</v>
      </c>
      <c r="B291" s="432" t="s">
        <v>1321</v>
      </c>
      <c r="C291" s="409" t="s">
        <v>522</v>
      </c>
      <c r="D291" s="454">
        <v>23000</v>
      </c>
      <c r="E291" s="440" t="s">
        <v>1388</v>
      </c>
      <c r="F291" s="432" t="s">
        <v>1389</v>
      </c>
      <c r="G291" s="432" t="s">
        <v>1390</v>
      </c>
      <c r="H291" s="432" t="s">
        <v>526</v>
      </c>
      <c r="I291" s="447"/>
      <c r="J291" s="436"/>
      <c r="K291" s="437"/>
      <c r="L291" s="311"/>
    </row>
    <row r="292" spans="1:12" ht="27">
      <c r="A292" s="318">
        <v>284</v>
      </c>
      <c r="B292" s="432" t="s">
        <v>1325</v>
      </c>
      <c r="C292" s="409" t="s">
        <v>522</v>
      </c>
      <c r="D292" s="454">
        <v>2000</v>
      </c>
      <c r="E292" s="440" t="s">
        <v>1391</v>
      </c>
      <c r="F292" s="432" t="s">
        <v>1392</v>
      </c>
      <c r="G292" s="432" t="s">
        <v>1393</v>
      </c>
      <c r="H292" s="432" t="s">
        <v>526</v>
      </c>
      <c r="I292" s="447"/>
      <c r="J292" s="436"/>
      <c r="K292" s="437"/>
      <c r="L292" s="311"/>
    </row>
    <row r="293" spans="1:12" ht="27">
      <c r="A293" s="318">
        <v>285</v>
      </c>
      <c r="B293" s="432" t="s">
        <v>1325</v>
      </c>
      <c r="C293" s="409" t="s">
        <v>522</v>
      </c>
      <c r="D293" s="454">
        <v>5000</v>
      </c>
      <c r="E293" s="440" t="s">
        <v>1394</v>
      </c>
      <c r="F293" s="432" t="s">
        <v>1395</v>
      </c>
      <c r="G293" s="432" t="s">
        <v>1396</v>
      </c>
      <c r="H293" s="432" t="s">
        <v>526</v>
      </c>
      <c r="I293" s="447"/>
      <c r="J293" s="436"/>
      <c r="K293" s="437"/>
      <c r="L293" s="311"/>
    </row>
    <row r="294" spans="1:12" ht="27">
      <c r="A294" s="318">
        <v>286</v>
      </c>
      <c r="B294" s="432" t="s">
        <v>1325</v>
      </c>
      <c r="C294" s="409" t="s">
        <v>522</v>
      </c>
      <c r="D294" s="454">
        <v>5000</v>
      </c>
      <c r="E294" s="440" t="s">
        <v>1397</v>
      </c>
      <c r="F294" s="432" t="s">
        <v>1398</v>
      </c>
      <c r="G294" s="432" t="s">
        <v>1399</v>
      </c>
      <c r="H294" s="432" t="s">
        <v>526</v>
      </c>
      <c r="I294" s="447"/>
      <c r="J294" s="436"/>
      <c r="K294" s="437"/>
      <c r="L294" s="311"/>
    </row>
    <row r="295" spans="1:12" ht="27">
      <c r="A295" s="318">
        <v>287</v>
      </c>
      <c r="B295" s="432" t="s">
        <v>1325</v>
      </c>
      <c r="C295" s="409" t="s">
        <v>522</v>
      </c>
      <c r="D295" s="454">
        <v>2000</v>
      </c>
      <c r="E295" s="440" t="s">
        <v>1400</v>
      </c>
      <c r="F295" s="432" t="s">
        <v>1401</v>
      </c>
      <c r="G295" s="432" t="s">
        <v>1402</v>
      </c>
      <c r="H295" s="432" t="s">
        <v>526</v>
      </c>
      <c r="I295" s="447"/>
      <c r="J295" s="436"/>
      <c r="K295" s="437"/>
      <c r="L295" s="311"/>
    </row>
    <row r="296" spans="1:12" ht="27">
      <c r="A296" s="318">
        <v>288</v>
      </c>
      <c r="B296" s="432" t="s">
        <v>1325</v>
      </c>
      <c r="C296" s="409" t="s">
        <v>522</v>
      </c>
      <c r="D296" s="454">
        <v>3000</v>
      </c>
      <c r="E296" s="440" t="s">
        <v>1403</v>
      </c>
      <c r="F296" s="432" t="s">
        <v>1404</v>
      </c>
      <c r="G296" s="432" t="s">
        <v>1405</v>
      </c>
      <c r="H296" s="432" t="s">
        <v>526</v>
      </c>
      <c r="I296" s="447"/>
      <c r="J296" s="436"/>
      <c r="K296" s="437"/>
      <c r="L296" s="311"/>
    </row>
    <row r="297" spans="1:12" ht="27">
      <c r="A297" s="318">
        <v>289</v>
      </c>
      <c r="B297" s="432" t="s">
        <v>1406</v>
      </c>
      <c r="C297" s="409" t="s">
        <v>522</v>
      </c>
      <c r="D297" s="454">
        <v>2000</v>
      </c>
      <c r="E297" s="434" t="s">
        <v>1407</v>
      </c>
      <c r="F297" s="432" t="s">
        <v>1408</v>
      </c>
      <c r="G297" s="432" t="s">
        <v>1409</v>
      </c>
      <c r="H297" s="432" t="s">
        <v>526</v>
      </c>
      <c r="I297" s="447"/>
      <c r="J297" s="436"/>
      <c r="K297" s="437"/>
      <c r="L297" s="311"/>
    </row>
    <row r="298" spans="1:12" ht="27">
      <c r="A298" s="318">
        <v>290</v>
      </c>
      <c r="B298" s="432" t="s">
        <v>1406</v>
      </c>
      <c r="C298" s="409" t="s">
        <v>522</v>
      </c>
      <c r="D298" s="454">
        <v>2000</v>
      </c>
      <c r="E298" s="434" t="s">
        <v>1410</v>
      </c>
      <c r="F298" s="432" t="s">
        <v>1411</v>
      </c>
      <c r="G298" s="432" t="s">
        <v>1412</v>
      </c>
      <c r="H298" s="432" t="s">
        <v>526</v>
      </c>
      <c r="I298" s="447"/>
      <c r="J298" s="436"/>
      <c r="K298" s="437"/>
      <c r="L298" s="311"/>
    </row>
    <row r="299" spans="1:12" ht="27">
      <c r="A299" s="318">
        <v>291</v>
      </c>
      <c r="B299" s="432" t="s">
        <v>1406</v>
      </c>
      <c r="C299" s="409" t="s">
        <v>522</v>
      </c>
      <c r="D299" s="454">
        <v>2000</v>
      </c>
      <c r="E299" s="434" t="s">
        <v>1413</v>
      </c>
      <c r="F299" s="432" t="s">
        <v>1414</v>
      </c>
      <c r="G299" s="432" t="s">
        <v>1415</v>
      </c>
      <c r="H299" s="432" t="s">
        <v>526</v>
      </c>
      <c r="I299" s="447"/>
      <c r="J299" s="436"/>
      <c r="K299" s="437"/>
      <c r="L299" s="311"/>
    </row>
    <row r="300" spans="1:12" ht="27">
      <c r="A300" s="318">
        <v>292</v>
      </c>
      <c r="B300" s="432" t="s">
        <v>1406</v>
      </c>
      <c r="C300" s="409" t="s">
        <v>522</v>
      </c>
      <c r="D300" s="454">
        <v>5000</v>
      </c>
      <c r="E300" s="434" t="s">
        <v>1416</v>
      </c>
      <c r="F300" s="432" t="s">
        <v>1417</v>
      </c>
      <c r="G300" s="432" t="s">
        <v>1418</v>
      </c>
      <c r="H300" s="432" t="s">
        <v>526</v>
      </c>
      <c r="I300" s="447"/>
      <c r="J300" s="436"/>
      <c r="K300" s="437"/>
      <c r="L300" s="311"/>
    </row>
    <row r="301" spans="1:12" ht="27">
      <c r="A301" s="318">
        <v>293</v>
      </c>
      <c r="B301" s="432" t="s">
        <v>1406</v>
      </c>
      <c r="C301" s="409" t="s">
        <v>522</v>
      </c>
      <c r="D301" s="454">
        <v>3000</v>
      </c>
      <c r="E301" s="434" t="s">
        <v>1419</v>
      </c>
      <c r="F301" s="432" t="s">
        <v>1420</v>
      </c>
      <c r="G301" s="432" t="s">
        <v>1421</v>
      </c>
      <c r="H301" s="432" t="s">
        <v>526</v>
      </c>
      <c r="I301" s="447"/>
      <c r="J301" s="436"/>
      <c r="K301" s="437"/>
      <c r="L301" s="311"/>
    </row>
    <row r="302" spans="1:12" ht="27">
      <c r="A302" s="318">
        <v>294</v>
      </c>
      <c r="B302" s="432" t="s">
        <v>1406</v>
      </c>
      <c r="C302" s="409" t="s">
        <v>522</v>
      </c>
      <c r="D302" s="454">
        <v>2000</v>
      </c>
      <c r="E302" s="434" t="s">
        <v>1422</v>
      </c>
      <c r="F302" s="432" t="s">
        <v>1423</v>
      </c>
      <c r="G302" s="432" t="s">
        <v>1424</v>
      </c>
      <c r="H302" s="432" t="s">
        <v>526</v>
      </c>
      <c r="I302" s="447"/>
      <c r="J302" s="436"/>
      <c r="K302" s="437"/>
      <c r="L302" s="311"/>
    </row>
    <row r="303" spans="1:12" ht="27">
      <c r="A303" s="318">
        <v>295</v>
      </c>
      <c r="B303" s="432" t="s">
        <v>1406</v>
      </c>
      <c r="C303" s="409" t="s">
        <v>522</v>
      </c>
      <c r="D303" s="454">
        <v>3000</v>
      </c>
      <c r="E303" s="434" t="s">
        <v>1425</v>
      </c>
      <c r="F303" s="432" t="s">
        <v>1426</v>
      </c>
      <c r="G303" s="432" t="s">
        <v>1427</v>
      </c>
      <c r="H303" s="432" t="s">
        <v>526</v>
      </c>
      <c r="I303" s="447"/>
      <c r="J303" s="436"/>
      <c r="K303" s="437"/>
      <c r="L303" s="311"/>
    </row>
    <row r="304" spans="1:12" ht="27">
      <c r="A304" s="318">
        <v>296</v>
      </c>
      <c r="B304" s="432" t="s">
        <v>1406</v>
      </c>
      <c r="C304" s="409" t="s">
        <v>522</v>
      </c>
      <c r="D304" s="454">
        <v>1500</v>
      </c>
      <c r="E304" s="434" t="s">
        <v>1428</v>
      </c>
      <c r="F304" s="432" t="s">
        <v>1429</v>
      </c>
      <c r="G304" s="432" t="s">
        <v>1430</v>
      </c>
      <c r="H304" s="432" t="s">
        <v>526</v>
      </c>
      <c r="I304" s="447"/>
      <c r="J304" s="436"/>
      <c r="K304" s="437"/>
      <c r="L304" s="311"/>
    </row>
    <row r="305" spans="1:12" ht="27">
      <c r="A305" s="318">
        <v>297</v>
      </c>
      <c r="B305" s="432" t="s">
        <v>1406</v>
      </c>
      <c r="C305" s="409" t="s">
        <v>522</v>
      </c>
      <c r="D305" s="454">
        <v>2000</v>
      </c>
      <c r="E305" s="434" t="s">
        <v>1431</v>
      </c>
      <c r="F305" s="432" t="s">
        <v>1432</v>
      </c>
      <c r="G305" s="432" t="s">
        <v>1433</v>
      </c>
      <c r="H305" s="432" t="s">
        <v>526</v>
      </c>
      <c r="I305" s="447"/>
      <c r="J305" s="436"/>
      <c r="K305" s="437"/>
      <c r="L305" s="311"/>
    </row>
    <row r="306" spans="1:12" ht="27">
      <c r="A306" s="318">
        <v>298</v>
      </c>
      <c r="B306" s="432" t="s">
        <v>1406</v>
      </c>
      <c r="C306" s="409" t="s">
        <v>522</v>
      </c>
      <c r="D306" s="454">
        <v>2000</v>
      </c>
      <c r="E306" s="434" t="s">
        <v>1434</v>
      </c>
      <c r="F306" s="432" t="s">
        <v>1435</v>
      </c>
      <c r="G306" s="432" t="s">
        <v>1436</v>
      </c>
      <c r="H306" s="432" t="s">
        <v>526</v>
      </c>
      <c r="I306" s="447"/>
      <c r="J306" s="436"/>
      <c r="K306" s="437"/>
      <c r="L306" s="311"/>
    </row>
    <row r="307" spans="1:12" ht="27">
      <c r="A307" s="318">
        <v>299</v>
      </c>
      <c r="B307" s="432" t="s">
        <v>1406</v>
      </c>
      <c r="C307" s="409" t="s">
        <v>522</v>
      </c>
      <c r="D307" s="454">
        <v>3000</v>
      </c>
      <c r="E307" s="434" t="s">
        <v>1437</v>
      </c>
      <c r="F307" s="432" t="s">
        <v>1438</v>
      </c>
      <c r="G307" s="432" t="s">
        <v>1439</v>
      </c>
      <c r="H307" s="432" t="s">
        <v>526</v>
      </c>
      <c r="I307" s="447"/>
      <c r="J307" s="436"/>
      <c r="K307" s="437"/>
      <c r="L307" s="311"/>
    </row>
    <row r="308" spans="1:12" ht="27">
      <c r="A308" s="318">
        <v>300</v>
      </c>
      <c r="B308" s="432" t="s">
        <v>1440</v>
      </c>
      <c r="C308" s="409" t="s">
        <v>522</v>
      </c>
      <c r="D308" s="454">
        <v>2000</v>
      </c>
      <c r="E308" s="434" t="s">
        <v>1441</v>
      </c>
      <c r="F308" s="432" t="s">
        <v>1442</v>
      </c>
      <c r="G308" s="432" t="s">
        <v>1443</v>
      </c>
      <c r="H308" s="432" t="s">
        <v>526</v>
      </c>
      <c r="I308" s="447"/>
      <c r="J308" s="436"/>
      <c r="K308" s="437"/>
      <c r="L308" s="311"/>
    </row>
    <row r="309" spans="1:12" ht="27">
      <c r="A309" s="318">
        <v>301</v>
      </c>
      <c r="B309" s="432" t="s">
        <v>1440</v>
      </c>
      <c r="C309" s="409" t="s">
        <v>522</v>
      </c>
      <c r="D309" s="454">
        <v>2000</v>
      </c>
      <c r="E309" s="434" t="s">
        <v>1444</v>
      </c>
      <c r="F309" s="432" t="s">
        <v>1445</v>
      </c>
      <c r="G309" s="432" t="s">
        <v>1446</v>
      </c>
      <c r="H309" s="432" t="s">
        <v>526</v>
      </c>
      <c r="I309" s="447"/>
      <c r="J309" s="436"/>
      <c r="K309" s="437"/>
      <c r="L309" s="311"/>
    </row>
    <row r="310" spans="1:12" ht="27">
      <c r="A310" s="318">
        <v>302</v>
      </c>
      <c r="B310" s="432" t="s">
        <v>1440</v>
      </c>
      <c r="C310" s="409" t="s">
        <v>522</v>
      </c>
      <c r="D310" s="454">
        <v>1500</v>
      </c>
      <c r="E310" s="434" t="s">
        <v>1447</v>
      </c>
      <c r="F310" s="432" t="s">
        <v>1448</v>
      </c>
      <c r="G310" s="432" t="s">
        <v>1449</v>
      </c>
      <c r="H310" s="432" t="s">
        <v>526</v>
      </c>
      <c r="I310" s="447"/>
      <c r="J310" s="436"/>
      <c r="K310" s="437"/>
      <c r="L310" s="311"/>
    </row>
    <row r="311" spans="1:12" ht="27">
      <c r="A311" s="318">
        <v>303</v>
      </c>
      <c r="B311" s="432" t="s">
        <v>1440</v>
      </c>
      <c r="C311" s="409" t="s">
        <v>522</v>
      </c>
      <c r="D311" s="454">
        <v>2000</v>
      </c>
      <c r="E311" s="434" t="s">
        <v>1450</v>
      </c>
      <c r="F311" s="432" t="s">
        <v>1451</v>
      </c>
      <c r="G311" s="432" t="s">
        <v>1452</v>
      </c>
      <c r="H311" s="432" t="s">
        <v>526</v>
      </c>
      <c r="I311" s="447"/>
      <c r="J311" s="436"/>
      <c r="K311" s="437"/>
      <c r="L311" s="311"/>
    </row>
    <row r="312" spans="1:12" ht="27">
      <c r="A312" s="318">
        <v>304</v>
      </c>
      <c r="B312" s="432" t="s">
        <v>1440</v>
      </c>
      <c r="C312" s="409" t="s">
        <v>522</v>
      </c>
      <c r="D312" s="454">
        <v>2500</v>
      </c>
      <c r="E312" s="434" t="s">
        <v>1453</v>
      </c>
      <c r="F312" s="432" t="s">
        <v>1454</v>
      </c>
      <c r="G312" s="432" t="s">
        <v>1455</v>
      </c>
      <c r="H312" s="432" t="s">
        <v>526</v>
      </c>
      <c r="I312" s="447"/>
      <c r="J312" s="436"/>
      <c r="K312" s="437"/>
      <c r="L312" s="311"/>
    </row>
    <row r="313" spans="1:12" ht="27">
      <c r="A313" s="318">
        <v>305</v>
      </c>
      <c r="B313" s="432" t="s">
        <v>1440</v>
      </c>
      <c r="C313" s="409" t="s">
        <v>522</v>
      </c>
      <c r="D313" s="454">
        <v>1500</v>
      </c>
      <c r="E313" s="434" t="s">
        <v>1456</v>
      </c>
      <c r="F313" s="432" t="s">
        <v>1457</v>
      </c>
      <c r="G313" s="432" t="s">
        <v>1458</v>
      </c>
      <c r="H313" s="432" t="s">
        <v>526</v>
      </c>
      <c r="I313" s="447"/>
      <c r="J313" s="436"/>
      <c r="K313" s="437"/>
      <c r="L313" s="311"/>
    </row>
    <row r="314" spans="1:12" ht="27">
      <c r="A314" s="318">
        <v>306</v>
      </c>
      <c r="B314" s="432" t="s">
        <v>1440</v>
      </c>
      <c r="C314" s="409" t="s">
        <v>522</v>
      </c>
      <c r="D314" s="454">
        <v>2500</v>
      </c>
      <c r="E314" s="434" t="s">
        <v>1459</v>
      </c>
      <c r="F314" s="432" t="s">
        <v>1460</v>
      </c>
      <c r="G314" s="432" t="s">
        <v>1461</v>
      </c>
      <c r="H314" s="432" t="s">
        <v>526</v>
      </c>
      <c r="I314" s="447"/>
      <c r="J314" s="436"/>
      <c r="K314" s="437"/>
      <c r="L314" s="311"/>
    </row>
    <row r="315" spans="1:12" ht="27">
      <c r="A315" s="318">
        <v>307</v>
      </c>
      <c r="B315" s="432" t="s">
        <v>1440</v>
      </c>
      <c r="C315" s="409" t="s">
        <v>522</v>
      </c>
      <c r="D315" s="454">
        <v>2500</v>
      </c>
      <c r="E315" s="434" t="s">
        <v>1462</v>
      </c>
      <c r="F315" s="432" t="s">
        <v>1463</v>
      </c>
      <c r="G315" s="432" t="s">
        <v>1464</v>
      </c>
      <c r="H315" s="432" t="s">
        <v>526</v>
      </c>
      <c r="I315" s="447"/>
      <c r="J315" s="436"/>
      <c r="K315" s="437"/>
      <c r="L315" s="311"/>
    </row>
    <row r="316" spans="1:12" ht="27">
      <c r="A316" s="318">
        <v>308</v>
      </c>
      <c r="B316" s="432" t="s">
        <v>1440</v>
      </c>
      <c r="C316" s="409" t="s">
        <v>522</v>
      </c>
      <c r="D316" s="454">
        <v>1500</v>
      </c>
      <c r="E316" s="434" t="s">
        <v>1465</v>
      </c>
      <c r="F316" s="432" t="s">
        <v>1466</v>
      </c>
      <c r="G316" s="432" t="s">
        <v>1467</v>
      </c>
      <c r="H316" s="432" t="s">
        <v>526</v>
      </c>
      <c r="I316" s="447"/>
      <c r="J316" s="436"/>
      <c r="K316" s="437"/>
      <c r="L316" s="311"/>
    </row>
    <row r="317" spans="1:12" ht="27">
      <c r="A317" s="318">
        <v>309</v>
      </c>
      <c r="B317" s="432" t="s">
        <v>1440</v>
      </c>
      <c r="C317" s="409" t="s">
        <v>522</v>
      </c>
      <c r="D317" s="454">
        <v>3000</v>
      </c>
      <c r="E317" s="434" t="s">
        <v>1468</v>
      </c>
      <c r="F317" s="432" t="s">
        <v>1469</v>
      </c>
      <c r="G317" s="432" t="s">
        <v>1470</v>
      </c>
      <c r="H317" s="432" t="s">
        <v>526</v>
      </c>
      <c r="I317" s="447"/>
      <c r="J317" s="436"/>
      <c r="K317" s="437"/>
      <c r="L317" s="311"/>
    </row>
    <row r="318" spans="1:12" ht="27">
      <c r="A318" s="318">
        <v>310</v>
      </c>
      <c r="B318" s="432" t="s">
        <v>1440</v>
      </c>
      <c r="C318" s="409" t="s">
        <v>522</v>
      </c>
      <c r="D318" s="454">
        <v>1500</v>
      </c>
      <c r="E318" s="434" t="s">
        <v>1471</v>
      </c>
      <c r="F318" s="432" t="s">
        <v>1472</v>
      </c>
      <c r="G318" s="432" t="s">
        <v>1473</v>
      </c>
      <c r="H318" s="432" t="s">
        <v>526</v>
      </c>
      <c r="I318" s="447"/>
      <c r="J318" s="436"/>
      <c r="K318" s="437"/>
      <c r="L318" s="311"/>
    </row>
    <row r="319" spans="1:12" ht="27">
      <c r="A319" s="318">
        <v>311</v>
      </c>
      <c r="B319" s="432" t="s">
        <v>1440</v>
      </c>
      <c r="C319" s="409" t="s">
        <v>522</v>
      </c>
      <c r="D319" s="454">
        <v>2000</v>
      </c>
      <c r="E319" s="434" t="s">
        <v>1474</v>
      </c>
      <c r="F319" s="432" t="s">
        <v>1475</v>
      </c>
      <c r="G319" s="432" t="s">
        <v>1476</v>
      </c>
      <c r="H319" s="432" t="s">
        <v>526</v>
      </c>
      <c r="I319" s="447"/>
      <c r="J319" s="436"/>
      <c r="K319" s="437"/>
      <c r="L319" s="311"/>
    </row>
    <row r="320" spans="1:12" ht="27">
      <c r="A320" s="318">
        <v>312</v>
      </c>
      <c r="B320" s="432" t="s">
        <v>1440</v>
      </c>
      <c r="C320" s="409" t="s">
        <v>522</v>
      </c>
      <c r="D320" s="454">
        <v>2000</v>
      </c>
      <c r="E320" s="434" t="s">
        <v>1477</v>
      </c>
      <c r="F320" s="432" t="s">
        <v>1478</v>
      </c>
      <c r="G320" s="432" t="s">
        <v>1479</v>
      </c>
      <c r="H320" s="432" t="s">
        <v>526</v>
      </c>
      <c r="I320" s="447"/>
      <c r="J320" s="436"/>
      <c r="K320" s="437"/>
      <c r="L320" s="311"/>
    </row>
    <row r="321" spans="1:12" ht="27">
      <c r="A321" s="318">
        <v>313</v>
      </c>
      <c r="B321" s="432" t="s">
        <v>1440</v>
      </c>
      <c r="C321" s="409" t="s">
        <v>522</v>
      </c>
      <c r="D321" s="454">
        <v>2500</v>
      </c>
      <c r="E321" s="434" t="s">
        <v>1480</v>
      </c>
      <c r="F321" s="432" t="s">
        <v>1481</v>
      </c>
      <c r="G321" s="432" t="s">
        <v>1482</v>
      </c>
      <c r="H321" s="432" t="s">
        <v>526</v>
      </c>
      <c r="I321" s="447"/>
      <c r="J321" s="436"/>
      <c r="K321" s="437"/>
      <c r="L321" s="311"/>
    </row>
    <row r="322" spans="1:12" ht="27">
      <c r="A322" s="318">
        <v>314</v>
      </c>
      <c r="B322" s="432" t="s">
        <v>1440</v>
      </c>
      <c r="C322" s="409" t="s">
        <v>522</v>
      </c>
      <c r="D322" s="454">
        <v>1500</v>
      </c>
      <c r="E322" s="434" t="s">
        <v>1483</v>
      </c>
      <c r="F322" s="432" t="s">
        <v>1484</v>
      </c>
      <c r="G322" s="432" t="s">
        <v>1485</v>
      </c>
      <c r="H322" s="432" t="s">
        <v>526</v>
      </c>
      <c r="I322" s="447"/>
      <c r="J322" s="436"/>
      <c r="K322" s="437"/>
      <c r="L322" s="311"/>
    </row>
    <row r="323" spans="1:12" ht="27">
      <c r="A323" s="318">
        <v>315</v>
      </c>
      <c r="B323" s="432" t="s">
        <v>1440</v>
      </c>
      <c r="C323" s="409" t="s">
        <v>522</v>
      </c>
      <c r="D323" s="454">
        <v>2000</v>
      </c>
      <c r="E323" s="434" t="s">
        <v>1486</v>
      </c>
      <c r="F323" s="432" t="s">
        <v>1487</v>
      </c>
      <c r="G323" s="432" t="s">
        <v>1488</v>
      </c>
      <c r="H323" s="432" t="s">
        <v>526</v>
      </c>
      <c r="I323" s="447"/>
      <c r="J323" s="436"/>
      <c r="K323" s="437"/>
      <c r="L323" s="311"/>
    </row>
    <row r="324" spans="1:12" ht="27">
      <c r="A324" s="318">
        <v>316</v>
      </c>
      <c r="B324" s="432" t="s">
        <v>1440</v>
      </c>
      <c r="C324" s="409" t="s">
        <v>522</v>
      </c>
      <c r="D324" s="454">
        <v>2000</v>
      </c>
      <c r="E324" s="434" t="s">
        <v>1489</v>
      </c>
      <c r="F324" s="432" t="s">
        <v>1490</v>
      </c>
      <c r="G324" s="432" t="s">
        <v>1491</v>
      </c>
      <c r="H324" s="432" t="s">
        <v>526</v>
      </c>
      <c r="I324" s="447"/>
      <c r="J324" s="436"/>
      <c r="K324" s="437"/>
      <c r="L324" s="311"/>
    </row>
    <row r="325" spans="1:12" ht="27">
      <c r="A325" s="318">
        <v>317</v>
      </c>
      <c r="B325" s="432" t="s">
        <v>1440</v>
      </c>
      <c r="C325" s="409" t="s">
        <v>522</v>
      </c>
      <c r="D325" s="454">
        <v>2000</v>
      </c>
      <c r="E325" s="434" t="s">
        <v>1492</v>
      </c>
      <c r="F325" s="432" t="s">
        <v>1493</v>
      </c>
      <c r="G325" s="432" t="s">
        <v>1494</v>
      </c>
      <c r="H325" s="432" t="s">
        <v>526</v>
      </c>
      <c r="I325" s="447"/>
      <c r="J325" s="436"/>
      <c r="K325" s="437"/>
      <c r="L325" s="311"/>
    </row>
    <row r="326" spans="1:12" ht="27">
      <c r="A326" s="318">
        <v>318</v>
      </c>
      <c r="B326" s="432" t="s">
        <v>1440</v>
      </c>
      <c r="C326" s="409" t="s">
        <v>522</v>
      </c>
      <c r="D326" s="454">
        <v>2500</v>
      </c>
      <c r="E326" s="434" t="s">
        <v>1495</v>
      </c>
      <c r="F326" s="432" t="s">
        <v>1496</v>
      </c>
      <c r="G326" s="432" t="s">
        <v>1497</v>
      </c>
      <c r="H326" s="432" t="s">
        <v>526</v>
      </c>
      <c r="I326" s="447"/>
      <c r="J326" s="436"/>
      <c r="K326" s="437"/>
      <c r="L326" s="311"/>
    </row>
    <row r="327" spans="1:12" ht="27">
      <c r="A327" s="318">
        <v>319</v>
      </c>
      <c r="B327" s="432" t="s">
        <v>1440</v>
      </c>
      <c r="C327" s="409" t="s">
        <v>522</v>
      </c>
      <c r="D327" s="454">
        <v>3000</v>
      </c>
      <c r="E327" s="434" t="s">
        <v>1498</v>
      </c>
      <c r="F327" s="432" t="s">
        <v>1499</v>
      </c>
      <c r="G327" s="432" t="s">
        <v>1500</v>
      </c>
      <c r="H327" s="432" t="s">
        <v>526</v>
      </c>
      <c r="I327" s="447"/>
      <c r="J327" s="436"/>
      <c r="K327" s="437"/>
      <c r="L327" s="311"/>
    </row>
    <row r="328" spans="1:12" ht="27">
      <c r="A328" s="318">
        <v>320</v>
      </c>
      <c r="B328" s="432" t="s">
        <v>1440</v>
      </c>
      <c r="C328" s="409" t="s">
        <v>522</v>
      </c>
      <c r="D328" s="454">
        <v>3000</v>
      </c>
      <c r="E328" s="434" t="s">
        <v>1501</v>
      </c>
      <c r="F328" s="432" t="s">
        <v>1502</v>
      </c>
      <c r="G328" s="432" t="s">
        <v>1503</v>
      </c>
      <c r="H328" s="432" t="s">
        <v>526</v>
      </c>
      <c r="I328" s="447"/>
      <c r="J328" s="436"/>
      <c r="K328" s="437"/>
      <c r="L328" s="311"/>
    </row>
    <row r="329" spans="1:12" ht="30">
      <c r="A329" s="318">
        <v>321</v>
      </c>
      <c r="B329" s="432" t="s">
        <v>1440</v>
      </c>
      <c r="C329" s="409" t="s">
        <v>522</v>
      </c>
      <c r="D329" s="457">
        <v>120000</v>
      </c>
      <c r="E329" s="440" t="s">
        <v>1504</v>
      </c>
      <c r="F329" s="444" t="s">
        <v>1505</v>
      </c>
      <c r="G329" s="443" t="s">
        <v>1506</v>
      </c>
      <c r="H329" s="445" t="s">
        <v>526</v>
      </c>
      <c r="I329" s="447"/>
      <c r="J329" s="436"/>
      <c r="K329" s="437"/>
      <c r="L329" s="311"/>
    </row>
    <row r="330" spans="1:12" ht="27">
      <c r="A330" s="318">
        <v>322</v>
      </c>
      <c r="B330" s="432" t="s">
        <v>1507</v>
      </c>
      <c r="C330" s="433" t="s">
        <v>522</v>
      </c>
      <c r="D330" s="454">
        <v>3000</v>
      </c>
      <c r="E330" s="432" t="s">
        <v>1508</v>
      </c>
      <c r="F330" s="432" t="s">
        <v>1509</v>
      </c>
      <c r="G330" s="432" t="s">
        <v>1510</v>
      </c>
      <c r="H330" s="432" t="s">
        <v>526</v>
      </c>
      <c r="I330" s="435"/>
      <c r="J330" s="436"/>
      <c r="K330" s="437"/>
      <c r="L330" s="311"/>
    </row>
    <row r="331" spans="1:12" ht="27">
      <c r="A331" s="318">
        <v>323</v>
      </c>
      <c r="B331" s="432" t="s">
        <v>1507</v>
      </c>
      <c r="C331" s="433" t="s">
        <v>522</v>
      </c>
      <c r="D331" s="454">
        <v>3000</v>
      </c>
      <c r="E331" s="432" t="s">
        <v>1511</v>
      </c>
      <c r="F331" s="432" t="s">
        <v>1512</v>
      </c>
      <c r="G331" s="432" t="s">
        <v>1513</v>
      </c>
      <c r="H331" s="432" t="s">
        <v>526</v>
      </c>
      <c r="I331" s="435"/>
      <c r="J331" s="436"/>
      <c r="K331" s="437"/>
      <c r="L331" s="311"/>
    </row>
    <row r="332" spans="1:12" ht="27">
      <c r="A332" s="318">
        <v>324</v>
      </c>
      <c r="B332" s="432" t="s">
        <v>1507</v>
      </c>
      <c r="C332" s="433" t="s">
        <v>522</v>
      </c>
      <c r="D332" s="454">
        <v>3000</v>
      </c>
      <c r="E332" s="432" t="s">
        <v>1514</v>
      </c>
      <c r="F332" s="432" t="s">
        <v>1515</v>
      </c>
      <c r="G332" s="432" t="s">
        <v>1516</v>
      </c>
      <c r="H332" s="432" t="s">
        <v>526</v>
      </c>
      <c r="I332" s="435"/>
      <c r="J332" s="436"/>
      <c r="K332" s="437"/>
      <c r="L332" s="311"/>
    </row>
    <row r="333" spans="1:12" ht="27">
      <c r="A333" s="318">
        <v>325</v>
      </c>
      <c r="B333" s="432" t="s">
        <v>1507</v>
      </c>
      <c r="C333" s="433" t="s">
        <v>522</v>
      </c>
      <c r="D333" s="454">
        <v>3000</v>
      </c>
      <c r="E333" s="432" t="s">
        <v>1517</v>
      </c>
      <c r="F333" s="432" t="s">
        <v>1518</v>
      </c>
      <c r="G333" s="432" t="s">
        <v>1519</v>
      </c>
      <c r="H333" s="432" t="s">
        <v>526</v>
      </c>
      <c r="I333" s="435"/>
      <c r="J333" s="436"/>
      <c r="K333" s="437"/>
      <c r="L333" s="311"/>
    </row>
    <row r="334" spans="1:12" ht="27">
      <c r="A334" s="318">
        <v>326</v>
      </c>
      <c r="B334" s="432" t="s">
        <v>1507</v>
      </c>
      <c r="C334" s="433" t="s">
        <v>522</v>
      </c>
      <c r="D334" s="454">
        <v>5000</v>
      </c>
      <c r="E334" s="432" t="s">
        <v>1520</v>
      </c>
      <c r="F334" s="432" t="s">
        <v>1521</v>
      </c>
      <c r="G334" s="432" t="s">
        <v>1522</v>
      </c>
      <c r="H334" s="432" t="s">
        <v>526</v>
      </c>
      <c r="I334" s="435"/>
      <c r="J334" s="436"/>
      <c r="K334" s="437"/>
      <c r="L334" s="311"/>
    </row>
    <row r="335" spans="1:12" ht="27">
      <c r="A335" s="318">
        <v>327</v>
      </c>
      <c r="B335" s="432" t="s">
        <v>1507</v>
      </c>
      <c r="C335" s="433" t="s">
        <v>522</v>
      </c>
      <c r="D335" s="454">
        <v>4000</v>
      </c>
      <c r="E335" s="432" t="s">
        <v>1523</v>
      </c>
      <c r="F335" s="432" t="s">
        <v>1524</v>
      </c>
      <c r="G335" s="432" t="s">
        <v>1525</v>
      </c>
      <c r="H335" s="432" t="s">
        <v>526</v>
      </c>
      <c r="I335" s="435"/>
      <c r="J335" s="436"/>
      <c r="K335" s="437"/>
      <c r="L335" s="311"/>
    </row>
    <row r="336" spans="1:12" ht="27">
      <c r="A336" s="318">
        <v>328</v>
      </c>
      <c r="B336" s="432" t="s">
        <v>1526</v>
      </c>
      <c r="C336" s="433" t="s">
        <v>522</v>
      </c>
      <c r="D336" s="454">
        <v>2000</v>
      </c>
      <c r="E336" s="432" t="s">
        <v>1527</v>
      </c>
      <c r="F336" s="432" t="s">
        <v>1528</v>
      </c>
      <c r="G336" s="432" t="s">
        <v>1529</v>
      </c>
      <c r="H336" s="432" t="s">
        <v>526</v>
      </c>
      <c r="I336" s="435"/>
      <c r="J336" s="436"/>
      <c r="K336" s="437"/>
      <c r="L336" s="311"/>
    </row>
    <row r="337" spans="1:12" ht="27">
      <c r="A337" s="318">
        <v>329</v>
      </c>
      <c r="B337" s="432" t="s">
        <v>1526</v>
      </c>
      <c r="C337" s="433" t="s">
        <v>522</v>
      </c>
      <c r="D337" s="454">
        <v>4000</v>
      </c>
      <c r="E337" s="432" t="s">
        <v>1530</v>
      </c>
      <c r="F337" s="432" t="s">
        <v>1531</v>
      </c>
      <c r="G337" s="432" t="s">
        <v>1532</v>
      </c>
      <c r="H337" s="432" t="s">
        <v>526</v>
      </c>
      <c r="I337" s="435"/>
      <c r="J337" s="436"/>
      <c r="K337" s="437"/>
      <c r="L337" s="311"/>
    </row>
    <row r="338" spans="1:12" ht="27">
      <c r="A338" s="318">
        <v>330</v>
      </c>
      <c r="B338" s="432" t="s">
        <v>1526</v>
      </c>
      <c r="C338" s="433" t="s">
        <v>522</v>
      </c>
      <c r="D338" s="454">
        <v>2000</v>
      </c>
      <c r="E338" s="432" t="s">
        <v>1533</v>
      </c>
      <c r="F338" s="432" t="s">
        <v>1534</v>
      </c>
      <c r="G338" s="432" t="s">
        <v>1535</v>
      </c>
      <c r="H338" s="432" t="s">
        <v>526</v>
      </c>
      <c r="I338" s="435"/>
      <c r="J338" s="436"/>
      <c r="K338" s="437"/>
      <c r="L338" s="311"/>
    </row>
    <row r="339" spans="1:12" ht="27">
      <c r="A339" s="318">
        <v>331</v>
      </c>
      <c r="B339" s="432" t="s">
        <v>1536</v>
      </c>
      <c r="C339" s="433" t="s">
        <v>522</v>
      </c>
      <c r="D339" s="454">
        <v>3000</v>
      </c>
      <c r="E339" s="432" t="s">
        <v>1537</v>
      </c>
      <c r="F339" s="432" t="s">
        <v>1538</v>
      </c>
      <c r="G339" s="432" t="s">
        <v>1539</v>
      </c>
      <c r="H339" s="432" t="s">
        <v>526</v>
      </c>
      <c r="I339" s="435"/>
      <c r="J339" s="436"/>
      <c r="K339" s="437"/>
      <c r="L339" s="311"/>
    </row>
    <row r="340" spans="1:12" ht="27">
      <c r="A340" s="318">
        <v>332</v>
      </c>
      <c r="B340" s="432" t="s">
        <v>1536</v>
      </c>
      <c r="C340" s="433" t="s">
        <v>522</v>
      </c>
      <c r="D340" s="454">
        <v>2000</v>
      </c>
      <c r="E340" s="432" t="s">
        <v>1540</v>
      </c>
      <c r="F340" s="432" t="s">
        <v>1541</v>
      </c>
      <c r="G340" s="432" t="s">
        <v>1542</v>
      </c>
      <c r="H340" s="432" t="s">
        <v>526</v>
      </c>
      <c r="I340" s="435"/>
      <c r="J340" s="436"/>
      <c r="K340" s="437"/>
      <c r="L340" s="311"/>
    </row>
    <row r="341" spans="1:12" ht="27">
      <c r="A341" s="318">
        <v>333</v>
      </c>
      <c r="B341" s="432" t="s">
        <v>1536</v>
      </c>
      <c r="C341" s="433" t="s">
        <v>522</v>
      </c>
      <c r="D341" s="454">
        <v>3000</v>
      </c>
      <c r="E341" s="432" t="s">
        <v>1543</v>
      </c>
      <c r="F341" s="432" t="s">
        <v>1544</v>
      </c>
      <c r="G341" s="432" t="s">
        <v>1545</v>
      </c>
      <c r="H341" s="432" t="s">
        <v>526</v>
      </c>
      <c r="I341" s="435"/>
      <c r="J341" s="436"/>
      <c r="K341" s="437"/>
      <c r="L341" s="311"/>
    </row>
    <row r="342" spans="1:12" ht="27">
      <c r="A342" s="318">
        <v>334</v>
      </c>
      <c r="B342" s="432" t="s">
        <v>1536</v>
      </c>
      <c r="C342" s="433" t="s">
        <v>522</v>
      </c>
      <c r="D342" s="454">
        <v>3000</v>
      </c>
      <c r="E342" s="432" t="s">
        <v>1546</v>
      </c>
      <c r="F342" s="432" t="s">
        <v>1547</v>
      </c>
      <c r="G342" s="432" t="s">
        <v>1548</v>
      </c>
      <c r="H342" s="432" t="s">
        <v>526</v>
      </c>
      <c r="I342" s="435"/>
      <c r="J342" s="436"/>
      <c r="K342" s="437"/>
      <c r="L342" s="311"/>
    </row>
    <row r="343" spans="1:12" ht="27">
      <c r="A343" s="318">
        <v>335</v>
      </c>
      <c r="B343" s="432" t="s">
        <v>1536</v>
      </c>
      <c r="C343" s="433" t="s">
        <v>522</v>
      </c>
      <c r="D343" s="454">
        <v>2500</v>
      </c>
      <c r="E343" s="432" t="s">
        <v>1549</v>
      </c>
      <c r="F343" s="432" t="s">
        <v>1550</v>
      </c>
      <c r="G343" s="432" t="s">
        <v>1551</v>
      </c>
      <c r="H343" s="432" t="s">
        <v>526</v>
      </c>
      <c r="I343" s="435"/>
      <c r="J343" s="436"/>
      <c r="K343" s="437"/>
      <c r="L343" s="311"/>
    </row>
    <row r="344" spans="1:12" ht="27">
      <c r="A344" s="318">
        <v>336</v>
      </c>
      <c r="B344" s="432" t="s">
        <v>1552</v>
      </c>
      <c r="C344" s="433" t="s">
        <v>522</v>
      </c>
      <c r="D344" s="454">
        <v>2000</v>
      </c>
      <c r="E344" s="439" t="s">
        <v>1553</v>
      </c>
      <c r="F344" s="432" t="s">
        <v>1554</v>
      </c>
      <c r="G344" s="432" t="s">
        <v>1555</v>
      </c>
      <c r="H344" s="432" t="s">
        <v>526</v>
      </c>
      <c r="I344" s="435"/>
      <c r="J344" s="436"/>
      <c r="K344" s="437"/>
      <c r="L344" s="311"/>
    </row>
    <row r="345" spans="1:12" ht="27">
      <c r="A345" s="318">
        <v>337</v>
      </c>
      <c r="B345" s="432" t="s">
        <v>1552</v>
      </c>
      <c r="C345" s="433" t="s">
        <v>522</v>
      </c>
      <c r="D345" s="454">
        <v>2000</v>
      </c>
      <c r="E345" s="434" t="s">
        <v>1556</v>
      </c>
      <c r="F345" s="432" t="s">
        <v>1557</v>
      </c>
      <c r="G345" s="432" t="s">
        <v>1558</v>
      </c>
      <c r="H345" s="432" t="s">
        <v>526</v>
      </c>
      <c r="I345" s="435"/>
      <c r="J345" s="436"/>
      <c r="K345" s="437"/>
      <c r="L345" s="311"/>
    </row>
    <row r="346" spans="1:12" ht="27">
      <c r="A346" s="318">
        <v>338</v>
      </c>
      <c r="B346" s="432" t="s">
        <v>1552</v>
      </c>
      <c r="C346" s="433" t="s">
        <v>522</v>
      </c>
      <c r="D346" s="454">
        <v>2000</v>
      </c>
      <c r="E346" s="434" t="s">
        <v>1559</v>
      </c>
      <c r="F346" s="432" t="s">
        <v>1560</v>
      </c>
      <c r="G346" s="432" t="s">
        <v>1561</v>
      </c>
      <c r="H346" s="432" t="s">
        <v>526</v>
      </c>
      <c r="I346" s="435"/>
      <c r="J346" s="436"/>
      <c r="K346" s="437"/>
      <c r="L346" s="311"/>
    </row>
    <row r="347" spans="1:12" ht="27">
      <c r="A347" s="318">
        <v>339</v>
      </c>
      <c r="B347" s="432" t="s">
        <v>1552</v>
      </c>
      <c r="C347" s="433" t="s">
        <v>522</v>
      </c>
      <c r="D347" s="454">
        <v>2000</v>
      </c>
      <c r="E347" s="434" t="s">
        <v>1562</v>
      </c>
      <c r="F347" s="432" t="s">
        <v>1563</v>
      </c>
      <c r="G347" s="432" t="s">
        <v>1564</v>
      </c>
      <c r="H347" s="432" t="s">
        <v>526</v>
      </c>
      <c r="I347" s="435"/>
      <c r="J347" s="436"/>
      <c r="K347" s="437"/>
      <c r="L347" s="311"/>
    </row>
    <row r="348" spans="1:12" ht="27">
      <c r="A348" s="318">
        <v>340</v>
      </c>
      <c r="B348" s="432" t="s">
        <v>1552</v>
      </c>
      <c r="C348" s="433" t="s">
        <v>522</v>
      </c>
      <c r="D348" s="454">
        <v>2000</v>
      </c>
      <c r="E348" s="434" t="s">
        <v>1565</v>
      </c>
      <c r="F348" s="432" t="s">
        <v>1566</v>
      </c>
      <c r="G348" s="432" t="s">
        <v>1567</v>
      </c>
      <c r="H348" s="432" t="s">
        <v>526</v>
      </c>
      <c r="I348" s="435"/>
      <c r="J348" s="436"/>
      <c r="K348" s="437"/>
      <c r="L348" s="311"/>
    </row>
    <row r="349" spans="1:12" ht="27">
      <c r="A349" s="318">
        <v>341</v>
      </c>
      <c r="B349" s="432" t="s">
        <v>1552</v>
      </c>
      <c r="C349" s="433" t="s">
        <v>522</v>
      </c>
      <c r="D349" s="454">
        <v>2000</v>
      </c>
      <c r="E349" s="434" t="s">
        <v>1568</v>
      </c>
      <c r="F349" s="432" t="s">
        <v>1569</v>
      </c>
      <c r="G349" s="432" t="s">
        <v>1570</v>
      </c>
      <c r="H349" s="432" t="s">
        <v>526</v>
      </c>
      <c r="I349" s="435"/>
      <c r="J349" s="436"/>
      <c r="K349" s="437"/>
      <c r="L349" s="311"/>
    </row>
    <row r="350" spans="1:12" ht="27">
      <c r="A350" s="318">
        <v>342</v>
      </c>
      <c r="B350" s="432" t="s">
        <v>1552</v>
      </c>
      <c r="C350" s="433" t="s">
        <v>522</v>
      </c>
      <c r="D350" s="454">
        <v>2000</v>
      </c>
      <c r="E350" s="434" t="s">
        <v>1571</v>
      </c>
      <c r="F350" s="432" t="s">
        <v>1572</v>
      </c>
      <c r="G350" s="432" t="s">
        <v>1573</v>
      </c>
      <c r="H350" s="432" t="s">
        <v>526</v>
      </c>
      <c r="I350" s="435"/>
      <c r="J350" s="436"/>
      <c r="K350" s="437"/>
      <c r="L350" s="311"/>
    </row>
    <row r="351" spans="1:12" ht="27">
      <c r="A351" s="318">
        <v>343</v>
      </c>
      <c r="B351" s="432" t="s">
        <v>1552</v>
      </c>
      <c r="C351" s="433" t="s">
        <v>522</v>
      </c>
      <c r="D351" s="454">
        <v>2000</v>
      </c>
      <c r="E351" s="434" t="s">
        <v>1574</v>
      </c>
      <c r="F351" s="432" t="s">
        <v>1575</v>
      </c>
      <c r="G351" s="432" t="s">
        <v>1576</v>
      </c>
      <c r="H351" s="432" t="s">
        <v>526</v>
      </c>
      <c r="I351" s="435"/>
      <c r="J351" s="436"/>
      <c r="K351" s="437"/>
      <c r="L351" s="311"/>
    </row>
    <row r="352" spans="1:12" ht="27">
      <c r="A352" s="318">
        <v>344</v>
      </c>
      <c r="B352" s="432" t="s">
        <v>1577</v>
      </c>
      <c r="C352" s="433" t="s">
        <v>522</v>
      </c>
      <c r="D352" s="454">
        <v>55000</v>
      </c>
      <c r="E352" s="434" t="s">
        <v>1578</v>
      </c>
      <c r="F352" s="432" t="s">
        <v>1579</v>
      </c>
      <c r="G352" s="432" t="s">
        <v>1580</v>
      </c>
      <c r="H352" s="432" t="s">
        <v>526</v>
      </c>
      <c r="I352" s="435"/>
      <c r="J352" s="436"/>
      <c r="K352" s="437"/>
      <c r="L352" s="311"/>
    </row>
    <row r="353" spans="1:12" ht="27">
      <c r="A353" s="318">
        <v>345</v>
      </c>
      <c r="B353" s="432" t="s">
        <v>1577</v>
      </c>
      <c r="C353" s="433" t="s">
        <v>522</v>
      </c>
      <c r="D353" s="454">
        <v>55000</v>
      </c>
      <c r="E353" s="434" t="s">
        <v>1581</v>
      </c>
      <c r="F353" s="432" t="s">
        <v>1582</v>
      </c>
      <c r="G353" s="432" t="s">
        <v>1583</v>
      </c>
      <c r="H353" s="432" t="s">
        <v>526</v>
      </c>
      <c r="I353" s="435"/>
      <c r="J353" s="436"/>
      <c r="K353" s="437"/>
      <c r="L353" s="311"/>
    </row>
    <row r="354" spans="1:12" ht="27">
      <c r="A354" s="318">
        <v>346</v>
      </c>
      <c r="B354" s="432" t="s">
        <v>1577</v>
      </c>
      <c r="C354" s="433" t="s">
        <v>522</v>
      </c>
      <c r="D354" s="454">
        <v>15000</v>
      </c>
      <c r="E354" s="434" t="s">
        <v>1584</v>
      </c>
      <c r="F354" s="432" t="s">
        <v>1585</v>
      </c>
      <c r="G354" s="432" t="s">
        <v>1586</v>
      </c>
      <c r="H354" s="432" t="s">
        <v>526</v>
      </c>
      <c r="I354" s="435"/>
      <c r="J354" s="436"/>
      <c r="K354" s="437"/>
      <c r="L354" s="311"/>
    </row>
    <row r="355" spans="1:12" ht="27">
      <c r="A355" s="318">
        <v>347</v>
      </c>
      <c r="B355" s="432" t="s">
        <v>1577</v>
      </c>
      <c r="C355" s="433" t="s">
        <v>522</v>
      </c>
      <c r="D355" s="454">
        <v>40000</v>
      </c>
      <c r="E355" s="434" t="s">
        <v>1587</v>
      </c>
      <c r="F355" s="432" t="s">
        <v>1588</v>
      </c>
      <c r="G355" s="432" t="s">
        <v>1589</v>
      </c>
      <c r="H355" s="432" t="s">
        <v>526</v>
      </c>
      <c r="I355" s="435"/>
      <c r="J355" s="436"/>
      <c r="K355" s="437"/>
      <c r="L355" s="311"/>
    </row>
    <row r="356" spans="1:12" ht="27">
      <c r="A356" s="318">
        <v>348</v>
      </c>
      <c r="B356" s="432" t="s">
        <v>1577</v>
      </c>
      <c r="C356" s="433" t="s">
        <v>522</v>
      </c>
      <c r="D356" s="454">
        <v>10000</v>
      </c>
      <c r="E356" s="434" t="s">
        <v>1590</v>
      </c>
      <c r="F356" s="432" t="s">
        <v>1591</v>
      </c>
      <c r="G356" s="432" t="s">
        <v>1592</v>
      </c>
      <c r="H356" s="432" t="s">
        <v>526</v>
      </c>
      <c r="I356" s="435"/>
      <c r="J356" s="436"/>
      <c r="K356" s="437"/>
      <c r="L356" s="311"/>
    </row>
    <row r="357" spans="1:12" ht="27">
      <c r="A357" s="318">
        <v>349</v>
      </c>
      <c r="B357" s="432" t="s">
        <v>1577</v>
      </c>
      <c r="C357" s="433" t="s">
        <v>522</v>
      </c>
      <c r="D357" s="454">
        <v>2000</v>
      </c>
      <c r="E357" s="434" t="s">
        <v>1593</v>
      </c>
      <c r="F357" s="432" t="s">
        <v>1594</v>
      </c>
      <c r="G357" s="432" t="s">
        <v>1595</v>
      </c>
      <c r="H357" s="432" t="s">
        <v>526</v>
      </c>
      <c r="I357" s="435"/>
      <c r="J357" s="436"/>
      <c r="K357" s="437"/>
      <c r="L357" s="311"/>
    </row>
    <row r="358" spans="1:12" ht="27">
      <c r="A358" s="318">
        <v>350</v>
      </c>
      <c r="B358" s="432" t="s">
        <v>1577</v>
      </c>
      <c r="C358" s="433" t="s">
        <v>522</v>
      </c>
      <c r="D358" s="454">
        <v>3000</v>
      </c>
      <c r="E358" s="440" t="s">
        <v>1596</v>
      </c>
      <c r="F358" s="432" t="s">
        <v>1597</v>
      </c>
      <c r="G358" s="432" t="s">
        <v>1598</v>
      </c>
      <c r="H358" s="432" t="s">
        <v>526</v>
      </c>
      <c r="I358" s="435"/>
      <c r="J358" s="436"/>
      <c r="K358" s="437"/>
      <c r="L358" s="311"/>
    </row>
    <row r="359" spans="1:12" ht="27">
      <c r="A359" s="318">
        <v>351</v>
      </c>
      <c r="B359" s="432" t="s">
        <v>1577</v>
      </c>
      <c r="C359" s="433" t="s">
        <v>522</v>
      </c>
      <c r="D359" s="454">
        <v>30000</v>
      </c>
      <c r="E359" s="440" t="s">
        <v>1599</v>
      </c>
      <c r="F359" s="432" t="s">
        <v>1600</v>
      </c>
      <c r="G359" s="432" t="s">
        <v>1601</v>
      </c>
      <c r="H359" s="432" t="s">
        <v>526</v>
      </c>
      <c r="I359" s="435"/>
      <c r="J359" s="436"/>
      <c r="K359" s="437"/>
      <c r="L359" s="311"/>
    </row>
    <row r="360" spans="1:12" ht="30">
      <c r="A360" s="318">
        <v>352</v>
      </c>
      <c r="B360" s="432" t="s">
        <v>1602</v>
      </c>
      <c r="C360" s="433" t="s">
        <v>522</v>
      </c>
      <c r="D360" s="454">
        <v>120000</v>
      </c>
      <c r="E360" s="443" t="s">
        <v>1603</v>
      </c>
      <c r="F360" s="444" t="s">
        <v>1604</v>
      </c>
      <c r="G360" s="443" t="s">
        <v>1605</v>
      </c>
      <c r="H360" s="432" t="s">
        <v>526</v>
      </c>
      <c r="I360" s="435"/>
      <c r="J360" s="436"/>
      <c r="K360" s="437"/>
      <c r="L360" s="311"/>
    </row>
    <row r="361" spans="1:12" ht="27">
      <c r="A361" s="318">
        <v>353</v>
      </c>
      <c r="B361" s="432" t="s">
        <v>1606</v>
      </c>
      <c r="C361" s="433" t="s">
        <v>522</v>
      </c>
      <c r="D361" s="454">
        <v>20000</v>
      </c>
      <c r="E361" s="440" t="s">
        <v>1607</v>
      </c>
      <c r="F361" s="432" t="s">
        <v>1608</v>
      </c>
      <c r="G361" s="432" t="s">
        <v>1609</v>
      </c>
      <c r="H361" s="432" t="s">
        <v>526</v>
      </c>
      <c r="I361" s="435"/>
      <c r="J361" s="436"/>
      <c r="K361" s="437"/>
      <c r="L361" s="311"/>
    </row>
    <row r="362" spans="1:12" ht="27">
      <c r="A362" s="318">
        <v>354</v>
      </c>
      <c r="B362" s="432" t="s">
        <v>1606</v>
      </c>
      <c r="C362" s="433" t="s">
        <v>522</v>
      </c>
      <c r="D362" s="454">
        <v>21000</v>
      </c>
      <c r="E362" s="440" t="s">
        <v>1610</v>
      </c>
      <c r="F362" s="432" t="s">
        <v>1611</v>
      </c>
      <c r="G362" s="432" t="s">
        <v>1612</v>
      </c>
      <c r="H362" s="432" t="s">
        <v>526</v>
      </c>
      <c r="I362" s="435"/>
      <c r="J362" s="436"/>
      <c r="K362" s="437"/>
      <c r="L362" s="311"/>
    </row>
    <row r="363" spans="1:12" ht="27">
      <c r="A363" s="318">
        <v>355</v>
      </c>
      <c r="B363" s="432" t="s">
        <v>1606</v>
      </c>
      <c r="C363" s="433" t="s">
        <v>522</v>
      </c>
      <c r="D363" s="454">
        <v>5000</v>
      </c>
      <c r="E363" s="440" t="s">
        <v>1613</v>
      </c>
      <c r="F363" s="432" t="s">
        <v>1614</v>
      </c>
      <c r="G363" s="432" t="s">
        <v>1615</v>
      </c>
      <c r="H363" s="432" t="s">
        <v>526</v>
      </c>
      <c r="I363" s="435"/>
      <c r="J363" s="436"/>
      <c r="K363" s="437"/>
      <c r="L363" s="311"/>
    </row>
    <row r="364" spans="1:12" ht="27">
      <c r="A364" s="318">
        <v>356</v>
      </c>
      <c r="B364" s="432" t="s">
        <v>1606</v>
      </c>
      <c r="C364" s="433" t="s">
        <v>522</v>
      </c>
      <c r="D364" s="454">
        <v>8000</v>
      </c>
      <c r="E364" s="440" t="s">
        <v>1616</v>
      </c>
      <c r="F364" s="432" t="s">
        <v>1617</v>
      </c>
      <c r="G364" s="432" t="s">
        <v>1618</v>
      </c>
      <c r="H364" s="432" t="s">
        <v>526</v>
      </c>
      <c r="I364" s="435"/>
      <c r="J364" s="436"/>
      <c r="K364" s="437"/>
      <c r="L364" s="311"/>
    </row>
    <row r="365" spans="1:12" ht="27">
      <c r="A365" s="318">
        <v>357</v>
      </c>
      <c r="B365" s="432" t="s">
        <v>1602</v>
      </c>
      <c r="C365" s="433" t="s">
        <v>522</v>
      </c>
      <c r="D365" s="454">
        <v>55000</v>
      </c>
      <c r="E365" s="440" t="s">
        <v>1619</v>
      </c>
      <c r="F365" s="432" t="s">
        <v>1620</v>
      </c>
      <c r="G365" s="432" t="s">
        <v>1621</v>
      </c>
      <c r="H365" s="432" t="s">
        <v>526</v>
      </c>
      <c r="I365" s="435"/>
      <c r="J365" s="436"/>
      <c r="K365" s="437"/>
      <c r="L365" s="311"/>
    </row>
    <row r="366" spans="1:12" ht="27">
      <c r="A366" s="318">
        <v>358</v>
      </c>
      <c r="B366" s="432" t="s">
        <v>1602</v>
      </c>
      <c r="C366" s="433" t="s">
        <v>522</v>
      </c>
      <c r="D366" s="454">
        <v>6200</v>
      </c>
      <c r="E366" s="440" t="s">
        <v>1622</v>
      </c>
      <c r="F366" s="432" t="s">
        <v>1623</v>
      </c>
      <c r="G366" s="432" t="s">
        <v>1624</v>
      </c>
      <c r="H366" s="432" t="s">
        <v>526</v>
      </c>
      <c r="I366" s="435"/>
      <c r="J366" s="436"/>
      <c r="K366" s="437"/>
      <c r="L366" s="311"/>
    </row>
    <row r="367" spans="1:12" ht="27">
      <c r="A367" s="318">
        <v>359</v>
      </c>
      <c r="B367" s="432" t="s">
        <v>1602</v>
      </c>
      <c r="C367" s="433" t="s">
        <v>522</v>
      </c>
      <c r="D367" s="454">
        <v>7150</v>
      </c>
      <c r="E367" s="440" t="s">
        <v>1625</v>
      </c>
      <c r="F367" s="432" t="s">
        <v>1626</v>
      </c>
      <c r="G367" s="432" t="s">
        <v>1627</v>
      </c>
      <c r="H367" s="432" t="s">
        <v>526</v>
      </c>
      <c r="I367" s="435"/>
      <c r="J367" s="436"/>
      <c r="K367" s="437"/>
      <c r="L367" s="311"/>
    </row>
    <row r="368" spans="1:12" ht="27">
      <c r="A368" s="318">
        <v>360</v>
      </c>
      <c r="B368" s="432" t="s">
        <v>1602</v>
      </c>
      <c r="C368" s="433" t="s">
        <v>522</v>
      </c>
      <c r="D368" s="454">
        <v>10500</v>
      </c>
      <c r="E368" s="440" t="s">
        <v>1628</v>
      </c>
      <c r="F368" s="432" t="s">
        <v>1629</v>
      </c>
      <c r="G368" s="432" t="s">
        <v>1630</v>
      </c>
      <c r="H368" s="432" t="s">
        <v>526</v>
      </c>
      <c r="I368" s="435"/>
      <c r="J368" s="436"/>
      <c r="K368" s="437"/>
      <c r="L368" s="311"/>
    </row>
    <row r="369" spans="1:12" ht="27">
      <c r="A369" s="318">
        <v>361</v>
      </c>
      <c r="B369" s="432" t="s">
        <v>1602</v>
      </c>
      <c r="C369" s="433" t="s">
        <v>522</v>
      </c>
      <c r="D369" s="454">
        <v>5700</v>
      </c>
      <c r="E369" s="440" t="s">
        <v>1631</v>
      </c>
      <c r="F369" s="432" t="s">
        <v>1632</v>
      </c>
      <c r="G369" s="432" t="s">
        <v>1633</v>
      </c>
      <c r="H369" s="432" t="s">
        <v>526</v>
      </c>
      <c r="I369" s="435"/>
      <c r="J369" s="436"/>
      <c r="K369" s="437"/>
      <c r="L369" s="311"/>
    </row>
    <row r="370" spans="1:12" ht="27">
      <c r="A370" s="318">
        <v>362</v>
      </c>
      <c r="B370" s="432" t="s">
        <v>1602</v>
      </c>
      <c r="C370" s="433" t="s">
        <v>522</v>
      </c>
      <c r="D370" s="454">
        <v>7500</v>
      </c>
      <c r="E370" s="440" t="s">
        <v>1634</v>
      </c>
      <c r="F370" s="432" t="s">
        <v>1635</v>
      </c>
      <c r="G370" s="432" t="s">
        <v>1636</v>
      </c>
      <c r="H370" s="432" t="s">
        <v>526</v>
      </c>
      <c r="I370" s="435"/>
      <c r="J370" s="436"/>
      <c r="K370" s="437"/>
      <c r="L370" s="311"/>
    </row>
    <row r="371" spans="1:12" ht="27">
      <c r="A371" s="318">
        <v>363</v>
      </c>
      <c r="B371" s="432" t="s">
        <v>1602</v>
      </c>
      <c r="C371" s="433" t="s">
        <v>522</v>
      </c>
      <c r="D371" s="454">
        <v>20000</v>
      </c>
      <c r="E371" s="440" t="s">
        <v>1637</v>
      </c>
      <c r="F371" s="432" t="s">
        <v>1638</v>
      </c>
      <c r="G371" s="432" t="s">
        <v>1639</v>
      </c>
      <c r="H371" s="432" t="s">
        <v>526</v>
      </c>
      <c r="I371" s="435"/>
      <c r="J371" s="436"/>
      <c r="K371" s="437"/>
      <c r="L371" s="311"/>
    </row>
    <row r="372" spans="1:12" ht="27">
      <c r="A372" s="318">
        <v>364</v>
      </c>
      <c r="B372" s="432" t="s">
        <v>1602</v>
      </c>
      <c r="C372" s="433" t="s">
        <v>522</v>
      </c>
      <c r="D372" s="454">
        <v>10000</v>
      </c>
      <c r="E372" s="440" t="s">
        <v>1640</v>
      </c>
      <c r="F372" s="432" t="s">
        <v>1641</v>
      </c>
      <c r="G372" s="432" t="s">
        <v>1642</v>
      </c>
      <c r="H372" s="432" t="s">
        <v>526</v>
      </c>
      <c r="I372" s="435"/>
      <c r="J372" s="436"/>
      <c r="K372" s="437"/>
      <c r="L372" s="311"/>
    </row>
    <row r="373" spans="1:12" ht="27">
      <c r="A373" s="318">
        <v>365</v>
      </c>
      <c r="B373" s="432" t="s">
        <v>1602</v>
      </c>
      <c r="C373" s="433" t="s">
        <v>522</v>
      </c>
      <c r="D373" s="454">
        <v>4000</v>
      </c>
      <c r="E373" s="443" t="s">
        <v>1643</v>
      </c>
      <c r="F373" s="432" t="s">
        <v>1644</v>
      </c>
      <c r="G373" s="432" t="s">
        <v>1645</v>
      </c>
      <c r="H373" s="432" t="s">
        <v>526</v>
      </c>
      <c r="I373" s="435"/>
      <c r="J373" s="436"/>
      <c r="K373" s="437"/>
      <c r="L373" s="311"/>
    </row>
    <row r="374" spans="1:12" ht="27">
      <c r="A374" s="318">
        <v>366</v>
      </c>
      <c r="B374" s="432" t="s">
        <v>1602</v>
      </c>
      <c r="C374" s="433" t="s">
        <v>522</v>
      </c>
      <c r="D374" s="454">
        <v>15000</v>
      </c>
      <c r="E374" s="440" t="s">
        <v>1619</v>
      </c>
      <c r="F374" s="432" t="s">
        <v>1646</v>
      </c>
      <c r="G374" s="432" t="s">
        <v>1647</v>
      </c>
      <c r="H374" s="432" t="s">
        <v>526</v>
      </c>
      <c r="I374" s="435"/>
      <c r="J374" s="436"/>
      <c r="K374" s="437"/>
      <c r="L374" s="311"/>
    </row>
    <row r="375" spans="1:12" ht="27">
      <c r="A375" s="318">
        <v>367</v>
      </c>
      <c r="B375" s="432" t="s">
        <v>1602</v>
      </c>
      <c r="C375" s="433" t="s">
        <v>522</v>
      </c>
      <c r="D375" s="454">
        <v>4000</v>
      </c>
      <c r="E375" s="440" t="s">
        <v>1648</v>
      </c>
      <c r="F375" s="432" t="s">
        <v>1649</v>
      </c>
      <c r="G375" s="432" t="s">
        <v>1650</v>
      </c>
      <c r="H375" s="432" t="s">
        <v>526</v>
      </c>
      <c r="I375" s="435"/>
      <c r="J375" s="436"/>
      <c r="K375" s="437"/>
      <c r="L375" s="311"/>
    </row>
    <row r="376" spans="1:12" ht="27">
      <c r="A376" s="318">
        <v>368</v>
      </c>
      <c r="B376" s="432" t="s">
        <v>1602</v>
      </c>
      <c r="C376" s="433" t="s">
        <v>522</v>
      </c>
      <c r="D376" s="454">
        <v>2000</v>
      </c>
      <c r="E376" s="440" t="s">
        <v>1651</v>
      </c>
      <c r="F376" s="432" t="s">
        <v>1652</v>
      </c>
      <c r="G376" s="432" t="s">
        <v>1653</v>
      </c>
      <c r="H376" s="432" t="s">
        <v>526</v>
      </c>
      <c r="I376" s="435"/>
      <c r="J376" s="436"/>
      <c r="K376" s="437"/>
      <c r="L376" s="311"/>
    </row>
    <row r="377" spans="1:12" ht="27">
      <c r="A377" s="318">
        <v>369</v>
      </c>
      <c r="B377" s="432" t="s">
        <v>1602</v>
      </c>
      <c r="C377" s="433" t="s">
        <v>522</v>
      </c>
      <c r="D377" s="454">
        <v>15000</v>
      </c>
      <c r="E377" s="440" t="s">
        <v>1654</v>
      </c>
      <c r="F377" s="432" t="s">
        <v>1655</v>
      </c>
      <c r="G377" s="432" t="s">
        <v>1656</v>
      </c>
      <c r="H377" s="432" t="s">
        <v>526</v>
      </c>
      <c r="I377" s="435"/>
      <c r="J377" s="436"/>
      <c r="K377" s="437"/>
      <c r="L377" s="311"/>
    </row>
    <row r="378" spans="1:12" ht="27">
      <c r="A378" s="318">
        <v>370</v>
      </c>
      <c r="B378" s="432" t="s">
        <v>1602</v>
      </c>
      <c r="C378" s="433" t="s">
        <v>522</v>
      </c>
      <c r="D378" s="454">
        <v>2000</v>
      </c>
      <c r="E378" s="440" t="s">
        <v>1657</v>
      </c>
      <c r="F378" s="432" t="s">
        <v>1658</v>
      </c>
      <c r="G378" s="432" t="s">
        <v>1659</v>
      </c>
      <c r="H378" s="432" t="s">
        <v>526</v>
      </c>
      <c r="I378" s="435"/>
      <c r="J378" s="436"/>
      <c r="K378" s="437"/>
      <c r="L378" s="311"/>
    </row>
    <row r="379" spans="1:12" ht="27">
      <c r="A379" s="318">
        <v>371</v>
      </c>
      <c r="B379" s="432" t="s">
        <v>1602</v>
      </c>
      <c r="C379" s="433" t="s">
        <v>522</v>
      </c>
      <c r="D379" s="454">
        <v>2000</v>
      </c>
      <c r="E379" s="440" t="s">
        <v>1660</v>
      </c>
      <c r="F379" s="432" t="s">
        <v>1661</v>
      </c>
      <c r="G379" s="432" t="s">
        <v>1662</v>
      </c>
      <c r="H379" s="432" t="s">
        <v>526</v>
      </c>
      <c r="I379" s="435"/>
      <c r="J379" s="436"/>
      <c r="K379" s="437"/>
      <c r="L379" s="311"/>
    </row>
    <row r="380" spans="1:12" ht="27">
      <c r="A380" s="318">
        <v>372</v>
      </c>
      <c r="B380" s="432" t="s">
        <v>1602</v>
      </c>
      <c r="C380" s="433" t="s">
        <v>522</v>
      </c>
      <c r="D380" s="454">
        <v>3000</v>
      </c>
      <c r="E380" s="440" t="s">
        <v>1663</v>
      </c>
      <c r="F380" s="432" t="s">
        <v>1664</v>
      </c>
      <c r="G380" s="432" t="s">
        <v>1665</v>
      </c>
      <c r="H380" s="432" t="s">
        <v>526</v>
      </c>
      <c r="I380" s="435"/>
      <c r="J380" s="436"/>
      <c r="K380" s="437"/>
      <c r="L380" s="311"/>
    </row>
    <row r="381" spans="1:12" ht="27">
      <c r="A381" s="318">
        <v>373</v>
      </c>
      <c r="B381" s="432" t="s">
        <v>1602</v>
      </c>
      <c r="C381" s="433" t="s">
        <v>522</v>
      </c>
      <c r="D381" s="454">
        <v>20000</v>
      </c>
      <c r="E381" s="440" t="s">
        <v>1666</v>
      </c>
      <c r="F381" s="432" t="s">
        <v>1667</v>
      </c>
      <c r="G381" s="432" t="s">
        <v>1668</v>
      </c>
      <c r="H381" s="432" t="s">
        <v>526</v>
      </c>
      <c r="I381" s="435"/>
      <c r="J381" s="436"/>
      <c r="K381" s="437"/>
      <c r="L381" s="311"/>
    </row>
    <row r="382" spans="1:12" ht="27">
      <c r="A382" s="318">
        <v>374</v>
      </c>
      <c r="B382" s="432" t="s">
        <v>1602</v>
      </c>
      <c r="C382" s="433" t="s">
        <v>522</v>
      </c>
      <c r="D382" s="454">
        <v>20000</v>
      </c>
      <c r="E382" s="440" t="s">
        <v>1669</v>
      </c>
      <c r="F382" s="432" t="s">
        <v>1670</v>
      </c>
      <c r="G382" s="432" t="s">
        <v>1671</v>
      </c>
      <c r="H382" s="432" t="s">
        <v>526</v>
      </c>
      <c r="I382" s="435"/>
      <c r="J382" s="436"/>
      <c r="K382" s="437"/>
      <c r="L382" s="311"/>
    </row>
    <row r="383" spans="1:12" ht="27">
      <c r="A383" s="318">
        <v>375</v>
      </c>
      <c r="B383" s="432" t="s">
        <v>1672</v>
      </c>
      <c r="C383" s="433" t="s">
        <v>522</v>
      </c>
      <c r="D383" s="454">
        <v>50000</v>
      </c>
      <c r="E383" s="440" t="s">
        <v>1673</v>
      </c>
      <c r="F383" s="432" t="s">
        <v>1674</v>
      </c>
      <c r="G383" s="432" t="s">
        <v>1675</v>
      </c>
      <c r="H383" s="432" t="s">
        <v>526</v>
      </c>
      <c r="I383" s="435"/>
      <c r="J383" s="436"/>
      <c r="K383" s="437"/>
      <c r="L383" s="311"/>
    </row>
    <row r="384" spans="1:12" ht="27">
      <c r="A384" s="318">
        <v>376</v>
      </c>
      <c r="B384" s="432" t="s">
        <v>1672</v>
      </c>
      <c r="C384" s="433" t="s">
        <v>522</v>
      </c>
      <c r="D384" s="454">
        <v>8000</v>
      </c>
      <c r="E384" s="440" t="s">
        <v>1676</v>
      </c>
      <c r="F384" s="432" t="s">
        <v>1677</v>
      </c>
      <c r="G384" s="432" t="s">
        <v>1678</v>
      </c>
      <c r="H384" s="432" t="s">
        <v>526</v>
      </c>
      <c r="I384" s="435"/>
      <c r="J384" s="436"/>
      <c r="K384" s="437"/>
      <c r="L384" s="311"/>
    </row>
    <row r="385" spans="1:12" ht="27">
      <c r="A385" s="318">
        <v>377</v>
      </c>
      <c r="B385" s="432" t="s">
        <v>1672</v>
      </c>
      <c r="C385" s="433" t="s">
        <v>522</v>
      </c>
      <c r="D385" s="454">
        <v>3000</v>
      </c>
      <c r="E385" s="440" t="s">
        <v>1679</v>
      </c>
      <c r="F385" s="432" t="s">
        <v>1680</v>
      </c>
      <c r="G385" s="432" t="s">
        <v>1681</v>
      </c>
      <c r="H385" s="432" t="s">
        <v>526</v>
      </c>
      <c r="I385" s="435"/>
      <c r="J385" s="436"/>
      <c r="K385" s="437"/>
      <c r="L385" s="311"/>
    </row>
    <row r="386" spans="1:12" ht="27">
      <c r="A386" s="318">
        <v>378</v>
      </c>
      <c r="B386" s="432" t="s">
        <v>1672</v>
      </c>
      <c r="C386" s="433" t="s">
        <v>522</v>
      </c>
      <c r="D386" s="454">
        <v>3000</v>
      </c>
      <c r="E386" s="440" t="s">
        <v>1682</v>
      </c>
      <c r="F386" s="432" t="s">
        <v>1683</v>
      </c>
      <c r="G386" s="432" t="s">
        <v>1684</v>
      </c>
      <c r="H386" s="432" t="s">
        <v>526</v>
      </c>
      <c r="I386" s="435"/>
      <c r="J386" s="436"/>
      <c r="K386" s="437"/>
      <c r="L386" s="311"/>
    </row>
    <row r="387" spans="1:12" ht="27">
      <c r="A387" s="318">
        <v>379</v>
      </c>
      <c r="B387" s="432" t="s">
        <v>1672</v>
      </c>
      <c r="C387" s="433" t="s">
        <v>522</v>
      </c>
      <c r="D387" s="454">
        <v>2000</v>
      </c>
      <c r="E387" s="440" t="s">
        <v>1685</v>
      </c>
      <c r="F387" s="432" t="s">
        <v>1686</v>
      </c>
      <c r="G387" s="432" t="s">
        <v>1687</v>
      </c>
      <c r="H387" s="432" t="s">
        <v>526</v>
      </c>
      <c r="I387" s="435"/>
      <c r="J387" s="436"/>
      <c r="K387" s="437"/>
      <c r="L387" s="311"/>
    </row>
    <row r="388" spans="1:12" ht="27">
      <c r="A388" s="318">
        <v>380</v>
      </c>
      <c r="B388" s="432" t="s">
        <v>1672</v>
      </c>
      <c r="C388" s="433" t="s">
        <v>522</v>
      </c>
      <c r="D388" s="454">
        <v>2500</v>
      </c>
      <c r="E388" s="440" t="s">
        <v>1688</v>
      </c>
      <c r="F388" s="432" t="s">
        <v>1689</v>
      </c>
      <c r="G388" s="432" t="s">
        <v>1690</v>
      </c>
      <c r="H388" s="432" t="s">
        <v>526</v>
      </c>
      <c r="I388" s="435"/>
      <c r="J388" s="436"/>
      <c r="K388" s="437"/>
      <c r="L388" s="311"/>
    </row>
    <row r="389" spans="1:12" ht="27">
      <c r="A389" s="318">
        <v>381</v>
      </c>
      <c r="B389" s="432" t="s">
        <v>1672</v>
      </c>
      <c r="C389" s="433" t="s">
        <v>522</v>
      </c>
      <c r="D389" s="454">
        <v>2000</v>
      </c>
      <c r="E389" s="440" t="s">
        <v>1691</v>
      </c>
      <c r="F389" s="432" t="s">
        <v>1692</v>
      </c>
      <c r="G389" s="432" t="s">
        <v>1693</v>
      </c>
      <c r="H389" s="432" t="s">
        <v>526</v>
      </c>
      <c r="I389" s="435"/>
      <c r="J389" s="436"/>
      <c r="K389" s="437"/>
      <c r="L389" s="311"/>
    </row>
    <row r="390" spans="1:12" ht="27">
      <c r="A390" s="318">
        <v>382</v>
      </c>
      <c r="B390" s="432" t="s">
        <v>1672</v>
      </c>
      <c r="C390" s="433" t="s">
        <v>522</v>
      </c>
      <c r="D390" s="454">
        <v>55000</v>
      </c>
      <c r="E390" s="440" t="s">
        <v>1694</v>
      </c>
      <c r="F390" s="432" t="s">
        <v>1695</v>
      </c>
      <c r="G390" s="432" t="s">
        <v>1696</v>
      </c>
      <c r="H390" s="432" t="s">
        <v>526</v>
      </c>
      <c r="I390" s="435"/>
      <c r="J390" s="436"/>
      <c r="K390" s="437"/>
      <c r="L390" s="311"/>
    </row>
    <row r="391" spans="1:12" ht="27">
      <c r="A391" s="318">
        <v>383</v>
      </c>
      <c r="B391" s="432" t="s">
        <v>1672</v>
      </c>
      <c r="C391" s="433" t="s">
        <v>522</v>
      </c>
      <c r="D391" s="454">
        <v>55000</v>
      </c>
      <c r="E391" s="440" t="s">
        <v>1697</v>
      </c>
      <c r="F391" s="432" t="s">
        <v>1698</v>
      </c>
      <c r="G391" s="432" t="s">
        <v>1699</v>
      </c>
      <c r="H391" s="432" t="s">
        <v>526</v>
      </c>
      <c r="I391" s="435"/>
      <c r="J391" s="436"/>
      <c r="K391" s="437"/>
      <c r="L391" s="311"/>
    </row>
    <row r="392" spans="1:12" ht="27">
      <c r="A392" s="318">
        <v>384</v>
      </c>
      <c r="B392" s="432" t="s">
        <v>1672</v>
      </c>
      <c r="C392" s="433" t="s">
        <v>522</v>
      </c>
      <c r="D392" s="454">
        <v>55000</v>
      </c>
      <c r="E392" s="440" t="s">
        <v>1700</v>
      </c>
      <c r="F392" s="432" t="s">
        <v>1701</v>
      </c>
      <c r="G392" s="432" t="s">
        <v>1702</v>
      </c>
      <c r="H392" s="432" t="s">
        <v>526</v>
      </c>
      <c r="I392" s="435"/>
      <c r="J392" s="436"/>
      <c r="K392" s="437"/>
      <c r="L392" s="311"/>
    </row>
    <row r="393" spans="1:12" ht="27">
      <c r="A393" s="318">
        <v>385</v>
      </c>
      <c r="B393" s="432" t="s">
        <v>1672</v>
      </c>
      <c r="C393" s="433" t="s">
        <v>522</v>
      </c>
      <c r="D393" s="454">
        <v>60000</v>
      </c>
      <c r="E393" s="440" t="s">
        <v>1703</v>
      </c>
      <c r="F393" s="432" t="s">
        <v>1704</v>
      </c>
      <c r="G393" s="432" t="s">
        <v>1705</v>
      </c>
      <c r="H393" s="432" t="s">
        <v>526</v>
      </c>
      <c r="I393" s="435"/>
      <c r="J393" s="436"/>
      <c r="K393" s="437"/>
      <c r="L393" s="311"/>
    </row>
    <row r="394" spans="1:12" ht="27">
      <c r="A394" s="318">
        <v>386</v>
      </c>
      <c r="B394" s="432" t="s">
        <v>1672</v>
      </c>
      <c r="C394" s="433" t="s">
        <v>522</v>
      </c>
      <c r="D394" s="454">
        <v>20000</v>
      </c>
      <c r="E394" s="440" t="s">
        <v>1706</v>
      </c>
      <c r="F394" s="432" t="s">
        <v>1707</v>
      </c>
      <c r="G394" s="432" t="s">
        <v>1708</v>
      </c>
      <c r="H394" s="432" t="s">
        <v>526</v>
      </c>
      <c r="I394" s="435"/>
      <c r="J394" s="436"/>
      <c r="K394" s="437"/>
      <c r="L394" s="311"/>
    </row>
    <row r="395" spans="1:12" ht="27">
      <c r="A395" s="318">
        <v>387</v>
      </c>
      <c r="B395" s="432" t="s">
        <v>1672</v>
      </c>
      <c r="C395" s="433" t="s">
        <v>522</v>
      </c>
      <c r="D395" s="454">
        <v>13000</v>
      </c>
      <c r="E395" s="440" t="s">
        <v>1709</v>
      </c>
      <c r="F395" s="432" t="s">
        <v>1710</v>
      </c>
      <c r="G395" s="432" t="s">
        <v>1711</v>
      </c>
      <c r="H395" s="432" t="s">
        <v>526</v>
      </c>
      <c r="I395" s="435"/>
      <c r="J395" s="436"/>
      <c r="K395" s="437"/>
      <c r="L395" s="311"/>
    </row>
    <row r="396" spans="1:12" ht="27">
      <c r="A396" s="318">
        <v>388</v>
      </c>
      <c r="B396" s="432" t="s">
        <v>1672</v>
      </c>
      <c r="C396" s="433" t="s">
        <v>522</v>
      </c>
      <c r="D396" s="454">
        <v>15000</v>
      </c>
      <c r="E396" s="440" t="s">
        <v>1712</v>
      </c>
      <c r="F396" s="432" t="s">
        <v>1713</v>
      </c>
      <c r="G396" s="432" t="s">
        <v>1714</v>
      </c>
      <c r="H396" s="432" t="s">
        <v>526</v>
      </c>
      <c r="I396" s="435"/>
      <c r="J396" s="436"/>
      <c r="K396" s="437"/>
      <c r="L396" s="311"/>
    </row>
    <row r="397" spans="1:12" ht="27">
      <c r="A397" s="318">
        <v>389</v>
      </c>
      <c r="B397" s="432" t="s">
        <v>1672</v>
      </c>
      <c r="C397" s="433" t="s">
        <v>522</v>
      </c>
      <c r="D397" s="454">
        <v>8000</v>
      </c>
      <c r="E397" s="440" t="s">
        <v>1715</v>
      </c>
      <c r="F397" s="432" t="s">
        <v>1716</v>
      </c>
      <c r="G397" s="432" t="s">
        <v>1717</v>
      </c>
      <c r="H397" s="432" t="s">
        <v>526</v>
      </c>
      <c r="I397" s="435"/>
      <c r="J397" s="436"/>
      <c r="K397" s="437"/>
      <c r="L397" s="311"/>
    </row>
    <row r="398" spans="1:12" ht="27">
      <c r="A398" s="318">
        <v>390</v>
      </c>
      <c r="B398" s="432" t="s">
        <v>1672</v>
      </c>
      <c r="C398" s="433" t="s">
        <v>522</v>
      </c>
      <c r="D398" s="454">
        <v>50000</v>
      </c>
      <c r="E398" s="434" t="s">
        <v>1718</v>
      </c>
      <c r="F398" s="432" t="s">
        <v>1719</v>
      </c>
      <c r="G398" s="432" t="s">
        <v>1720</v>
      </c>
      <c r="H398" s="432" t="s">
        <v>526</v>
      </c>
      <c r="I398" s="435"/>
      <c r="J398" s="436"/>
      <c r="K398" s="437"/>
      <c r="L398" s="311"/>
    </row>
    <row r="399" spans="1:12" ht="27">
      <c r="A399" s="318">
        <v>391</v>
      </c>
      <c r="B399" s="432" t="s">
        <v>1672</v>
      </c>
      <c r="C399" s="433" t="s">
        <v>522</v>
      </c>
      <c r="D399" s="454">
        <v>7000</v>
      </c>
      <c r="E399" s="434" t="s">
        <v>1721</v>
      </c>
      <c r="F399" s="432" t="s">
        <v>1722</v>
      </c>
      <c r="G399" s="432" t="s">
        <v>1723</v>
      </c>
      <c r="H399" s="432" t="s">
        <v>526</v>
      </c>
      <c r="I399" s="435"/>
      <c r="J399" s="436"/>
      <c r="K399" s="437"/>
      <c r="L399" s="311"/>
    </row>
    <row r="400" spans="1:12" ht="27">
      <c r="A400" s="318">
        <v>392</v>
      </c>
      <c r="B400" s="432" t="s">
        <v>1672</v>
      </c>
      <c r="C400" s="433" t="s">
        <v>522</v>
      </c>
      <c r="D400" s="454">
        <v>15000</v>
      </c>
      <c r="E400" s="434" t="s">
        <v>1724</v>
      </c>
      <c r="F400" s="432" t="s">
        <v>1725</v>
      </c>
      <c r="G400" s="432" t="s">
        <v>1726</v>
      </c>
      <c r="H400" s="432" t="s">
        <v>526</v>
      </c>
      <c r="I400" s="435"/>
      <c r="J400" s="436"/>
      <c r="K400" s="437"/>
      <c r="L400" s="311"/>
    </row>
    <row r="401" spans="1:12" ht="27">
      <c r="A401" s="318">
        <v>393</v>
      </c>
      <c r="B401" s="432" t="s">
        <v>1672</v>
      </c>
      <c r="C401" s="433" t="s">
        <v>522</v>
      </c>
      <c r="D401" s="454">
        <v>3000</v>
      </c>
      <c r="E401" s="434" t="s">
        <v>1727</v>
      </c>
      <c r="F401" s="432" t="s">
        <v>1728</v>
      </c>
      <c r="G401" s="432" t="s">
        <v>1729</v>
      </c>
      <c r="H401" s="432" t="s">
        <v>526</v>
      </c>
      <c r="I401" s="435"/>
      <c r="J401" s="436"/>
      <c r="K401" s="437"/>
      <c r="L401" s="311"/>
    </row>
    <row r="402" spans="1:12" ht="27">
      <c r="A402" s="318">
        <v>394</v>
      </c>
      <c r="B402" s="432" t="s">
        <v>1672</v>
      </c>
      <c r="C402" s="433" t="s">
        <v>522</v>
      </c>
      <c r="D402" s="454">
        <v>3000</v>
      </c>
      <c r="E402" s="434" t="s">
        <v>1730</v>
      </c>
      <c r="F402" s="432" t="s">
        <v>1731</v>
      </c>
      <c r="G402" s="432" t="s">
        <v>1732</v>
      </c>
      <c r="H402" s="432" t="s">
        <v>526</v>
      </c>
      <c r="I402" s="435"/>
      <c r="J402" s="436"/>
      <c r="K402" s="437"/>
      <c r="L402" s="311"/>
    </row>
    <row r="403" spans="1:12" ht="27">
      <c r="A403" s="318">
        <v>395</v>
      </c>
      <c r="B403" s="432" t="s">
        <v>1672</v>
      </c>
      <c r="C403" s="433" t="s">
        <v>522</v>
      </c>
      <c r="D403" s="454">
        <v>59000</v>
      </c>
      <c r="E403" s="434" t="s">
        <v>1733</v>
      </c>
      <c r="F403" s="432" t="s">
        <v>1734</v>
      </c>
      <c r="G403" s="432" t="s">
        <v>1735</v>
      </c>
      <c r="H403" s="432" t="s">
        <v>526</v>
      </c>
      <c r="I403" s="435"/>
      <c r="J403" s="436"/>
      <c r="K403" s="437"/>
      <c r="L403" s="311"/>
    </row>
    <row r="404" spans="1:12" ht="27">
      <c r="A404" s="318">
        <v>396</v>
      </c>
      <c r="B404" s="432" t="s">
        <v>1672</v>
      </c>
      <c r="C404" s="433" t="s">
        <v>522</v>
      </c>
      <c r="D404" s="454">
        <v>3000</v>
      </c>
      <c r="E404" s="434" t="s">
        <v>1736</v>
      </c>
      <c r="F404" s="432" t="s">
        <v>1737</v>
      </c>
      <c r="G404" s="432" t="s">
        <v>1738</v>
      </c>
      <c r="H404" s="432" t="s">
        <v>526</v>
      </c>
      <c r="I404" s="435"/>
      <c r="J404" s="436"/>
      <c r="K404" s="437"/>
      <c r="L404" s="311"/>
    </row>
    <row r="405" spans="1:12" ht="27">
      <c r="A405" s="318">
        <v>397</v>
      </c>
      <c r="B405" s="432" t="s">
        <v>1672</v>
      </c>
      <c r="C405" s="433" t="s">
        <v>522</v>
      </c>
      <c r="D405" s="454">
        <v>1500</v>
      </c>
      <c r="E405" s="434" t="s">
        <v>1739</v>
      </c>
      <c r="F405" s="432" t="s">
        <v>1740</v>
      </c>
      <c r="G405" s="432" t="s">
        <v>1741</v>
      </c>
      <c r="H405" s="432" t="s">
        <v>526</v>
      </c>
      <c r="I405" s="435"/>
      <c r="J405" s="436"/>
      <c r="K405" s="437"/>
      <c r="L405" s="311"/>
    </row>
    <row r="406" spans="1:12" ht="27">
      <c r="A406" s="318">
        <v>398</v>
      </c>
      <c r="B406" s="432" t="s">
        <v>1672</v>
      </c>
      <c r="C406" s="433" t="s">
        <v>522</v>
      </c>
      <c r="D406" s="454">
        <v>2000</v>
      </c>
      <c r="E406" s="434" t="s">
        <v>1742</v>
      </c>
      <c r="F406" s="432" t="s">
        <v>1743</v>
      </c>
      <c r="G406" s="432" t="s">
        <v>1744</v>
      </c>
      <c r="H406" s="432" t="s">
        <v>526</v>
      </c>
      <c r="I406" s="435"/>
      <c r="J406" s="436"/>
      <c r="K406" s="437"/>
      <c r="L406" s="311"/>
    </row>
    <row r="407" spans="1:12" ht="27">
      <c r="A407" s="318">
        <v>399</v>
      </c>
      <c r="B407" s="432" t="s">
        <v>1672</v>
      </c>
      <c r="C407" s="433" t="s">
        <v>522</v>
      </c>
      <c r="D407" s="454">
        <v>1000</v>
      </c>
      <c r="E407" s="434" t="s">
        <v>1745</v>
      </c>
      <c r="F407" s="432" t="s">
        <v>1746</v>
      </c>
      <c r="G407" s="432" t="s">
        <v>1747</v>
      </c>
      <c r="H407" s="432" t="s">
        <v>526</v>
      </c>
      <c r="I407" s="435"/>
      <c r="J407" s="436"/>
      <c r="K407" s="437"/>
      <c r="L407" s="311"/>
    </row>
    <row r="408" spans="1:12" ht="27">
      <c r="A408" s="318">
        <v>400</v>
      </c>
      <c r="B408" s="432" t="s">
        <v>1672</v>
      </c>
      <c r="C408" s="433" t="s">
        <v>522</v>
      </c>
      <c r="D408" s="454">
        <v>1000</v>
      </c>
      <c r="E408" s="434" t="s">
        <v>1748</v>
      </c>
      <c r="F408" s="432" t="s">
        <v>1749</v>
      </c>
      <c r="G408" s="432" t="s">
        <v>1750</v>
      </c>
      <c r="H408" s="432" t="s">
        <v>526</v>
      </c>
      <c r="I408" s="435"/>
      <c r="J408" s="436"/>
      <c r="K408" s="437"/>
      <c r="L408" s="311"/>
    </row>
    <row r="409" spans="1:12" ht="27">
      <c r="A409" s="318">
        <v>401</v>
      </c>
      <c r="B409" s="432" t="s">
        <v>1672</v>
      </c>
      <c r="C409" s="433" t="s">
        <v>522</v>
      </c>
      <c r="D409" s="454">
        <v>5500</v>
      </c>
      <c r="E409" s="434" t="s">
        <v>1751</v>
      </c>
      <c r="F409" s="432" t="s">
        <v>1752</v>
      </c>
      <c r="G409" s="432" t="s">
        <v>1753</v>
      </c>
      <c r="H409" s="432" t="s">
        <v>526</v>
      </c>
      <c r="I409" s="435"/>
      <c r="J409" s="436"/>
      <c r="K409" s="437"/>
      <c r="L409" s="311"/>
    </row>
    <row r="410" spans="1:12" ht="30">
      <c r="A410" s="318">
        <v>402</v>
      </c>
      <c r="B410" s="432" t="s">
        <v>1754</v>
      </c>
      <c r="C410" s="433" t="s">
        <v>522</v>
      </c>
      <c r="D410" s="454">
        <v>30000</v>
      </c>
      <c r="E410" s="443" t="s">
        <v>1755</v>
      </c>
      <c r="F410" s="444" t="s">
        <v>1756</v>
      </c>
      <c r="G410" s="443" t="s">
        <v>1757</v>
      </c>
      <c r="H410" s="445" t="s">
        <v>1758</v>
      </c>
      <c r="I410" s="435"/>
      <c r="J410" s="436"/>
      <c r="K410" s="437"/>
      <c r="L410" s="311"/>
    </row>
    <row r="411" spans="1:12" ht="27">
      <c r="A411" s="318">
        <v>403</v>
      </c>
      <c r="B411" s="432" t="s">
        <v>1754</v>
      </c>
      <c r="C411" s="433" t="s">
        <v>522</v>
      </c>
      <c r="D411" s="454">
        <v>55000</v>
      </c>
      <c r="E411" s="434" t="s">
        <v>1759</v>
      </c>
      <c r="F411" s="432" t="s">
        <v>1760</v>
      </c>
      <c r="G411" s="432" t="s">
        <v>1761</v>
      </c>
      <c r="H411" s="432" t="s">
        <v>526</v>
      </c>
      <c r="I411" s="435"/>
      <c r="J411" s="436"/>
      <c r="K411" s="437"/>
      <c r="L411" s="311"/>
    </row>
    <row r="412" spans="1:12" ht="27">
      <c r="A412" s="318">
        <v>404</v>
      </c>
      <c r="B412" s="432" t="s">
        <v>1754</v>
      </c>
      <c r="C412" s="433" t="s">
        <v>522</v>
      </c>
      <c r="D412" s="454">
        <v>40000</v>
      </c>
      <c r="E412" s="434" t="s">
        <v>1762</v>
      </c>
      <c r="F412" s="432" t="s">
        <v>1763</v>
      </c>
      <c r="G412" s="432" t="s">
        <v>1764</v>
      </c>
      <c r="H412" s="432" t="s">
        <v>526</v>
      </c>
      <c r="I412" s="435"/>
      <c r="J412" s="436"/>
      <c r="K412" s="437"/>
      <c r="L412" s="311"/>
    </row>
    <row r="413" spans="1:12" ht="27">
      <c r="A413" s="318">
        <v>405</v>
      </c>
      <c r="B413" s="432" t="s">
        <v>1754</v>
      </c>
      <c r="C413" s="433" t="s">
        <v>522</v>
      </c>
      <c r="D413" s="454">
        <v>2000</v>
      </c>
      <c r="E413" s="434" t="s">
        <v>1765</v>
      </c>
      <c r="F413" s="432" t="s">
        <v>1766</v>
      </c>
      <c r="G413" s="432" t="s">
        <v>1767</v>
      </c>
      <c r="H413" s="432" t="s">
        <v>526</v>
      </c>
      <c r="I413" s="435"/>
      <c r="J413" s="436"/>
      <c r="K413" s="437"/>
      <c r="L413" s="311"/>
    </row>
    <row r="414" spans="1:12" ht="27">
      <c r="A414" s="318">
        <v>406</v>
      </c>
      <c r="B414" s="432" t="s">
        <v>1754</v>
      </c>
      <c r="C414" s="433" t="s">
        <v>522</v>
      </c>
      <c r="D414" s="454">
        <v>6500</v>
      </c>
      <c r="E414" s="434" t="s">
        <v>1768</v>
      </c>
      <c r="F414" s="432" t="s">
        <v>1769</v>
      </c>
      <c r="G414" s="432" t="s">
        <v>1770</v>
      </c>
      <c r="H414" s="432" t="s">
        <v>526</v>
      </c>
      <c r="I414" s="435"/>
      <c r="J414" s="436"/>
      <c r="K414" s="437"/>
      <c r="L414" s="311"/>
    </row>
    <row r="415" spans="1:12" ht="27">
      <c r="A415" s="318">
        <v>407</v>
      </c>
      <c r="B415" s="432" t="s">
        <v>1754</v>
      </c>
      <c r="C415" s="433" t="s">
        <v>522</v>
      </c>
      <c r="D415" s="454">
        <v>2000</v>
      </c>
      <c r="E415" s="434" t="s">
        <v>1771</v>
      </c>
      <c r="F415" s="432" t="s">
        <v>1772</v>
      </c>
      <c r="G415" s="432" t="s">
        <v>1773</v>
      </c>
      <c r="H415" s="432" t="s">
        <v>526</v>
      </c>
      <c r="I415" s="435"/>
      <c r="J415" s="436"/>
      <c r="K415" s="437"/>
      <c r="L415" s="311"/>
    </row>
    <row r="416" spans="1:12" ht="27">
      <c r="A416" s="318">
        <v>408</v>
      </c>
      <c r="B416" s="432" t="s">
        <v>1754</v>
      </c>
      <c r="C416" s="433" t="s">
        <v>522</v>
      </c>
      <c r="D416" s="454">
        <v>10000</v>
      </c>
      <c r="E416" s="434" t="s">
        <v>1774</v>
      </c>
      <c r="F416" s="432" t="s">
        <v>1775</v>
      </c>
      <c r="G416" s="432" t="s">
        <v>1776</v>
      </c>
      <c r="H416" s="432" t="s">
        <v>526</v>
      </c>
      <c r="I416" s="435"/>
      <c r="J416" s="436"/>
      <c r="K416" s="437"/>
      <c r="L416" s="311"/>
    </row>
    <row r="417" spans="1:12" ht="27">
      <c r="A417" s="318">
        <v>409</v>
      </c>
      <c r="B417" s="432" t="s">
        <v>1754</v>
      </c>
      <c r="C417" s="433" t="s">
        <v>522</v>
      </c>
      <c r="D417" s="454">
        <v>10000</v>
      </c>
      <c r="E417" s="434" t="s">
        <v>1777</v>
      </c>
      <c r="F417" s="432" t="s">
        <v>1778</v>
      </c>
      <c r="G417" s="432" t="s">
        <v>1779</v>
      </c>
      <c r="H417" s="432" t="s">
        <v>526</v>
      </c>
      <c r="I417" s="435"/>
      <c r="J417" s="436"/>
      <c r="K417" s="437"/>
      <c r="L417" s="311"/>
    </row>
    <row r="418" spans="1:12" ht="27">
      <c r="A418" s="318">
        <v>410</v>
      </c>
      <c r="B418" s="432" t="s">
        <v>1754</v>
      </c>
      <c r="C418" s="433" t="s">
        <v>522</v>
      </c>
      <c r="D418" s="454">
        <v>53000</v>
      </c>
      <c r="E418" s="434" t="s">
        <v>1780</v>
      </c>
      <c r="F418" s="432" t="s">
        <v>1781</v>
      </c>
      <c r="G418" s="432" t="s">
        <v>1782</v>
      </c>
      <c r="H418" s="432" t="s">
        <v>526</v>
      </c>
      <c r="I418" s="435"/>
      <c r="J418" s="436"/>
      <c r="K418" s="437"/>
      <c r="L418" s="311"/>
    </row>
    <row r="419" spans="1:12" ht="27">
      <c r="A419" s="318">
        <v>411</v>
      </c>
      <c r="B419" s="432" t="s">
        <v>1754</v>
      </c>
      <c r="C419" s="433" t="s">
        <v>522</v>
      </c>
      <c r="D419" s="454">
        <v>5500</v>
      </c>
      <c r="E419" s="434" t="s">
        <v>1783</v>
      </c>
      <c r="F419" s="432" t="s">
        <v>1784</v>
      </c>
      <c r="G419" s="432" t="s">
        <v>1785</v>
      </c>
      <c r="H419" s="432" t="s">
        <v>526</v>
      </c>
      <c r="I419" s="435"/>
      <c r="J419" s="436"/>
      <c r="K419" s="437"/>
      <c r="L419" s="311"/>
    </row>
    <row r="420" spans="1:12" ht="27">
      <c r="A420" s="318">
        <v>412</v>
      </c>
      <c r="B420" s="432" t="s">
        <v>1754</v>
      </c>
      <c r="C420" s="433" t="s">
        <v>522</v>
      </c>
      <c r="D420" s="454">
        <v>11500</v>
      </c>
      <c r="E420" s="434" t="s">
        <v>1786</v>
      </c>
      <c r="F420" s="432" t="s">
        <v>1787</v>
      </c>
      <c r="G420" s="432" t="s">
        <v>1788</v>
      </c>
      <c r="H420" s="432" t="s">
        <v>526</v>
      </c>
      <c r="I420" s="435"/>
      <c r="J420" s="436"/>
      <c r="K420" s="437"/>
      <c r="L420" s="311"/>
    </row>
    <row r="421" spans="1:12" ht="27">
      <c r="A421" s="318">
        <v>413</v>
      </c>
      <c r="B421" s="432" t="s">
        <v>1754</v>
      </c>
      <c r="C421" s="433" t="s">
        <v>522</v>
      </c>
      <c r="D421" s="454">
        <v>23000</v>
      </c>
      <c r="E421" s="434" t="s">
        <v>1789</v>
      </c>
      <c r="F421" s="432" t="s">
        <v>1790</v>
      </c>
      <c r="G421" s="432" t="s">
        <v>1791</v>
      </c>
      <c r="H421" s="432" t="s">
        <v>526</v>
      </c>
      <c r="I421" s="435"/>
      <c r="J421" s="436"/>
      <c r="K421" s="437"/>
      <c r="L421" s="311"/>
    </row>
    <row r="422" spans="1:12" ht="27">
      <c r="A422" s="318">
        <v>414</v>
      </c>
      <c r="B422" s="432" t="s">
        <v>1754</v>
      </c>
      <c r="C422" s="433" t="s">
        <v>522</v>
      </c>
      <c r="D422" s="454">
        <v>7000</v>
      </c>
      <c r="E422" s="434" t="s">
        <v>1792</v>
      </c>
      <c r="F422" s="432" t="s">
        <v>1793</v>
      </c>
      <c r="G422" s="432" t="s">
        <v>1794</v>
      </c>
      <c r="H422" s="432" t="s">
        <v>526</v>
      </c>
      <c r="I422" s="435"/>
      <c r="J422" s="436"/>
      <c r="K422" s="437"/>
      <c r="L422" s="311"/>
    </row>
    <row r="423" spans="1:12" ht="27">
      <c r="A423" s="318">
        <v>415</v>
      </c>
      <c r="B423" s="432" t="s">
        <v>1754</v>
      </c>
      <c r="C423" s="433" t="s">
        <v>522</v>
      </c>
      <c r="D423" s="454">
        <v>20000</v>
      </c>
      <c r="E423" s="434" t="s">
        <v>1795</v>
      </c>
      <c r="F423" s="432" t="s">
        <v>1796</v>
      </c>
      <c r="G423" s="432" t="s">
        <v>1797</v>
      </c>
      <c r="H423" s="432" t="s">
        <v>526</v>
      </c>
      <c r="I423" s="435"/>
      <c r="J423" s="436"/>
      <c r="K423" s="437"/>
      <c r="L423" s="311"/>
    </row>
    <row r="424" spans="1:12" ht="27">
      <c r="A424" s="318">
        <v>416</v>
      </c>
      <c r="B424" s="432" t="s">
        <v>1754</v>
      </c>
      <c r="C424" s="433" t="s">
        <v>522</v>
      </c>
      <c r="D424" s="455">
        <v>6000</v>
      </c>
      <c r="E424" s="440" t="s">
        <v>1798</v>
      </c>
      <c r="F424" s="449" t="s">
        <v>1799</v>
      </c>
      <c r="G424" s="432" t="s">
        <v>1800</v>
      </c>
      <c r="H424" s="432" t="s">
        <v>526</v>
      </c>
      <c r="I424" s="435"/>
      <c r="J424" s="436"/>
      <c r="K424" s="437"/>
      <c r="L424" s="311"/>
    </row>
    <row r="425" spans="1:12" ht="27">
      <c r="A425" s="318">
        <v>417</v>
      </c>
      <c r="B425" s="432" t="s">
        <v>1754</v>
      </c>
      <c r="C425" s="433" t="s">
        <v>522</v>
      </c>
      <c r="D425" s="410">
        <v>30000</v>
      </c>
      <c r="E425" s="409" t="s">
        <v>1801</v>
      </c>
      <c r="F425" s="451" t="s">
        <v>1802</v>
      </c>
      <c r="G425" s="432" t="s">
        <v>1803</v>
      </c>
      <c r="H425" s="432" t="s">
        <v>526</v>
      </c>
      <c r="I425" s="435"/>
      <c r="J425" s="436"/>
      <c r="K425" s="437"/>
      <c r="L425" s="311"/>
    </row>
    <row r="426" spans="1:12" ht="27">
      <c r="A426" s="318">
        <v>418</v>
      </c>
      <c r="B426" s="432" t="s">
        <v>1804</v>
      </c>
      <c r="C426" s="433" t="s">
        <v>522</v>
      </c>
      <c r="D426" s="454">
        <v>4000</v>
      </c>
      <c r="E426" s="453" t="s">
        <v>1805</v>
      </c>
      <c r="F426" s="432" t="s">
        <v>1806</v>
      </c>
      <c r="G426" s="432" t="s">
        <v>1807</v>
      </c>
      <c r="H426" s="432" t="s">
        <v>526</v>
      </c>
      <c r="I426" s="435"/>
      <c r="J426" s="436"/>
      <c r="K426" s="437"/>
      <c r="L426" s="311"/>
    </row>
    <row r="427" spans="1:12" ht="27">
      <c r="A427" s="318">
        <v>419</v>
      </c>
      <c r="B427" s="432" t="s">
        <v>1804</v>
      </c>
      <c r="C427" s="433" t="s">
        <v>522</v>
      </c>
      <c r="D427" s="454">
        <v>4000</v>
      </c>
      <c r="E427" s="440" t="s">
        <v>1808</v>
      </c>
      <c r="F427" s="432" t="s">
        <v>1809</v>
      </c>
      <c r="G427" s="432" t="s">
        <v>1810</v>
      </c>
      <c r="H427" s="432" t="s">
        <v>526</v>
      </c>
      <c r="I427" s="435"/>
      <c r="J427" s="436"/>
      <c r="K427" s="437"/>
      <c r="L427" s="311"/>
    </row>
    <row r="428" spans="1:12" ht="27">
      <c r="A428" s="318">
        <v>420</v>
      </c>
      <c r="B428" s="432" t="s">
        <v>1804</v>
      </c>
      <c r="C428" s="433" t="s">
        <v>522</v>
      </c>
      <c r="D428" s="454">
        <v>2000</v>
      </c>
      <c r="E428" s="440" t="s">
        <v>1811</v>
      </c>
      <c r="F428" s="432" t="s">
        <v>1812</v>
      </c>
      <c r="G428" s="432" t="s">
        <v>1813</v>
      </c>
      <c r="H428" s="432" t="s">
        <v>526</v>
      </c>
      <c r="I428" s="435"/>
      <c r="J428" s="436"/>
      <c r="K428" s="437"/>
      <c r="L428" s="311"/>
    </row>
    <row r="429" spans="1:12" ht="27">
      <c r="A429" s="318">
        <v>421</v>
      </c>
      <c r="B429" s="432" t="s">
        <v>1804</v>
      </c>
      <c r="C429" s="433" t="s">
        <v>522</v>
      </c>
      <c r="D429" s="454">
        <v>3000</v>
      </c>
      <c r="E429" s="440" t="s">
        <v>1814</v>
      </c>
      <c r="F429" s="432" t="s">
        <v>1815</v>
      </c>
      <c r="G429" s="432" t="s">
        <v>1816</v>
      </c>
      <c r="H429" s="432" t="s">
        <v>526</v>
      </c>
      <c r="I429" s="435"/>
      <c r="J429" s="436"/>
      <c r="K429" s="437"/>
      <c r="L429" s="311"/>
    </row>
    <row r="430" spans="1:12" ht="27">
      <c r="A430" s="318">
        <v>422</v>
      </c>
      <c r="B430" s="432" t="s">
        <v>1804</v>
      </c>
      <c r="C430" s="433" t="s">
        <v>522</v>
      </c>
      <c r="D430" s="454">
        <v>2000</v>
      </c>
      <c r="E430" s="440" t="s">
        <v>1817</v>
      </c>
      <c r="F430" s="432" t="s">
        <v>1818</v>
      </c>
      <c r="G430" s="432" t="s">
        <v>1819</v>
      </c>
      <c r="H430" s="432" t="s">
        <v>526</v>
      </c>
      <c r="I430" s="435"/>
      <c r="J430" s="436"/>
      <c r="K430" s="437"/>
      <c r="L430" s="311"/>
    </row>
    <row r="431" spans="1:12" ht="27">
      <c r="A431" s="318">
        <v>423</v>
      </c>
      <c r="B431" s="432" t="s">
        <v>1804</v>
      </c>
      <c r="C431" s="433" t="s">
        <v>522</v>
      </c>
      <c r="D431" s="454">
        <v>60000</v>
      </c>
      <c r="E431" s="440" t="s">
        <v>1820</v>
      </c>
      <c r="F431" s="432" t="s">
        <v>1821</v>
      </c>
      <c r="G431" s="432" t="s">
        <v>1822</v>
      </c>
      <c r="H431" s="432" t="s">
        <v>526</v>
      </c>
      <c r="I431" s="435"/>
      <c r="J431" s="436"/>
      <c r="K431" s="437"/>
      <c r="L431" s="311"/>
    </row>
    <row r="432" spans="1:12" ht="27">
      <c r="A432" s="318">
        <v>424</v>
      </c>
      <c r="B432" s="432" t="s">
        <v>1804</v>
      </c>
      <c r="C432" s="433" t="s">
        <v>522</v>
      </c>
      <c r="D432" s="454">
        <v>25000</v>
      </c>
      <c r="E432" s="440" t="s">
        <v>1823</v>
      </c>
      <c r="F432" s="432" t="s">
        <v>1824</v>
      </c>
      <c r="G432" s="432" t="s">
        <v>1825</v>
      </c>
      <c r="H432" s="432" t="s">
        <v>526</v>
      </c>
      <c r="I432" s="435"/>
      <c r="J432" s="436"/>
      <c r="K432" s="437"/>
      <c r="L432" s="311"/>
    </row>
    <row r="433" spans="1:12" ht="27">
      <c r="A433" s="318">
        <v>425</v>
      </c>
      <c r="B433" s="432" t="s">
        <v>1804</v>
      </c>
      <c r="C433" s="433" t="s">
        <v>522</v>
      </c>
      <c r="D433" s="454">
        <v>60000</v>
      </c>
      <c r="E433" s="440" t="s">
        <v>1826</v>
      </c>
      <c r="F433" s="432" t="s">
        <v>1827</v>
      </c>
      <c r="G433" s="432" t="s">
        <v>1828</v>
      </c>
      <c r="H433" s="432" t="s">
        <v>526</v>
      </c>
      <c r="I433" s="435"/>
      <c r="J433" s="436"/>
      <c r="K433" s="437"/>
      <c r="L433" s="311"/>
    </row>
    <row r="434" spans="1:12" ht="27">
      <c r="A434" s="318">
        <v>426</v>
      </c>
      <c r="B434" s="432" t="s">
        <v>1804</v>
      </c>
      <c r="C434" s="433" t="s">
        <v>522</v>
      </c>
      <c r="D434" s="454">
        <v>10000</v>
      </c>
      <c r="E434" s="440" t="s">
        <v>1829</v>
      </c>
      <c r="F434" s="432" t="s">
        <v>1830</v>
      </c>
      <c r="G434" s="432" t="s">
        <v>1831</v>
      </c>
      <c r="H434" s="432" t="s">
        <v>526</v>
      </c>
      <c r="I434" s="435"/>
      <c r="J434" s="436"/>
      <c r="K434" s="437"/>
      <c r="L434" s="311"/>
    </row>
    <row r="435" spans="1:12" ht="27">
      <c r="A435" s="318">
        <v>427</v>
      </c>
      <c r="B435" s="432" t="s">
        <v>1804</v>
      </c>
      <c r="C435" s="433" t="s">
        <v>522</v>
      </c>
      <c r="D435" s="454">
        <v>11000</v>
      </c>
      <c r="E435" s="440" t="s">
        <v>1783</v>
      </c>
      <c r="F435" s="432" t="s">
        <v>1832</v>
      </c>
      <c r="G435" s="432" t="s">
        <v>1833</v>
      </c>
      <c r="H435" s="432" t="s">
        <v>526</v>
      </c>
      <c r="I435" s="435"/>
      <c r="J435" s="436"/>
      <c r="K435" s="437"/>
      <c r="L435" s="311"/>
    </row>
    <row r="436" spans="1:12" ht="27">
      <c r="A436" s="318">
        <v>428</v>
      </c>
      <c r="B436" s="432" t="s">
        <v>1804</v>
      </c>
      <c r="C436" s="433" t="s">
        <v>522</v>
      </c>
      <c r="D436" s="454">
        <v>6500</v>
      </c>
      <c r="E436" s="440" t="s">
        <v>1834</v>
      </c>
      <c r="F436" s="432" t="s">
        <v>1835</v>
      </c>
      <c r="G436" s="432" t="s">
        <v>1836</v>
      </c>
      <c r="H436" s="432" t="s">
        <v>526</v>
      </c>
      <c r="I436" s="435"/>
      <c r="J436" s="436"/>
      <c r="K436" s="437"/>
      <c r="L436" s="311"/>
    </row>
    <row r="437" spans="1:12" ht="27">
      <c r="A437" s="318">
        <v>429</v>
      </c>
      <c r="B437" s="432" t="s">
        <v>1804</v>
      </c>
      <c r="C437" s="433" t="s">
        <v>522</v>
      </c>
      <c r="D437" s="454">
        <v>60000</v>
      </c>
      <c r="E437" s="440" t="s">
        <v>1837</v>
      </c>
      <c r="F437" s="432" t="s">
        <v>1838</v>
      </c>
      <c r="G437" s="432" t="s">
        <v>1839</v>
      </c>
      <c r="H437" s="432" t="s">
        <v>526</v>
      </c>
      <c r="I437" s="435"/>
      <c r="J437" s="436"/>
      <c r="K437" s="437"/>
      <c r="L437" s="311"/>
    </row>
    <row r="438" spans="1:12" ht="27">
      <c r="A438" s="318">
        <v>430</v>
      </c>
      <c r="B438" s="432" t="s">
        <v>1804</v>
      </c>
      <c r="C438" s="433" t="s">
        <v>522</v>
      </c>
      <c r="D438" s="454">
        <v>15000</v>
      </c>
      <c r="E438" s="440" t="s">
        <v>1840</v>
      </c>
      <c r="F438" s="432" t="s">
        <v>1841</v>
      </c>
      <c r="G438" s="432" t="s">
        <v>1842</v>
      </c>
      <c r="H438" s="432" t="s">
        <v>526</v>
      </c>
      <c r="I438" s="435"/>
      <c r="J438" s="436"/>
      <c r="K438" s="437"/>
      <c r="L438" s="311"/>
    </row>
    <row r="439" spans="1:12" ht="27">
      <c r="A439" s="318">
        <v>431</v>
      </c>
      <c r="B439" s="432" t="s">
        <v>1804</v>
      </c>
      <c r="C439" s="433" t="s">
        <v>522</v>
      </c>
      <c r="D439" s="454">
        <v>50000</v>
      </c>
      <c r="E439" s="440" t="s">
        <v>1843</v>
      </c>
      <c r="F439" s="432" t="s">
        <v>1844</v>
      </c>
      <c r="G439" s="432" t="s">
        <v>1845</v>
      </c>
      <c r="H439" s="432" t="s">
        <v>526</v>
      </c>
      <c r="I439" s="435"/>
      <c r="J439" s="436"/>
      <c r="K439" s="437"/>
      <c r="L439" s="311"/>
    </row>
    <row r="440" spans="1:12" ht="27">
      <c r="A440" s="318">
        <v>432</v>
      </c>
      <c r="B440" s="432" t="s">
        <v>1804</v>
      </c>
      <c r="C440" s="433" t="s">
        <v>522</v>
      </c>
      <c r="D440" s="454">
        <v>60000</v>
      </c>
      <c r="E440" s="440" t="s">
        <v>1846</v>
      </c>
      <c r="F440" s="432" t="s">
        <v>1847</v>
      </c>
      <c r="G440" s="432" t="s">
        <v>1848</v>
      </c>
      <c r="H440" s="432" t="s">
        <v>526</v>
      </c>
      <c r="I440" s="435"/>
      <c r="J440" s="436"/>
      <c r="K440" s="437"/>
      <c r="L440" s="311"/>
    </row>
    <row r="441" spans="1:12" ht="27">
      <c r="A441" s="318">
        <v>433</v>
      </c>
      <c r="B441" s="432" t="s">
        <v>1804</v>
      </c>
      <c r="C441" s="433" t="s">
        <v>522</v>
      </c>
      <c r="D441" s="454">
        <v>60000</v>
      </c>
      <c r="E441" s="440" t="s">
        <v>1849</v>
      </c>
      <c r="F441" s="432" t="s">
        <v>1850</v>
      </c>
      <c r="G441" s="432" t="s">
        <v>1851</v>
      </c>
      <c r="H441" s="432" t="s">
        <v>526</v>
      </c>
      <c r="I441" s="435"/>
      <c r="J441" s="436"/>
      <c r="K441" s="437"/>
      <c r="L441" s="311"/>
    </row>
    <row r="442" spans="1:12" ht="27">
      <c r="A442" s="318">
        <v>434</v>
      </c>
      <c r="B442" s="432" t="s">
        <v>1804</v>
      </c>
      <c r="C442" s="433" t="s">
        <v>522</v>
      </c>
      <c r="D442" s="454">
        <v>60000</v>
      </c>
      <c r="E442" s="440" t="s">
        <v>1852</v>
      </c>
      <c r="F442" s="432" t="s">
        <v>1853</v>
      </c>
      <c r="G442" s="432" t="s">
        <v>1854</v>
      </c>
      <c r="H442" s="432" t="s">
        <v>526</v>
      </c>
      <c r="I442" s="435"/>
      <c r="J442" s="436"/>
      <c r="K442" s="437"/>
      <c r="L442" s="311"/>
    </row>
    <row r="443" spans="1:12" ht="27">
      <c r="A443" s="318">
        <v>435</v>
      </c>
      <c r="B443" s="432" t="s">
        <v>1855</v>
      </c>
      <c r="C443" s="433" t="s">
        <v>522</v>
      </c>
      <c r="D443" s="454">
        <v>30000</v>
      </c>
      <c r="E443" s="440" t="s">
        <v>1856</v>
      </c>
      <c r="F443" s="432" t="s">
        <v>1857</v>
      </c>
      <c r="G443" s="432" t="s">
        <v>1858</v>
      </c>
      <c r="H443" s="432" t="s">
        <v>526</v>
      </c>
      <c r="I443" s="435"/>
      <c r="J443" s="436"/>
      <c r="K443" s="437"/>
      <c r="L443" s="311"/>
    </row>
    <row r="444" spans="1:12" ht="27">
      <c r="A444" s="318">
        <v>436</v>
      </c>
      <c r="B444" s="432" t="s">
        <v>1855</v>
      </c>
      <c r="C444" s="433" t="s">
        <v>522</v>
      </c>
      <c r="D444" s="454">
        <v>20000</v>
      </c>
      <c r="E444" s="440" t="s">
        <v>1859</v>
      </c>
      <c r="F444" s="432" t="s">
        <v>1860</v>
      </c>
      <c r="G444" s="432" t="s">
        <v>1861</v>
      </c>
      <c r="H444" s="432" t="s">
        <v>526</v>
      </c>
      <c r="I444" s="435"/>
      <c r="J444" s="436"/>
      <c r="K444" s="437"/>
      <c r="L444" s="311"/>
    </row>
    <row r="445" spans="1:12" ht="27">
      <c r="A445" s="318">
        <v>437</v>
      </c>
      <c r="B445" s="432" t="s">
        <v>1855</v>
      </c>
      <c r="C445" s="433" t="s">
        <v>522</v>
      </c>
      <c r="D445" s="454">
        <v>50000</v>
      </c>
      <c r="E445" s="440" t="s">
        <v>1862</v>
      </c>
      <c r="F445" s="432" t="s">
        <v>1863</v>
      </c>
      <c r="G445" s="432" t="s">
        <v>1864</v>
      </c>
      <c r="H445" s="432" t="s">
        <v>526</v>
      </c>
      <c r="I445" s="435"/>
      <c r="J445" s="436"/>
      <c r="K445" s="437"/>
      <c r="L445" s="311"/>
    </row>
    <row r="446" spans="1:12" ht="27">
      <c r="A446" s="318">
        <v>438</v>
      </c>
      <c r="B446" s="432" t="s">
        <v>1855</v>
      </c>
      <c r="C446" s="433" t="s">
        <v>522</v>
      </c>
      <c r="D446" s="454">
        <v>30000</v>
      </c>
      <c r="E446" s="440" t="s">
        <v>1865</v>
      </c>
      <c r="F446" s="432" t="s">
        <v>1866</v>
      </c>
      <c r="G446" s="432" t="s">
        <v>1867</v>
      </c>
      <c r="H446" s="432" t="s">
        <v>526</v>
      </c>
      <c r="I446" s="435"/>
      <c r="J446" s="436"/>
      <c r="K446" s="437"/>
      <c r="L446" s="311"/>
    </row>
    <row r="447" spans="1:12" ht="27">
      <c r="A447" s="318">
        <v>439</v>
      </c>
      <c r="B447" s="432" t="s">
        <v>1855</v>
      </c>
      <c r="C447" s="433" t="s">
        <v>522</v>
      </c>
      <c r="D447" s="454">
        <v>5000</v>
      </c>
      <c r="E447" s="440" t="s">
        <v>1868</v>
      </c>
      <c r="F447" s="432" t="s">
        <v>1869</v>
      </c>
      <c r="G447" s="432" t="s">
        <v>1870</v>
      </c>
      <c r="H447" s="432" t="s">
        <v>526</v>
      </c>
      <c r="I447" s="435"/>
      <c r="J447" s="436"/>
      <c r="K447" s="437"/>
      <c r="L447" s="311"/>
    </row>
    <row r="448" spans="1:12" ht="27">
      <c r="A448" s="318">
        <v>440</v>
      </c>
      <c r="B448" s="432" t="s">
        <v>1855</v>
      </c>
      <c r="C448" s="433" t="s">
        <v>522</v>
      </c>
      <c r="D448" s="454">
        <v>5000</v>
      </c>
      <c r="E448" s="440" t="s">
        <v>1871</v>
      </c>
      <c r="F448" s="432" t="s">
        <v>1872</v>
      </c>
      <c r="G448" s="432" t="s">
        <v>1873</v>
      </c>
      <c r="H448" s="432" t="s">
        <v>526</v>
      </c>
      <c r="I448" s="435"/>
      <c r="J448" s="436"/>
      <c r="K448" s="437"/>
      <c r="L448" s="311"/>
    </row>
    <row r="449" spans="1:12" ht="27">
      <c r="A449" s="318">
        <v>441</v>
      </c>
      <c r="B449" s="432" t="s">
        <v>1855</v>
      </c>
      <c r="C449" s="433" t="s">
        <v>522</v>
      </c>
      <c r="D449" s="454">
        <v>5000</v>
      </c>
      <c r="E449" s="440" t="s">
        <v>1874</v>
      </c>
      <c r="F449" s="432" t="s">
        <v>1875</v>
      </c>
      <c r="G449" s="432" t="s">
        <v>1876</v>
      </c>
      <c r="H449" s="432" t="s">
        <v>526</v>
      </c>
      <c r="I449" s="435"/>
      <c r="J449" s="436"/>
      <c r="K449" s="437"/>
      <c r="L449" s="311"/>
    </row>
    <row r="450" spans="1:12" ht="27">
      <c r="A450" s="318">
        <v>442</v>
      </c>
      <c r="B450" s="432" t="s">
        <v>1855</v>
      </c>
      <c r="C450" s="433" t="s">
        <v>522</v>
      </c>
      <c r="D450" s="454">
        <v>50000</v>
      </c>
      <c r="E450" s="440" t="s">
        <v>1877</v>
      </c>
      <c r="F450" s="432" t="s">
        <v>1878</v>
      </c>
      <c r="G450" s="432" t="s">
        <v>1879</v>
      </c>
      <c r="H450" s="432" t="s">
        <v>526</v>
      </c>
      <c r="I450" s="435"/>
      <c r="J450" s="436"/>
      <c r="K450" s="437"/>
      <c r="L450" s="311"/>
    </row>
    <row r="451" spans="1:12" ht="27">
      <c r="A451" s="318">
        <v>443</v>
      </c>
      <c r="B451" s="432" t="s">
        <v>1855</v>
      </c>
      <c r="C451" s="433" t="s">
        <v>522</v>
      </c>
      <c r="D451" s="454">
        <v>60000</v>
      </c>
      <c r="E451" s="440" t="s">
        <v>1880</v>
      </c>
      <c r="F451" s="432" t="s">
        <v>1881</v>
      </c>
      <c r="G451" s="432" t="s">
        <v>1882</v>
      </c>
      <c r="H451" s="432" t="s">
        <v>526</v>
      </c>
      <c r="I451" s="435"/>
      <c r="J451" s="436"/>
      <c r="K451" s="437"/>
      <c r="L451" s="311"/>
    </row>
    <row r="452" spans="1:12" ht="27">
      <c r="A452" s="318">
        <v>444</v>
      </c>
      <c r="B452" s="432" t="s">
        <v>1855</v>
      </c>
      <c r="C452" s="433" t="s">
        <v>522</v>
      </c>
      <c r="D452" s="454">
        <v>60000</v>
      </c>
      <c r="E452" s="434" t="s">
        <v>1883</v>
      </c>
      <c r="F452" s="432" t="s">
        <v>1884</v>
      </c>
      <c r="G452" s="432" t="s">
        <v>1885</v>
      </c>
      <c r="H452" s="432" t="s">
        <v>526</v>
      </c>
      <c r="I452" s="435"/>
      <c r="J452" s="436"/>
      <c r="K452" s="437"/>
      <c r="L452" s="311"/>
    </row>
    <row r="453" spans="1:12" ht="27">
      <c r="A453" s="318">
        <v>445</v>
      </c>
      <c r="B453" s="432" t="s">
        <v>1855</v>
      </c>
      <c r="C453" s="433" t="s">
        <v>522</v>
      </c>
      <c r="D453" s="454">
        <v>60000</v>
      </c>
      <c r="E453" s="434" t="s">
        <v>1886</v>
      </c>
      <c r="F453" s="432" t="s">
        <v>1887</v>
      </c>
      <c r="G453" s="432" t="s">
        <v>1888</v>
      </c>
      <c r="H453" s="432" t="s">
        <v>526</v>
      </c>
      <c r="I453" s="435"/>
      <c r="J453" s="436"/>
      <c r="K453" s="437"/>
      <c r="L453" s="311"/>
    </row>
    <row r="454" spans="1:12" ht="27">
      <c r="A454" s="318">
        <v>446</v>
      </c>
      <c r="B454" s="432" t="s">
        <v>1855</v>
      </c>
      <c r="C454" s="433" t="s">
        <v>522</v>
      </c>
      <c r="D454" s="454">
        <v>60000</v>
      </c>
      <c r="E454" s="434" t="s">
        <v>1889</v>
      </c>
      <c r="F454" s="432" t="s">
        <v>1890</v>
      </c>
      <c r="G454" s="432" t="s">
        <v>1891</v>
      </c>
      <c r="H454" s="432" t="s">
        <v>526</v>
      </c>
      <c r="I454" s="435"/>
      <c r="J454" s="436"/>
      <c r="K454" s="437"/>
      <c r="L454" s="311"/>
    </row>
    <row r="455" spans="1:12" ht="27">
      <c r="A455" s="318">
        <v>447</v>
      </c>
      <c r="B455" s="432" t="s">
        <v>1892</v>
      </c>
      <c r="C455" s="433" t="s">
        <v>522</v>
      </c>
      <c r="D455" s="454">
        <v>4800</v>
      </c>
      <c r="E455" s="434" t="s">
        <v>1893</v>
      </c>
      <c r="F455" s="432" t="s">
        <v>1894</v>
      </c>
      <c r="G455" s="432" t="s">
        <v>1895</v>
      </c>
      <c r="H455" s="432" t="s">
        <v>526</v>
      </c>
      <c r="I455" s="435"/>
      <c r="J455" s="436"/>
      <c r="K455" s="437"/>
      <c r="L455" s="311"/>
    </row>
    <row r="456" spans="1:12" ht="27">
      <c r="A456" s="318">
        <v>448</v>
      </c>
      <c r="B456" s="432" t="s">
        <v>1892</v>
      </c>
      <c r="C456" s="433" t="s">
        <v>522</v>
      </c>
      <c r="D456" s="454">
        <v>3400</v>
      </c>
      <c r="E456" s="434" t="s">
        <v>1896</v>
      </c>
      <c r="F456" s="432" t="s">
        <v>1897</v>
      </c>
      <c r="G456" s="432" t="s">
        <v>1898</v>
      </c>
      <c r="H456" s="432" t="s">
        <v>526</v>
      </c>
      <c r="I456" s="435"/>
      <c r="J456" s="436"/>
      <c r="K456" s="437"/>
      <c r="L456" s="311"/>
    </row>
    <row r="457" spans="1:12" ht="27">
      <c r="A457" s="318">
        <v>449</v>
      </c>
      <c r="B457" s="432" t="s">
        <v>1892</v>
      </c>
      <c r="C457" s="433" t="s">
        <v>522</v>
      </c>
      <c r="D457" s="454">
        <v>6400</v>
      </c>
      <c r="E457" s="434" t="s">
        <v>1899</v>
      </c>
      <c r="F457" s="432" t="s">
        <v>1900</v>
      </c>
      <c r="G457" s="432" t="s">
        <v>1901</v>
      </c>
      <c r="H457" s="432" t="s">
        <v>526</v>
      </c>
      <c r="I457" s="435"/>
      <c r="J457" s="436"/>
      <c r="K457" s="437"/>
      <c r="L457" s="311"/>
    </row>
    <row r="458" spans="1:12" ht="27">
      <c r="A458" s="318">
        <v>450</v>
      </c>
      <c r="B458" s="432" t="s">
        <v>1892</v>
      </c>
      <c r="C458" s="433" t="s">
        <v>522</v>
      </c>
      <c r="D458" s="454">
        <v>7000</v>
      </c>
      <c r="E458" s="434" t="s">
        <v>1902</v>
      </c>
      <c r="F458" s="432" t="s">
        <v>1903</v>
      </c>
      <c r="G458" s="432" t="s">
        <v>1904</v>
      </c>
      <c r="H458" s="432" t="s">
        <v>526</v>
      </c>
      <c r="I458" s="435"/>
      <c r="J458" s="436"/>
      <c r="K458" s="437"/>
      <c r="L458" s="311"/>
    </row>
    <row r="459" spans="1:12" ht="27">
      <c r="A459" s="318">
        <v>451</v>
      </c>
      <c r="B459" s="432" t="s">
        <v>1905</v>
      </c>
      <c r="C459" s="433" t="s">
        <v>522</v>
      </c>
      <c r="D459" s="454">
        <v>20000</v>
      </c>
      <c r="E459" s="434" t="s">
        <v>1906</v>
      </c>
      <c r="F459" s="432" t="s">
        <v>1907</v>
      </c>
      <c r="G459" s="432" t="s">
        <v>1908</v>
      </c>
      <c r="H459" s="432" t="s">
        <v>526</v>
      </c>
      <c r="I459" s="435"/>
      <c r="J459" s="436"/>
      <c r="K459" s="437"/>
      <c r="L459" s="311"/>
    </row>
    <row r="460" spans="1:12" ht="27">
      <c r="A460" s="318">
        <v>452</v>
      </c>
      <c r="B460" s="432" t="s">
        <v>1905</v>
      </c>
      <c r="C460" s="433" t="s">
        <v>522</v>
      </c>
      <c r="D460" s="454">
        <v>40000</v>
      </c>
      <c r="E460" s="434" t="s">
        <v>1909</v>
      </c>
      <c r="F460" s="432" t="s">
        <v>1910</v>
      </c>
      <c r="G460" s="432" t="s">
        <v>1911</v>
      </c>
      <c r="H460" s="432" t="s">
        <v>526</v>
      </c>
      <c r="I460" s="435"/>
      <c r="J460" s="436"/>
      <c r="K460" s="437"/>
      <c r="L460" s="311"/>
    </row>
    <row r="461" spans="1:12" ht="27">
      <c r="A461" s="318">
        <v>453</v>
      </c>
      <c r="B461" s="432" t="s">
        <v>1905</v>
      </c>
      <c r="C461" s="433" t="s">
        <v>522</v>
      </c>
      <c r="D461" s="454">
        <v>10000</v>
      </c>
      <c r="E461" s="434" t="s">
        <v>1912</v>
      </c>
      <c r="F461" s="432" t="s">
        <v>1913</v>
      </c>
      <c r="G461" s="432" t="s">
        <v>1914</v>
      </c>
      <c r="H461" s="432" t="s">
        <v>526</v>
      </c>
      <c r="I461" s="435"/>
      <c r="J461" s="436"/>
      <c r="K461" s="437"/>
      <c r="L461" s="311"/>
    </row>
    <row r="462" spans="1:12" ht="27">
      <c r="A462" s="318">
        <v>454</v>
      </c>
      <c r="B462" s="432" t="s">
        <v>1905</v>
      </c>
      <c r="C462" s="433" t="s">
        <v>522</v>
      </c>
      <c r="D462" s="454">
        <v>10000</v>
      </c>
      <c r="E462" s="434" t="s">
        <v>1915</v>
      </c>
      <c r="F462" s="432" t="s">
        <v>1916</v>
      </c>
      <c r="G462" s="432" t="s">
        <v>1917</v>
      </c>
      <c r="H462" s="432" t="s">
        <v>526</v>
      </c>
      <c r="I462" s="435"/>
      <c r="J462" s="436"/>
      <c r="K462" s="437"/>
      <c r="L462" s="311"/>
    </row>
    <row r="463" spans="1:12" ht="27">
      <c r="A463" s="318">
        <v>455</v>
      </c>
      <c r="B463" s="432" t="s">
        <v>1905</v>
      </c>
      <c r="C463" s="433" t="s">
        <v>522</v>
      </c>
      <c r="D463" s="454">
        <v>30000</v>
      </c>
      <c r="E463" s="434" t="s">
        <v>1918</v>
      </c>
      <c r="F463" s="432" t="s">
        <v>1919</v>
      </c>
      <c r="G463" s="432" t="s">
        <v>1920</v>
      </c>
      <c r="H463" s="432" t="s">
        <v>526</v>
      </c>
      <c r="I463" s="435"/>
      <c r="J463" s="436"/>
      <c r="K463" s="437"/>
      <c r="L463" s="311"/>
    </row>
    <row r="464" spans="1:12" ht="27">
      <c r="A464" s="318">
        <v>456</v>
      </c>
      <c r="B464" s="432" t="s">
        <v>1905</v>
      </c>
      <c r="C464" s="433" t="s">
        <v>522</v>
      </c>
      <c r="D464" s="454">
        <v>10000</v>
      </c>
      <c r="E464" s="434" t="s">
        <v>1921</v>
      </c>
      <c r="F464" s="432" t="s">
        <v>1922</v>
      </c>
      <c r="G464" s="432" t="s">
        <v>1923</v>
      </c>
      <c r="H464" s="432" t="s">
        <v>526</v>
      </c>
      <c r="I464" s="435"/>
      <c r="J464" s="436"/>
      <c r="K464" s="437"/>
      <c r="L464" s="311"/>
    </row>
    <row r="465" spans="1:12" ht="27">
      <c r="A465" s="318">
        <v>457</v>
      </c>
      <c r="B465" s="432" t="s">
        <v>1905</v>
      </c>
      <c r="C465" s="433" t="s">
        <v>522</v>
      </c>
      <c r="D465" s="454">
        <v>8000</v>
      </c>
      <c r="E465" s="434" t="s">
        <v>1924</v>
      </c>
      <c r="F465" s="432" t="s">
        <v>1925</v>
      </c>
      <c r="G465" s="432" t="s">
        <v>1926</v>
      </c>
      <c r="H465" s="432" t="s">
        <v>526</v>
      </c>
      <c r="I465" s="435"/>
      <c r="J465" s="436"/>
      <c r="K465" s="437"/>
      <c r="L465" s="311"/>
    </row>
    <row r="466" spans="1:12" ht="27">
      <c r="A466" s="318">
        <v>458</v>
      </c>
      <c r="B466" s="432" t="s">
        <v>1905</v>
      </c>
      <c r="C466" s="433" t="s">
        <v>522</v>
      </c>
      <c r="D466" s="454">
        <v>10000</v>
      </c>
      <c r="E466" s="434" t="s">
        <v>1927</v>
      </c>
      <c r="F466" s="432" t="s">
        <v>1928</v>
      </c>
      <c r="G466" s="432" t="s">
        <v>1929</v>
      </c>
      <c r="H466" s="432" t="s">
        <v>526</v>
      </c>
      <c r="I466" s="435"/>
      <c r="J466" s="436"/>
      <c r="K466" s="437"/>
      <c r="L466" s="311"/>
    </row>
    <row r="467" spans="1:12" ht="27">
      <c r="A467" s="318">
        <v>459</v>
      </c>
      <c r="B467" s="432" t="s">
        <v>1905</v>
      </c>
      <c r="C467" s="433" t="s">
        <v>522</v>
      </c>
      <c r="D467" s="454">
        <v>10000</v>
      </c>
      <c r="E467" s="434" t="s">
        <v>1930</v>
      </c>
      <c r="F467" s="432" t="s">
        <v>1931</v>
      </c>
      <c r="G467" s="432" t="s">
        <v>1932</v>
      </c>
      <c r="H467" s="432" t="s">
        <v>526</v>
      </c>
      <c r="I467" s="435"/>
      <c r="J467" s="436"/>
      <c r="K467" s="437"/>
      <c r="L467" s="311"/>
    </row>
    <row r="468" spans="1:12" ht="27">
      <c r="A468" s="318">
        <v>460</v>
      </c>
      <c r="B468" s="432" t="s">
        <v>1905</v>
      </c>
      <c r="C468" s="433" t="s">
        <v>522</v>
      </c>
      <c r="D468" s="454">
        <v>40000</v>
      </c>
      <c r="E468" s="434" t="s">
        <v>1933</v>
      </c>
      <c r="F468" s="432" t="s">
        <v>1934</v>
      </c>
      <c r="G468" s="432" t="s">
        <v>1935</v>
      </c>
      <c r="H468" s="432" t="s">
        <v>526</v>
      </c>
      <c r="I468" s="435"/>
      <c r="J468" s="436"/>
      <c r="K468" s="437"/>
      <c r="L468" s="311"/>
    </row>
    <row r="469" spans="1:12" ht="27">
      <c r="A469" s="318">
        <v>461</v>
      </c>
      <c r="B469" s="432" t="s">
        <v>1936</v>
      </c>
      <c r="C469" s="433" t="s">
        <v>522</v>
      </c>
      <c r="D469" s="454">
        <v>30000</v>
      </c>
      <c r="E469" s="434" t="s">
        <v>1937</v>
      </c>
      <c r="F469" s="432" t="s">
        <v>1938</v>
      </c>
      <c r="G469" s="432" t="s">
        <v>1939</v>
      </c>
      <c r="H469" s="432" t="s">
        <v>526</v>
      </c>
      <c r="I469" s="435"/>
      <c r="J469" s="436"/>
      <c r="K469" s="437"/>
      <c r="L469" s="311"/>
    </row>
    <row r="470" spans="1:12" ht="27">
      <c r="A470" s="318">
        <v>462</v>
      </c>
      <c r="B470" s="432" t="s">
        <v>1936</v>
      </c>
      <c r="C470" s="433" t="s">
        <v>522</v>
      </c>
      <c r="D470" s="454">
        <v>10000</v>
      </c>
      <c r="E470" s="434" t="s">
        <v>1940</v>
      </c>
      <c r="F470" s="432" t="s">
        <v>1941</v>
      </c>
      <c r="G470" s="432" t="s">
        <v>1942</v>
      </c>
      <c r="H470" s="432" t="s">
        <v>526</v>
      </c>
      <c r="I470" s="435"/>
      <c r="J470" s="436"/>
      <c r="K470" s="437"/>
      <c r="L470" s="311"/>
    </row>
    <row r="471" spans="1:12" ht="27">
      <c r="A471" s="318">
        <v>463</v>
      </c>
      <c r="B471" s="432" t="s">
        <v>1936</v>
      </c>
      <c r="C471" s="433" t="s">
        <v>522</v>
      </c>
      <c r="D471" s="454">
        <v>20000</v>
      </c>
      <c r="E471" s="434" t="s">
        <v>1943</v>
      </c>
      <c r="F471" s="432" t="s">
        <v>1944</v>
      </c>
      <c r="G471" s="432" t="s">
        <v>1945</v>
      </c>
      <c r="H471" s="432" t="s">
        <v>526</v>
      </c>
      <c r="I471" s="435"/>
      <c r="J471" s="436"/>
      <c r="K471" s="437"/>
      <c r="L471" s="311"/>
    </row>
    <row r="472" spans="1:12" ht="27">
      <c r="A472" s="318">
        <v>464</v>
      </c>
      <c r="B472" s="432" t="s">
        <v>1936</v>
      </c>
      <c r="C472" s="433" t="s">
        <v>522</v>
      </c>
      <c r="D472" s="454">
        <v>10000</v>
      </c>
      <c r="E472" s="434" t="s">
        <v>1946</v>
      </c>
      <c r="F472" s="432" t="s">
        <v>1947</v>
      </c>
      <c r="G472" s="432" t="s">
        <v>1948</v>
      </c>
      <c r="H472" s="432" t="s">
        <v>526</v>
      </c>
      <c r="I472" s="435"/>
      <c r="J472" s="436"/>
      <c r="K472" s="437"/>
      <c r="L472" s="311"/>
    </row>
    <row r="473" spans="1:12" ht="27">
      <c r="A473" s="318">
        <v>465</v>
      </c>
      <c r="B473" s="432" t="s">
        <v>1936</v>
      </c>
      <c r="C473" s="433" t="s">
        <v>522</v>
      </c>
      <c r="D473" s="454">
        <v>10000</v>
      </c>
      <c r="E473" s="434" t="s">
        <v>1949</v>
      </c>
      <c r="F473" s="432" t="s">
        <v>1950</v>
      </c>
      <c r="G473" s="432" t="s">
        <v>1951</v>
      </c>
      <c r="H473" s="432" t="s">
        <v>526</v>
      </c>
      <c r="I473" s="435"/>
      <c r="J473" s="436"/>
      <c r="K473" s="437"/>
      <c r="L473" s="311"/>
    </row>
    <row r="474" spans="1:12" ht="27">
      <c r="A474" s="318">
        <v>466</v>
      </c>
      <c r="B474" s="432" t="s">
        <v>1936</v>
      </c>
      <c r="C474" s="433" t="s">
        <v>522</v>
      </c>
      <c r="D474" s="454">
        <v>10000</v>
      </c>
      <c r="E474" s="434" t="s">
        <v>1952</v>
      </c>
      <c r="F474" s="432" t="s">
        <v>1953</v>
      </c>
      <c r="G474" s="432" t="s">
        <v>1954</v>
      </c>
      <c r="H474" s="432" t="s">
        <v>526</v>
      </c>
      <c r="I474" s="435"/>
      <c r="J474" s="436"/>
      <c r="K474" s="437"/>
      <c r="L474" s="311"/>
    </row>
    <row r="475" spans="1:12" ht="27">
      <c r="A475" s="318">
        <v>467</v>
      </c>
      <c r="B475" s="432" t="s">
        <v>1936</v>
      </c>
      <c r="C475" s="433" t="s">
        <v>522</v>
      </c>
      <c r="D475" s="454">
        <v>15000</v>
      </c>
      <c r="E475" s="434" t="s">
        <v>1955</v>
      </c>
      <c r="F475" s="432" t="s">
        <v>1956</v>
      </c>
      <c r="G475" s="432" t="s">
        <v>1957</v>
      </c>
      <c r="H475" s="432" t="s">
        <v>526</v>
      </c>
      <c r="I475" s="435"/>
      <c r="J475" s="436"/>
      <c r="K475" s="437"/>
      <c r="L475" s="311"/>
    </row>
    <row r="476" spans="1:12" ht="27">
      <c r="A476" s="318">
        <v>468</v>
      </c>
      <c r="B476" s="432" t="s">
        <v>1936</v>
      </c>
      <c r="C476" s="433" t="s">
        <v>522</v>
      </c>
      <c r="D476" s="454">
        <v>15000</v>
      </c>
      <c r="E476" s="434" t="s">
        <v>1958</v>
      </c>
      <c r="F476" s="432" t="s">
        <v>1959</v>
      </c>
      <c r="G476" s="432" t="s">
        <v>1960</v>
      </c>
      <c r="H476" s="432" t="s">
        <v>526</v>
      </c>
      <c r="I476" s="435"/>
      <c r="J476" s="436"/>
      <c r="K476" s="437"/>
      <c r="L476" s="311"/>
    </row>
    <row r="477" spans="1:12" ht="27">
      <c r="A477" s="318">
        <v>469</v>
      </c>
      <c r="B477" s="432" t="s">
        <v>1936</v>
      </c>
      <c r="C477" s="433" t="s">
        <v>522</v>
      </c>
      <c r="D477" s="454">
        <v>15000</v>
      </c>
      <c r="E477" s="434" t="s">
        <v>1961</v>
      </c>
      <c r="F477" s="432" t="s">
        <v>1962</v>
      </c>
      <c r="G477" s="432" t="s">
        <v>1963</v>
      </c>
      <c r="H477" s="432" t="s">
        <v>526</v>
      </c>
      <c r="I477" s="435"/>
      <c r="J477" s="436"/>
      <c r="K477" s="437"/>
      <c r="L477" s="311"/>
    </row>
    <row r="478" spans="1:12" ht="27">
      <c r="A478" s="318">
        <v>470</v>
      </c>
      <c r="B478" s="432" t="s">
        <v>1936</v>
      </c>
      <c r="C478" s="433" t="s">
        <v>522</v>
      </c>
      <c r="D478" s="454">
        <v>30000</v>
      </c>
      <c r="E478" s="434" t="s">
        <v>1964</v>
      </c>
      <c r="F478" s="432" t="s">
        <v>1965</v>
      </c>
      <c r="G478" s="432" t="s">
        <v>1966</v>
      </c>
      <c r="H478" s="432" t="s">
        <v>526</v>
      </c>
      <c r="I478" s="435"/>
      <c r="J478" s="436"/>
      <c r="K478" s="437"/>
      <c r="L478" s="311"/>
    </row>
    <row r="479" spans="1:12" ht="27">
      <c r="A479" s="318">
        <v>471</v>
      </c>
      <c r="B479" s="432" t="s">
        <v>1936</v>
      </c>
      <c r="C479" s="433" t="s">
        <v>522</v>
      </c>
      <c r="D479" s="454">
        <v>40000</v>
      </c>
      <c r="E479" s="434" t="s">
        <v>1967</v>
      </c>
      <c r="F479" s="432" t="s">
        <v>1968</v>
      </c>
      <c r="G479" s="432" t="s">
        <v>1969</v>
      </c>
      <c r="H479" s="432" t="s">
        <v>526</v>
      </c>
      <c r="I479" s="435"/>
      <c r="J479" s="436"/>
      <c r="K479" s="437"/>
      <c r="L479" s="311"/>
    </row>
    <row r="480" spans="1:12" ht="30">
      <c r="A480" s="318">
        <v>472</v>
      </c>
      <c r="B480" s="432" t="s">
        <v>1936</v>
      </c>
      <c r="C480" s="433" t="s">
        <v>522</v>
      </c>
      <c r="D480" s="454">
        <v>120000</v>
      </c>
      <c r="E480" s="443" t="s">
        <v>1970</v>
      </c>
      <c r="F480" s="444" t="s">
        <v>1971</v>
      </c>
      <c r="G480" s="443" t="s">
        <v>1972</v>
      </c>
      <c r="H480" s="445" t="s">
        <v>520</v>
      </c>
      <c r="I480" s="435"/>
      <c r="J480" s="436"/>
      <c r="K480" s="437"/>
      <c r="L480" s="311"/>
    </row>
    <row r="481" spans="1:12" ht="27">
      <c r="A481" s="318">
        <v>473</v>
      </c>
      <c r="B481" s="432" t="s">
        <v>1973</v>
      </c>
      <c r="C481" s="433" t="s">
        <v>522</v>
      </c>
      <c r="D481" s="454">
        <v>15000</v>
      </c>
      <c r="E481" s="432" t="s">
        <v>1974</v>
      </c>
      <c r="F481" s="432" t="s">
        <v>1975</v>
      </c>
      <c r="G481" s="432" t="s">
        <v>1976</v>
      </c>
      <c r="H481" s="432" t="s">
        <v>526</v>
      </c>
      <c r="I481" s="435"/>
      <c r="J481" s="436"/>
      <c r="K481" s="437"/>
      <c r="L481" s="311"/>
    </row>
    <row r="482" spans="1:12" ht="27">
      <c r="A482" s="318">
        <v>474</v>
      </c>
      <c r="B482" s="432" t="s">
        <v>1973</v>
      </c>
      <c r="C482" s="433" t="s">
        <v>522</v>
      </c>
      <c r="D482" s="454">
        <v>8000</v>
      </c>
      <c r="E482" s="432" t="s">
        <v>1977</v>
      </c>
      <c r="F482" s="432" t="s">
        <v>1978</v>
      </c>
      <c r="G482" s="432" t="s">
        <v>1979</v>
      </c>
      <c r="H482" s="432" t="s">
        <v>526</v>
      </c>
      <c r="I482" s="435"/>
      <c r="J482" s="436"/>
      <c r="K482" s="437"/>
      <c r="L482" s="311"/>
    </row>
    <row r="483" spans="1:12" ht="27">
      <c r="A483" s="318">
        <v>475</v>
      </c>
      <c r="B483" s="432" t="s">
        <v>1973</v>
      </c>
      <c r="C483" s="433" t="s">
        <v>522</v>
      </c>
      <c r="D483" s="454">
        <v>60000</v>
      </c>
      <c r="E483" s="432" t="s">
        <v>1980</v>
      </c>
      <c r="F483" s="432" t="s">
        <v>1981</v>
      </c>
      <c r="G483" s="432" t="s">
        <v>1982</v>
      </c>
      <c r="H483" s="432" t="s">
        <v>526</v>
      </c>
      <c r="I483" s="435"/>
      <c r="J483" s="436"/>
      <c r="K483" s="437"/>
      <c r="L483" s="311"/>
    </row>
    <row r="484" spans="1:12" ht="27">
      <c r="A484" s="318">
        <v>476</v>
      </c>
      <c r="B484" s="432" t="s">
        <v>1973</v>
      </c>
      <c r="C484" s="433" t="s">
        <v>522</v>
      </c>
      <c r="D484" s="454">
        <v>60000</v>
      </c>
      <c r="E484" s="432" t="s">
        <v>1983</v>
      </c>
      <c r="F484" s="432" t="s">
        <v>1984</v>
      </c>
      <c r="G484" s="432" t="s">
        <v>1985</v>
      </c>
      <c r="H484" s="432" t="s">
        <v>526</v>
      </c>
      <c r="I484" s="435"/>
      <c r="J484" s="436"/>
      <c r="K484" s="437"/>
      <c r="L484" s="311"/>
    </row>
    <row r="485" spans="1:12" ht="27">
      <c r="A485" s="318">
        <v>477</v>
      </c>
      <c r="B485" s="432" t="s">
        <v>1973</v>
      </c>
      <c r="C485" s="433" t="s">
        <v>522</v>
      </c>
      <c r="D485" s="454">
        <v>60000</v>
      </c>
      <c r="E485" s="432" t="s">
        <v>1986</v>
      </c>
      <c r="F485" s="432" t="s">
        <v>1987</v>
      </c>
      <c r="G485" s="432" t="s">
        <v>1988</v>
      </c>
      <c r="H485" s="432" t="s">
        <v>526</v>
      </c>
      <c r="I485" s="435"/>
      <c r="J485" s="436"/>
      <c r="K485" s="437"/>
      <c r="L485" s="311"/>
    </row>
    <row r="486" spans="1:12" ht="27">
      <c r="A486" s="318">
        <v>478</v>
      </c>
      <c r="B486" s="432" t="s">
        <v>1973</v>
      </c>
      <c r="C486" s="433" t="s">
        <v>522</v>
      </c>
      <c r="D486" s="454">
        <v>40000</v>
      </c>
      <c r="E486" s="432" t="s">
        <v>1989</v>
      </c>
      <c r="F486" s="432" t="s">
        <v>1990</v>
      </c>
      <c r="G486" s="432" t="s">
        <v>1991</v>
      </c>
      <c r="H486" s="432" t="s">
        <v>526</v>
      </c>
      <c r="I486" s="435"/>
      <c r="J486" s="436"/>
      <c r="K486" s="437"/>
      <c r="L486" s="311"/>
    </row>
    <row r="487" spans="1:12" ht="27">
      <c r="A487" s="318">
        <v>479</v>
      </c>
      <c r="B487" s="432" t="s">
        <v>1973</v>
      </c>
      <c r="C487" s="433" t="s">
        <v>522</v>
      </c>
      <c r="D487" s="454">
        <v>10000</v>
      </c>
      <c r="E487" s="432" t="s">
        <v>1992</v>
      </c>
      <c r="F487" s="432" t="s">
        <v>1993</v>
      </c>
      <c r="G487" s="432" t="s">
        <v>1994</v>
      </c>
      <c r="H487" s="432" t="s">
        <v>526</v>
      </c>
      <c r="I487" s="435"/>
      <c r="J487" s="436"/>
      <c r="K487" s="437"/>
      <c r="L487" s="311"/>
    </row>
    <row r="488" spans="1:12" ht="27">
      <c r="A488" s="318">
        <v>480</v>
      </c>
      <c r="B488" s="432" t="s">
        <v>1973</v>
      </c>
      <c r="C488" s="433" t="s">
        <v>522</v>
      </c>
      <c r="D488" s="454">
        <v>25000</v>
      </c>
      <c r="E488" s="432" t="s">
        <v>1995</v>
      </c>
      <c r="F488" s="432" t="s">
        <v>1996</v>
      </c>
      <c r="G488" s="432" t="s">
        <v>1997</v>
      </c>
      <c r="H488" s="432" t="s">
        <v>526</v>
      </c>
      <c r="I488" s="435"/>
      <c r="J488" s="436"/>
      <c r="K488" s="437"/>
      <c r="L488" s="311"/>
    </row>
    <row r="489" spans="1:12" ht="27">
      <c r="A489" s="318">
        <v>481</v>
      </c>
      <c r="B489" s="432" t="s">
        <v>1973</v>
      </c>
      <c r="C489" s="433" t="s">
        <v>522</v>
      </c>
      <c r="D489" s="454">
        <v>15000</v>
      </c>
      <c r="E489" s="432" t="s">
        <v>1998</v>
      </c>
      <c r="F489" s="432" t="s">
        <v>1999</v>
      </c>
      <c r="G489" s="432" t="s">
        <v>2000</v>
      </c>
      <c r="H489" s="432" t="s">
        <v>526</v>
      </c>
      <c r="I489" s="435"/>
      <c r="J489" s="436"/>
      <c r="K489" s="437"/>
      <c r="L489" s="311"/>
    </row>
    <row r="490" spans="1:12" ht="27">
      <c r="A490" s="318">
        <v>482</v>
      </c>
      <c r="B490" s="432" t="s">
        <v>1973</v>
      </c>
      <c r="C490" s="433" t="s">
        <v>522</v>
      </c>
      <c r="D490" s="454">
        <v>15000</v>
      </c>
      <c r="E490" s="432" t="s">
        <v>2001</v>
      </c>
      <c r="F490" s="432" t="s">
        <v>2002</v>
      </c>
      <c r="G490" s="432" t="s">
        <v>2003</v>
      </c>
      <c r="H490" s="432" t="s">
        <v>526</v>
      </c>
      <c r="I490" s="435"/>
      <c r="J490" s="436"/>
      <c r="K490" s="437"/>
      <c r="L490" s="311"/>
    </row>
    <row r="491" spans="1:12" ht="27">
      <c r="A491" s="318">
        <v>483</v>
      </c>
      <c r="B491" s="432" t="s">
        <v>2004</v>
      </c>
      <c r="C491" s="433" t="s">
        <v>522</v>
      </c>
      <c r="D491" s="454">
        <v>9000</v>
      </c>
      <c r="E491" s="432" t="s">
        <v>2005</v>
      </c>
      <c r="F491" s="432" t="s">
        <v>2006</v>
      </c>
      <c r="G491" s="432" t="s">
        <v>2007</v>
      </c>
      <c r="H491" s="432" t="s">
        <v>526</v>
      </c>
      <c r="I491" s="435"/>
      <c r="J491" s="436"/>
      <c r="K491" s="437"/>
      <c r="L491" s="311"/>
    </row>
    <row r="492" spans="1:12" ht="27">
      <c r="A492" s="318">
        <v>484</v>
      </c>
      <c r="B492" s="432" t="s">
        <v>2004</v>
      </c>
      <c r="C492" s="433" t="s">
        <v>522</v>
      </c>
      <c r="D492" s="454">
        <v>20000</v>
      </c>
      <c r="E492" s="432" t="s">
        <v>2008</v>
      </c>
      <c r="F492" s="432" t="s">
        <v>2009</v>
      </c>
      <c r="G492" s="432" t="s">
        <v>2010</v>
      </c>
      <c r="H492" s="432" t="s">
        <v>526</v>
      </c>
      <c r="I492" s="435"/>
      <c r="J492" s="436"/>
      <c r="K492" s="437"/>
      <c r="L492" s="311"/>
    </row>
    <row r="493" spans="1:12" ht="27">
      <c r="A493" s="318">
        <v>485</v>
      </c>
      <c r="B493" s="432" t="s">
        <v>2004</v>
      </c>
      <c r="C493" s="433" t="s">
        <v>522</v>
      </c>
      <c r="D493" s="454">
        <v>10000</v>
      </c>
      <c r="E493" s="432" t="s">
        <v>2011</v>
      </c>
      <c r="F493" s="432" t="s">
        <v>2012</v>
      </c>
      <c r="G493" s="432" t="s">
        <v>2013</v>
      </c>
      <c r="H493" s="432" t="s">
        <v>526</v>
      </c>
      <c r="I493" s="435"/>
      <c r="J493" s="436"/>
      <c r="K493" s="437"/>
      <c r="L493" s="311"/>
    </row>
    <row r="494" spans="1:12" ht="27">
      <c r="A494" s="318">
        <v>486</v>
      </c>
      <c r="B494" s="432" t="s">
        <v>2004</v>
      </c>
      <c r="C494" s="433" t="s">
        <v>522</v>
      </c>
      <c r="D494" s="454">
        <v>60000</v>
      </c>
      <c r="E494" s="432" t="s">
        <v>2014</v>
      </c>
      <c r="F494" s="432" t="s">
        <v>2015</v>
      </c>
      <c r="G494" s="432" t="s">
        <v>2016</v>
      </c>
      <c r="H494" s="432" t="s">
        <v>526</v>
      </c>
      <c r="I494" s="435"/>
      <c r="J494" s="436"/>
      <c r="K494" s="437"/>
      <c r="L494" s="311"/>
    </row>
    <row r="495" spans="1:12" ht="27">
      <c r="A495" s="318">
        <v>487</v>
      </c>
      <c r="B495" s="432" t="s">
        <v>2004</v>
      </c>
      <c r="C495" s="433" t="s">
        <v>522</v>
      </c>
      <c r="D495" s="454">
        <v>25000</v>
      </c>
      <c r="E495" s="439" t="s">
        <v>2017</v>
      </c>
      <c r="F495" s="432" t="s">
        <v>2018</v>
      </c>
      <c r="G495" s="432" t="s">
        <v>2019</v>
      </c>
      <c r="H495" s="432" t="s">
        <v>526</v>
      </c>
      <c r="I495" s="435"/>
      <c r="J495" s="436"/>
      <c r="K495" s="437"/>
      <c r="L495" s="311"/>
    </row>
    <row r="496" spans="1:12" ht="27">
      <c r="A496" s="318">
        <v>488</v>
      </c>
      <c r="B496" s="432" t="s">
        <v>2004</v>
      </c>
      <c r="C496" s="433" t="s">
        <v>522</v>
      </c>
      <c r="D496" s="454">
        <v>15000</v>
      </c>
      <c r="E496" s="434" t="s">
        <v>2020</v>
      </c>
      <c r="F496" s="432" t="s">
        <v>2021</v>
      </c>
      <c r="G496" s="432" t="s">
        <v>2022</v>
      </c>
      <c r="H496" s="432" t="s">
        <v>526</v>
      </c>
      <c r="I496" s="435"/>
      <c r="J496" s="436"/>
      <c r="K496" s="437"/>
      <c r="L496" s="311"/>
    </row>
    <row r="497" spans="1:12" ht="27">
      <c r="A497" s="318">
        <v>489</v>
      </c>
      <c r="B497" s="432" t="s">
        <v>2023</v>
      </c>
      <c r="C497" s="433" t="s">
        <v>522</v>
      </c>
      <c r="D497" s="454">
        <v>20000</v>
      </c>
      <c r="E497" s="434" t="s">
        <v>2024</v>
      </c>
      <c r="F497" s="432" t="s">
        <v>2025</v>
      </c>
      <c r="G497" s="432" t="s">
        <v>2026</v>
      </c>
      <c r="H497" s="432" t="s">
        <v>526</v>
      </c>
      <c r="I497" s="435"/>
      <c r="J497" s="436"/>
      <c r="K497" s="437"/>
      <c r="L497" s="311"/>
    </row>
    <row r="498" spans="1:12" ht="27">
      <c r="A498" s="318">
        <v>490</v>
      </c>
      <c r="B498" s="432" t="s">
        <v>2023</v>
      </c>
      <c r="C498" s="433" t="s">
        <v>522</v>
      </c>
      <c r="D498" s="454">
        <v>8000</v>
      </c>
      <c r="E498" s="434" t="s">
        <v>2027</v>
      </c>
      <c r="F498" s="432" t="s">
        <v>2028</v>
      </c>
      <c r="G498" s="432" t="s">
        <v>2029</v>
      </c>
      <c r="H498" s="432" t="s">
        <v>526</v>
      </c>
      <c r="I498" s="435"/>
      <c r="J498" s="436"/>
      <c r="K498" s="437"/>
      <c r="L498" s="311"/>
    </row>
    <row r="499" spans="1:12" ht="27">
      <c r="A499" s="318">
        <v>491</v>
      </c>
      <c r="B499" s="432" t="s">
        <v>2023</v>
      </c>
      <c r="C499" s="433" t="s">
        <v>522</v>
      </c>
      <c r="D499" s="454">
        <v>12000</v>
      </c>
      <c r="E499" s="434" t="s">
        <v>2030</v>
      </c>
      <c r="F499" s="432" t="s">
        <v>2031</v>
      </c>
      <c r="G499" s="432" t="s">
        <v>2032</v>
      </c>
      <c r="H499" s="432" t="s">
        <v>526</v>
      </c>
      <c r="I499" s="435"/>
      <c r="J499" s="436"/>
      <c r="K499" s="437"/>
      <c r="L499" s="311"/>
    </row>
    <row r="500" spans="1:12" ht="27">
      <c r="A500" s="318">
        <v>492</v>
      </c>
      <c r="B500" s="432" t="s">
        <v>2023</v>
      </c>
      <c r="C500" s="433" t="s">
        <v>522</v>
      </c>
      <c r="D500" s="454">
        <v>5000</v>
      </c>
      <c r="E500" s="434" t="s">
        <v>2033</v>
      </c>
      <c r="F500" s="432" t="s">
        <v>2034</v>
      </c>
      <c r="G500" s="432" t="s">
        <v>2035</v>
      </c>
      <c r="H500" s="432" t="s">
        <v>526</v>
      </c>
      <c r="I500" s="435"/>
      <c r="J500" s="436"/>
      <c r="K500" s="437"/>
      <c r="L500" s="311"/>
    </row>
    <row r="501" spans="1:12" ht="27">
      <c r="A501" s="318">
        <v>493</v>
      </c>
      <c r="B501" s="432" t="s">
        <v>2023</v>
      </c>
      <c r="C501" s="433" t="s">
        <v>522</v>
      </c>
      <c r="D501" s="454">
        <v>30000</v>
      </c>
      <c r="E501" s="434" t="s">
        <v>2036</v>
      </c>
      <c r="F501" s="432" t="s">
        <v>2037</v>
      </c>
      <c r="G501" s="432" t="s">
        <v>2038</v>
      </c>
      <c r="H501" s="432" t="s">
        <v>526</v>
      </c>
      <c r="I501" s="435"/>
      <c r="J501" s="436"/>
      <c r="K501" s="437"/>
      <c r="L501" s="311"/>
    </row>
    <row r="502" spans="1:12" ht="27">
      <c r="A502" s="318">
        <v>494</v>
      </c>
      <c r="B502" s="432" t="s">
        <v>2023</v>
      </c>
      <c r="C502" s="433" t="s">
        <v>522</v>
      </c>
      <c r="D502" s="454">
        <v>40000</v>
      </c>
      <c r="E502" s="434" t="s">
        <v>2039</v>
      </c>
      <c r="F502" s="432" t="s">
        <v>2040</v>
      </c>
      <c r="G502" s="432" t="s">
        <v>2041</v>
      </c>
      <c r="H502" s="432" t="s">
        <v>526</v>
      </c>
      <c r="I502" s="435"/>
      <c r="J502" s="436"/>
      <c r="K502" s="437"/>
      <c r="L502" s="311"/>
    </row>
    <row r="503" spans="1:12" ht="27">
      <c r="A503" s="318">
        <v>495</v>
      </c>
      <c r="B503" s="432" t="s">
        <v>2023</v>
      </c>
      <c r="C503" s="433" t="s">
        <v>522</v>
      </c>
      <c r="D503" s="454">
        <v>50000</v>
      </c>
      <c r="E503" s="434" t="s">
        <v>2042</v>
      </c>
      <c r="F503" s="432" t="s">
        <v>2043</v>
      </c>
      <c r="G503" s="432" t="s">
        <v>2044</v>
      </c>
      <c r="H503" s="432" t="s">
        <v>526</v>
      </c>
      <c r="I503" s="435"/>
      <c r="J503" s="436"/>
      <c r="K503" s="437"/>
      <c r="L503" s="311"/>
    </row>
    <row r="504" spans="1:12" ht="27">
      <c r="A504" s="318">
        <v>496</v>
      </c>
      <c r="B504" s="432" t="s">
        <v>2023</v>
      </c>
      <c r="C504" s="433" t="s">
        <v>522</v>
      </c>
      <c r="D504" s="454">
        <v>5000</v>
      </c>
      <c r="E504" s="434" t="s">
        <v>2045</v>
      </c>
      <c r="F504" s="432" t="s">
        <v>2046</v>
      </c>
      <c r="G504" s="432" t="s">
        <v>2047</v>
      </c>
      <c r="H504" s="432" t="s">
        <v>526</v>
      </c>
      <c r="I504" s="435"/>
      <c r="J504" s="436"/>
      <c r="K504" s="437"/>
      <c r="L504" s="311"/>
    </row>
    <row r="505" spans="1:12" ht="27">
      <c r="A505" s="318">
        <v>497</v>
      </c>
      <c r="B505" s="432" t="s">
        <v>2023</v>
      </c>
      <c r="C505" s="433" t="s">
        <v>522</v>
      </c>
      <c r="D505" s="454">
        <v>5000</v>
      </c>
      <c r="E505" s="434" t="s">
        <v>2048</v>
      </c>
      <c r="F505" s="432" t="s">
        <v>2049</v>
      </c>
      <c r="G505" s="432" t="s">
        <v>2050</v>
      </c>
      <c r="H505" s="432" t="s">
        <v>526</v>
      </c>
      <c r="I505" s="435"/>
      <c r="J505" s="436"/>
      <c r="K505" s="437"/>
      <c r="L505" s="311"/>
    </row>
    <row r="506" spans="1:12" ht="27">
      <c r="A506" s="318">
        <v>498</v>
      </c>
      <c r="B506" s="432" t="s">
        <v>2023</v>
      </c>
      <c r="C506" s="433" t="s">
        <v>522</v>
      </c>
      <c r="D506" s="454">
        <v>15000</v>
      </c>
      <c r="E506" s="434" t="s">
        <v>2051</v>
      </c>
      <c r="F506" s="432" t="s">
        <v>2052</v>
      </c>
      <c r="G506" s="432" t="s">
        <v>2053</v>
      </c>
      <c r="H506" s="432" t="s">
        <v>526</v>
      </c>
      <c r="I506" s="435"/>
      <c r="J506" s="436"/>
      <c r="K506" s="437"/>
      <c r="L506" s="311"/>
    </row>
    <row r="507" spans="1:12" ht="27">
      <c r="A507" s="318">
        <v>499</v>
      </c>
      <c r="B507" s="432" t="s">
        <v>2023</v>
      </c>
      <c r="C507" s="433" t="s">
        <v>522</v>
      </c>
      <c r="D507" s="454">
        <v>40000</v>
      </c>
      <c r="E507" s="434" t="s">
        <v>2054</v>
      </c>
      <c r="F507" s="432" t="s">
        <v>2055</v>
      </c>
      <c r="G507" s="432" t="s">
        <v>2056</v>
      </c>
      <c r="H507" s="432" t="s">
        <v>526</v>
      </c>
      <c r="I507" s="435"/>
      <c r="J507" s="436"/>
      <c r="K507" s="437"/>
      <c r="L507" s="311"/>
    </row>
    <row r="508" spans="1:12" ht="27">
      <c r="A508" s="318">
        <v>500</v>
      </c>
      <c r="B508" s="432" t="s">
        <v>2057</v>
      </c>
      <c r="C508" s="433" t="s">
        <v>522</v>
      </c>
      <c r="D508" s="454">
        <v>3000</v>
      </c>
      <c r="E508" s="434" t="s">
        <v>2058</v>
      </c>
      <c r="F508" s="432" t="s">
        <v>2059</v>
      </c>
      <c r="G508" s="432" t="s">
        <v>2060</v>
      </c>
      <c r="H508" s="432" t="s">
        <v>526</v>
      </c>
      <c r="I508" s="435"/>
      <c r="J508" s="436"/>
      <c r="K508" s="437"/>
      <c r="L508" s="311"/>
    </row>
    <row r="509" spans="1:12" ht="27">
      <c r="A509" s="318">
        <v>501</v>
      </c>
      <c r="B509" s="432" t="s">
        <v>2057</v>
      </c>
      <c r="C509" s="433" t="s">
        <v>522</v>
      </c>
      <c r="D509" s="454">
        <v>6000</v>
      </c>
      <c r="E509" s="440" t="s">
        <v>2061</v>
      </c>
      <c r="F509" s="432" t="s">
        <v>2062</v>
      </c>
      <c r="G509" s="432" t="s">
        <v>2063</v>
      </c>
      <c r="H509" s="432" t="s">
        <v>526</v>
      </c>
      <c r="I509" s="435"/>
      <c r="J509" s="436"/>
      <c r="K509" s="437"/>
      <c r="L509" s="311"/>
    </row>
    <row r="510" spans="1:12" ht="27">
      <c r="A510" s="318">
        <v>502</v>
      </c>
      <c r="B510" s="432" t="s">
        <v>2057</v>
      </c>
      <c r="C510" s="433" t="s">
        <v>522</v>
      </c>
      <c r="D510" s="454">
        <v>6000</v>
      </c>
      <c r="E510" s="440" t="s">
        <v>2064</v>
      </c>
      <c r="F510" s="432" t="s">
        <v>2065</v>
      </c>
      <c r="G510" s="432" t="s">
        <v>2066</v>
      </c>
      <c r="H510" s="432" t="s">
        <v>526</v>
      </c>
      <c r="I510" s="435"/>
      <c r="J510" s="436"/>
      <c r="K510" s="437"/>
      <c r="L510" s="311"/>
    </row>
    <row r="511" spans="1:12" ht="30">
      <c r="A511" s="318">
        <v>503</v>
      </c>
      <c r="B511" s="432" t="s">
        <v>2057</v>
      </c>
      <c r="C511" s="433" t="s">
        <v>522</v>
      </c>
      <c r="D511" s="454">
        <v>5000</v>
      </c>
      <c r="E511" s="443" t="s">
        <v>2067</v>
      </c>
      <c r="F511" s="444" t="s">
        <v>2068</v>
      </c>
      <c r="G511" s="443" t="s">
        <v>2069</v>
      </c>
      <c r="H511" s="432" t="s">
        <v>526</v>
      </c>
      <c r="I511" s="435"/>
      <c r="J511" s="436"/>
      <c r="K511" s="437"/>
      <c r="L511" s="311"/>
    </row>
    <row r="512" spans="1:12" ht="27">
      <c r="A512" s="318">
        <v>504</v>
      </c>
      <c r="B512" s="432" t="s">
        <v>2057</v>
      </c>
      <c r="C512" s="433" t="s">
        <v>522</v>
      </c>
      <c r="D512" s="454">
        <v>6000</v>
      </c>
      <c r="E512" s="440" t="s">
        <v>2070</v>
      </c>
      <c r="F512" s="432" t="s">
        <v>2071</v>
      </c>
      <c r="G512" s="432" t="s">
        <v>2072</v>
      </c>
      <c r="H512" s="432" t="s">
        <v>526</v>
      </c>
      <c r="I512" s="435"/>
      <c r="J512" s="436"/>
      <c r="K512" s="437"/>
      <c r="L512" s="311"/>
    </row>
    <row r="513" spans="1:12" ht="27">
      <c r="A513" s="318">
        <v>505</v>
      </c>
      <c r="B513" s="432" t="s">
        <v>2023</v>
      </c>
      <c r="C513" s="433" t="s">
        <v>522</v>
      </c>
      <c r="D513" s="454">
        <v>120000</v>
      </c>
      <c r="E513" s="440" t="s">
        <v>2073</v>
      </c>
      <c r="F513" s="432" t="s">
        <v>2074</v>
      </c>
      <c r="G513" s="432" t="s">
        <v>2075</v>
      </c>
      <c r="H513" s="432" t="s">
        <v>1758</v>
      </c>
      <c r="I513" s="435"/>
      <c r="J513" s="436"/>
      <c r="K513" s="437"/>
      <c r="L513" s="311"/>
    </row>
    <row r="514" spans="1:12" ht="27">
      <c r="A514" s="318">
        <v>506</v>
      </c>
      <c r="B514" s="432" t="s">
        <v>2057</v>
      </c>
      <c r="C514" s="433" t="s">
        <v>231</v>
      </c>
      <c r="D514" s="454">
        <v>20</v>
      </c>
      <c r="E514" s="440" t="s">
        <v>1326</v>
      </c>
      <c r="F514" s="432" t="s">
        <v>518</v>
      </c>
      <c r="G514" s="432" t="s">
        <v>519</v>
      </c>
      <c r="H514" s="432" t="s">
        <v>520</v>
      </c>
      <c r="I514" s="435"/>
      <c r="J514" s="436"/>
      <c r="K514" s="437"/>
      <c r="L514" s="311"/>
    </row>
    <row r="515" spans="1:12" ht="27">
      <c r="A515" s="318">
        <v>507</v>
      </c>
      <c r="B515" s="432" t="s">
        <v>2076</v>
      </c>
      <c r="C515" s="433" t="s">
        <v>522</v>
      </c>
      <c r="D515" s="454">
        <v>3000</v>
      </c>
      <c r="E515" s="440" t="s">
        <v>2077</v>
      </c>
      <c r="F515" s="432" t="s">
        <v>2078</v>
      </c>
      <c r="G515" s="432" t="s">
        <v>2079</v>
      </c>
      <c r="H515" s="432" t="s">
        <v>526</v>
      </c>
      <c r="I515" s="435"/>
      <c r="J515" s="436"/>
      <c r="K515" s="437"/>
      <c r="L515" s="311"/>
    </row>
    <row r="516" spans="1:12" ht="27">
      <c r="A516" s="318">
        <v>508</v>
      </c>
      <c r="B516" s="432" t="s">
        <v>2076</v>
      </c>
      <c r="C516" s="433" t="s">
        <v>522</v>
      </c>
      <c r="D516" s="454">
        <v>6000</v>
      </c>
      <c r="E516" s="440" t="s">
        <v>2080</v>
      </c>
      <c r="F516" s="432" t="s">
        <v>2081</v>
      </c>
      <c r="G516" s="432" t="s">
        <v>2082</v>
      </c>
      <c r="H516" s="432" t="s">
        <v>526</v>
      </c>
      <c r="I516" s="435"/>
      <c r="J516" s="436"/>
      <c r="K516" s="437"/>
      <c r="L516" s="311"/>
    </row>
    <row r="517" spans="1:12" ht="27">
      <c r="A517" s="318">
        <v>509</v>
      </c>
      <c r="B517" s="432" t="s">
        <v>2076</v>
      </c>
      <c r="C517" s="433" t="s">
        <v>522</v>
      </c>
      <c r="D517" s="454">
        <v>3000</v>
      </c>
      <c r="E517" s="440" t="s">
        <v>2083</v>
      </c>
      <c r="F517" s="432" t="s">
        <v>2084</v>
      </c>
      <c r="G517" s="432" t="s">
        <v>2085</v>
      </c>
      <c r="H517" s="432" t="s">
        <v>526</v>
      </c>
      <c r="I517" s="435"/>
      <c r="J517" s="436"/>
      <c r="K517" s="437"/>
      <c r="L517" s="311"/>
    </row>
    <row r="518" spans="1:12" ht="27">
      <c r="A518" s="318">
        <v>510</v>
      </c>
      <c r="B518" s="432" t="s">
        <v>2076</v>
      </c>
      <c r="C518" s="433" t="s">
        <v>522</v>
      </c>
      <c r="D518" s="454">
        <v>6000</v>
      </c>
      <c r="E518" s="440" t="s">
        <v>2086</v>
      </c>
      <c r="F518" s="432" t="s">
        <v>2087</v>
      </c>
      <c r="G518" s="432" t="s">
        <v>2088</v>
      </c>
      <c r="H518" s="432" t="s">
        <v>526</v>
      </c>
      <c r="I518" s="435"/>
      <c r="J518" s="436"/>
      <c r="K518" s="437"/>
      <c r="L518" s="311"/>
    </row>
    <row r="519" spans="1:12" ht="27">
      <c r="A519" s="318">
        <v>511</v>
      </c>
      <c r="B519" s="432" t="s">
        <v>2076</v>
      </c>
      <c r="C519" s="433" t="s">
        <v>522</v>
      </c>
      <c r="D519" s="454">
        <v>3000</v>
      </c>
      <c r="E519" s="440" t="s">
        <v>2089</v>
      </c>
      <c r="F519" s="432" t="s">
        <v>2090</v>
      </c>
      <c r="G519" s="432" t="s">
        <v>2091</v>
      </c>
      <c r="H519" s="432" t="s">
        <v>526</v>
      </c>
      <c r="I519" s="435"/>
      <c r="J519" s="436"/>
      <c r="K519" s="437"/>
      <c r="L519" s="311"/>
    </row>
    <row r="520" spans="1:12" ht="27">
      <c r="A520" s="318">
        <v>512</v>
      </c>
      <c r="B520" s="432" t="s">
        <v>2076</v>
      </c>
      <c r="C520" s="433" t="s">
        <v>522</v>
      </c>
      <c r="D520" s="454">
        <v>5000</v>
      </c>
      <c r="E520" s="440" t="s">
        <v>2092</v>
      </c>
      <c r="F520" s="432" t="s">
        <v>2093</v>
      </c>
      <c r="G520" s="432" t="s">
        <v>2094</v>
      </c>
      <c r="H520" s="432" t="s">
        <v>526</v>
      </c>
      <c r="I520" s="435"/>
      <c r="J520" s="436"/>
      <c r="K520" s="437"/>
      <c r="L520" s="311"/>
    </row>
    <row r="521" spans="1:12" ht="27">
      <c r="A521" s="318">
        <v>513</v>
      </c>
      <c r="B521" s="432" t="s">
        <v>2076</v>
      </c>
      <c r="C521" s="433" t="s">
        <v>522</v>
      </c>
      <c r="D521" s="454">
        <v>5000</v>
      </c>
      <c r="E521" s="440" t="s">
        <v>2095</v>
      </c>
      <c r="F521" s="432" t="s">
        <v>2096</v>
      </c>
      <c r="G521" s="432" t="s">
        <v>2097</v>
      </c>
      <c r="H521" s="432" t="s">
        <v>526</v>
      </c>
      <c r="I521" s="435"/>
      <c r="J521" s="436"/>
      <c r="K521" s="437"/>
      <c r="L521" s="311"/>
    </row>
    <row r="522" spans="1:12" ht="27">
      <c r="A522" s="318">
        <v>514</v>
      </c>
      <c r="B522" s="432" t="s">
        <v>2076</v>
      </c>
      <c r="C522" s="433" t="s">
        <v>522</v>
      </c>
      <c r="D522" s="454">
        <v>3000</v>
      </c>
      <c r="E522" s="440" t="s">
        <v>2098</v>
      </c>
      <c r="F522" s="432" t="s">
        <v>2099</v>
      </c>
      <c r="G522" s="432" t="s">
        <v>2100</v>
      </c>
      <c r="H522" s="432" t="s">
        <v>526</v>
      </c>
      <c r="I522" s="435"/>
      <c r="J522" s="436"/>
      <c r="K522" s="437"/>
      <c r="L522" s="311"/>
    </row>
    <row r="523" spans="1:12" ht="27">
      <c r="A523" s="318">
        <v>515</v>
      </c>
      <c r="B523" s="432" t="s">
        <v>2076</v>
      </c>
      <c r="C523" s="433" t="s">
        <v>522</v>
      </c>
      <c r="D523" s="454">
        <v>9000</v>
      </c>
      <c r="E523" s="440" t="s">
        <v>2101</v>
      </c>
      <c r="F523" s="432" t="s">
        <v>2102</v>
      </c>
      <c r="G523" s="432" t="s">
        <v>2103</v>
      </c>
      <c r="H523" s="432" t="s">
        <v>526</v>
      </c>
      <c r="I523" s="435"/>
      <c r="J523" s="436"/>
      <c r="K523" s="437"/>
      <c r="L523" s="311"/>
    </row>
    <row r="524" spans="1:12" ht="27">
      <c r="A524" s="318">
        <v>516</v>
      </c>
      <c r="B524" s="432" t="s">
        <v>2076</v>
      </c>
      <c r="C524" s="433" t="s">
        <v>522</v>
      </c>
      <c r="D524" s="454">
        <v>10000</v>
      </c>
      <c r="E524" s="443" t="s">
        <v>2104</v>
      </c>
      <c r="F524" s="432" t="s">
        <v>2105</v>
      </c>
      <c r="G524" s="432" t="s">
        <v>2106</v>
      </c>
      <c r="H524" s="432" t="s">
        <v>526</v>
      </c>
      <c r="I524" s="435"/>
      <c r="J524" s="436"/>
      <c r="K524" s="437"/>
      <c r="L524" s="311"/>
    </row>
    <row r="525" spans="1:12" ht="27">
      <c r="A525" s="318">
        <v>517</v>
      </c>
      <c r="B525" s="432" t="s">
        <v>2076</v>
      </c>
      <c r="C525" s="433" t="s">
        <v>522</v>
      </c>
      <c r="D525" s="454">
        <v>30000</v>
      </c>
      <c r="E525" s="440" t="s">
        <v>2107</v>
      </c>
      <c r="F525" s="432" t="s">
        <v>2108</v>
      </c>
      <c r="G525" s="432" t="s">
        <v>2109</v>
      </c>
      <c r="H525" s="432" t="s">
        <v>526</v>
      </c>
      <c r="I525" s="435"/>
      <c r="J525" s="436"/>
      <c r="K525" s="437"/>
      <c r="L525" s="311"/>
    </row>
    <row r="526" spans="1:12" ht="27">
      <c r="A526" s="318">
        <v>518</v>
      </c>
      <c r="B526" s="432" t="s">
        <v>2076</v>
      </c>
      <c r="C526" s="433" t="s">
        <v>522</v>
      </c>
      <c r="D526" s="454">
        <v>3000</v>
      </c>
      <c r="E526" s="440" t="s">
        <v>2110</v>
      </c>
      <c r="F526" s="432" t="s">
        <v>2111</v>
      </c>
      <c r="G526" s="432" t="s">
        <v>2112</v>
      </c>
      <c r="H526" s="432" t="s">
        <v>526</v>
      </c>
      <c r="I526" s="435"/>
      <c r="J526" s="436"/>
      <c r="K526" s="437"/>
      <c r="L526" s="311"/>
    </row>
    <row r="527" spans="1:12" ht="27">
      <c r="A527" s="318">
        <v>519</v>
      </c>
      <c r="B527" s="432" t="s">
        <v>2076</v>
      </c>
      <c r="C527" s="433" t="s">
        <v>522</v>
      </c>
      <c r="D527" s="454">
        <v>3000</v>
      </c>
      <c r="E527" s="440" t="s">
        <v>2113</v>
      </c>
      <c r="F527" s="432" t="s">
        <v>2114</v>
      </c>
      <c r="G527" s="432" t="s">
        <v>2115</v>
      </c>
      <c r="H527" s="432" t="s">
        <v>526</v>
      </c>
      <c r="I527" s="435"/>
      <c r="J527" s="436"/>
      <c r="K527" s="437"/>
      <c r="L527" s="311"/>
    </row>
    <row r="528" spans="1:12" ht="27">
      <c r="A528" s="318">
        <v>520</v>
      </c>
      <c r="B528" s="432" t="s">
        <v>2076</v>
      </c>
      <c r="C528" s="433" t="s">
        <v>522</v>
      </c>
      <c r="D528" s="454">
        <v>3000</v>
      </c>
      <c r="E528" s="440" t="s">
        <v>2116</v>
      </c>
      <c r="F528" s="432" t="s">
        <v>2117</v>
      </c>
      <c r="G528" s="432" t="s">
        <v>2118</v>
      </c>
      <c r="H528" s="432" t="s">
        <v>526</v>
      </c>
      <c r="I528" s="435"/>
      <c r="J528" s="436"/>
      <c r="K528" s="437"/>
      <c r="L528" s="311"/>
    </row>
    <row r="529" spans="1:12" ht="27">
      <c r="A529" s="318">
        <v>521</v>
      </c>
      <c r="B529" s="432" t="s">
        <v>2076</v>
      </c>
      <c r="C529" s="433" t="s">
        <v>522</v>
      </c>
      <c r="D529" s="454">
        <v>5000</v>
      </c>
      <c r="E529" s="440" t="s">
        <v>2119</v>
      </c>
      <c r="F529" s="432" t="s">
        <v>2120</v>
      </c>
      <c r="G529" s="432" t="s">
        <v>2121</v>
      </c>
      <c r="H529" s="432" t="s">
        <v>526</v>
      </c>
      <c r="I529" s="435"/>
      <c r="J529" s="436"/>
      <c r="K529" s="437"/>
      <c r="L529" s="311"/>
    </row>
    <row r="530" spans="1:12" ht="27">
      <c r="A530" s="318">
        <v>522</v>
      </c>
      <c r="B530" s="432" t="s">
        <v>2076</v>
      </c>
      <c r="C530" s="433" t="s">
        <v>522</v>
      </c>
      <c r="D530" s="454">
        <v>20000</v>
      </c>
      <c r="E530" s="440" t="s">
        <v>2122</v>
      </c>
      <c r="F530" s="432" t="s">
        <v>2123</v>
      </c>
      <c r="G530" s="432" t="s">
        <v>2124</v>
      </c>
      <c r="H530" s="432" t="s">
        <v>526</v>
      </c>
      <c r="I530" s="435"/>
      <c r="J530" s="436"/>
      <c r="K530" s="437"/>
      <c r="L530" s="311"/>
    </row>
    <row r="531" spans="1:12" ht="27">
      <c r="A531" s="318">
        <v>523</v>
      </c>
      <c r="B531" s="432" t="s">
        <v>2125</v>
      </c>
      <c r="C531" s="433" t="s">
        <v>522</v>
      </c>
      <c r="D531" s="454">
        <v>60000</v>
      </c>
      <c r="E531" s="440" t="s">
        <v>2126</v>
      </c>
      <c r="F531" s="432" t="s">
        <v>2127</v>
      </c>
      <c r="G531" s="432" t="s">
        <v>2128</v>
      </c>
      <c r="H531" s="432" t="s">
        <v>526</v>
      </c>
      <c r="I531" s="435"/>
      <c r="J531" s="436"/>
      <c r="K531" s="437"/>
      <c r="L531" s="311"/>
    </row>
    <row r="532" spans="1:12" ht="27">
      <c r="A532" s="318">
        <v>524</v>
      </c>
      <c r="B532" s="432" t="s">
        <v>2125</v>
      </c>
      <c r="C532" s="433" t="s">
        <v>522</v>
      </c>
      <c r="D532" s="454">
        <v>60000</v>
      </c>
      <c r="E532" s="440" t="s">
        <v>2129</v>
      </c>
      <c r="F532" s="432" t="s">
        <v>2130</v>
      </c>
      <c r="G532" s="432" t="s">
        <v>2131</v>
      </c>
      <c r="H532" s="432" t="s">
        <v>526</v>
      </c>
      <c r="I532" s="435"/>
      <c r="J532" s="436"/>
      <c r="K532" s="437"/>
      <c r="L532" s="311"/>
    </row>
    <row r="533" spans="1:12" ht="27">
      <c r="A533" s="318">
        <v>525</v>
      </c>
      <c r="B533" s="432" t="s">
        <v>2125</v>
      </c>
      <c r="C533" s="433" t="s">
        <v>522</v>
      </c>
      <c r="D533" s="454">
        <v>60000</v>
      </c>
      <c r="E533" s="440" t="s">
        <v>2132</v>
      </c>
      <c r="F533" s="432" t="s">
        <v>2133</v>
      </c>
      <c r="G533" s="432" t="s">
        <v>2134</v>
      </c>
      <c r="H533" s="432" t="s">
        <v>526</v>
      </c>
      <c r="I533" s="435"/>
      <c r="J533" s="436"/>
      <c r="K533" s="437"/>
      <c r="L533" s="311"/>
    </row>
    <row r="534" spans="1:12" ht="27">
      <c r="A534" s="318">
        <v>526</v>
      </c>
      <c r="B534" s="432" t="s">
        <v>2125</v>
      </c>
      <c r="C534" s="433" t="s">
        <v>522</v>
      </c>
      <c r="D534" s="454">
        <v>60000</v>
      </c>
      <c r="E534" s="440" t="s">
        <v>2135</v>
      </c>
      <c r="F534" s="432" t="s">
        <v>2136</v>
      </c>
      <c r="G534" s="432" t="s">
        <v>2137</v>
      </c>
      <c r="H534" s="432" t="s">
        <v>526</v>
      </c>
      <c r="I534" s="435"/>
      <c r="J534" s="436"/>
      <c r="K534" s="437"/>
      <c r="L534" s="311"/>
    </row>
    <row r="535" spans="1:12" ht="27">
      <c r="A535" s="318">
        <v>527</v>
      </c>
      <c r="B535" s="432" t="s">
        <v>2125</v>
      </c>
      <c r="C535" s="433" t="s">
        <v>522</v>
      </c>
      <c r="D535" s="454">
        <v>60000</v>
      </c>
      <c r="E535" s="440" t="s">
        <v>2138</v>
      </c>
      <c r="F535" s="432" t="s">
        <v>2139</v>
      </c>
      <c r="G535" s="432" t="s">
        <v>2140</v>
      </c>
      <c r="H535" s="432" t="s">
        <v>526</v>
      </c>
      <c r="I535" s="435"/>
      <c r="J535" s="436"/>
      <c r="K535" s="437"/>
      <c r="L535" s="311"/>
    </row>
    <row r="536" spans="1:12" ht="27">
      <c r="A536" s="318">
        <v>528</v>
      </c>
      <c r="B536" s="432" t="s">
        <v>2125</v>
      </c>
      <c r="C536" s="433" t="s">
        <v>522</v>
      </c>
      <c r="D536" s="454">
        <v>60000</v>
      </c>
      <c r="E536" s="440" t="s">
        <v>2141</v>
      </c>
      <c r="F536" s="432" t="s">
        <v>2142</v>
      </c>
      <c r="G536" s="432" t="s">
        <v>2143</v>
      </c>
      <c r="H536" s="432" t="s">
        <v>526</v>
      </c>
      <c r="I536" s="435"/>
      <c r="J536" s="436"/>
      <c r="K536" s="437"/>
      <c r="L536" s="311"/>
    </row>
    <row r="537" spans="1:12" ht="27">
      <c r="A537" s="318">
        <v>529</v>
      </c>
      <c r="B537" s="432" t="s">
        <v>2125</v>
      </c>
      <c r="C537" s="433" t="s">
        <v>522</v>
      </c>
      <c r="D537" s="454">
        <v>60000</v>
      </c>
      <c r="E537" s="440" t="s">
        <v>2144</v>
      </c>
      <c r="F537" s="432" t="s">
        <v>2145</v>
      </c>
      <c r="G537" s="432" t="s">
        <v>2146</v>
      </c>
      <c r="H537" s="432" t="s">
        <v>526</v>
      </c>
      <c r="I537" s="435"/>
      <c r="J537" s="436"/>
      <c r="K537" s="437"/>
      <c r="L537" s="311"/>
    </row>
    <row r="538" spans="1:12" ht="27">
      <c r="A538" s="318">
        <v>530</v>
      </c>
      <c r="B538" s="432" t="s">
        <v>2125</v>
      </c>
      <c r="C538" s="433" t="s">
        <v>522</v>
      </c>
      <c r="D538" s="454">
        <v>60000</v>
      </c>
      <c r="E538" s="440" t="s">
        <v>2147</v>
      </c>
      <c r="F538" s="432" t="s">
        <v>2148</v>
      </c>
      <c r="G538" s="432" t="s">
        <v>2149</v>
      </c>
      <c r="H538" s="432" t="s">
        <v>526</v>
      </c>
      <c r="I538" s="435"/>
      <c r="J538" s="436"/>
      <c r="K538" s="437"/>
      <c r="L538" s="311"/>
    </row>
    <row r="539" spans="1:12" ht="27">
      <c r="A539" s="318">
        <v>531</v>
      </c>
      <c r="B539" s="432" t="s">
        <v>2125</v>
      </c>
      <c r="C539" s="433" t="s">
        <v>522</v>
      </c>
      <c r="D539" s="454">
        <v>60000</v>
      </c>
      <c r="E539" s="440" t="s">
        <v>2150</v>
      </c>
      <c r="F539" s="432" t="s">
        <v>2151</v>
      </c>
      <c r="G539" s="432" t="s">
        <v>2152</v>
      </c>
      <c r="H539" s="432" t="s">
        <v>526</v>
      </c>
      <c r="I539" s="435"/>
      <c r="J539" s="436"/>
      <c r="K539" s="437"/>
      <c r="L539" s="311"/>
    </row>
    <row r="540" spans="1:12" ht="27">
      <c r="A540" s="318">
        <v>532</v>
      </c>
      <c r="B540" s="432" t="s">
        <v>2125</v>
      </c>
      <c r="C540" s="433" t="s">
        <v>522</v>
      </c>
      <c r="D540" s="454">
        <v>60000</v>
      </c>
      <c r="E540" s="440" t="s">
        <v>2153</v>
      </c>
      <c r="F540" s="432" t="s">
        <v>2154</v>
      </c>
      <c r="G540" s="432" t="s">
        <v>2155</v>
      </c>
      <c r="H540" s="432" t="s">
        <v>526</v>
      </c>
      <c r="I540" s="435"/>
      <c r="J540" s="436"/>
      <c r="K540" s="437"/>
      <c r="L540" s="311"/>
    </row>
    <row r="541" spans="1:12" ht="27">
      <c r="A541" s="318">
        <v>533</v>
      </c>
      <c r="B541" s="432" t="s">
        <v>2125</v>
      </c>
      <c r="C541" s="433" t="s">
        <v>522</v>
      </c>
      <c r="D541" s="454">
        <v>9000</v>
      </c>
      <c r="E541" s="440" t="s">
        <v>2156</v>
      </c>
      <c r="F541" s="432" t="s">
        <v>2157</v>
      </c>
      <c r="G541" s="432" t="s">
        <v>2158</v>
      </c>
      <c r="H541" s="432" t="s">
        <v>526</v>
      </c>
      <c r="I541" s="435"/>
      <c r="J541" s="436"/>
      <c r="K541" s="437"/>
      <c r="L541" s="311"/>
    </row>
    <row r="542" spans="1:12" ht="27">
      <c r="A542" s="318">
        <v>534</v>
      </c>
      <c r="B542" s="432" t="s">
        <v>2125</v>
      </c>
      <c r="C542" s="433" t="s">
        <v>522</v>
      </c>
      <c r="D542" s="454">
        <v>3000</v>
      </c>
      <c r="E542" s="440" t="s">
        <v>2159</v>
      </c>
      <c r="F542" s="432" t="s">
        <v>2160</v>
      </c>
      <c r="G542" s="432" t="s">
        <v>2161</v>
      </c>
      <c r="H542" s="432" t="s">
        <v>526</v>
      </c>
      <c r="I542" s="435"/>
      <c r="J542" s="436"/>
      <c r="K542" s="437"/>
      <c r="L542" s="311"/>
    </row>
    <row r="543" spans="1:12" ht="27">
      <c r="A543" s="318">
        <v>535</v>
      </c>
      <c r="B543" s="432" t="s">
        <v>2125</v>
      </c>
      <c r="C543" s="433" t="s">
        <v>522</v>
      </c>
      <c r="D543" s="454">
        <v>3000</v>
      </c>
      <c r="E543" s="440" t="s">
        <v>2162</v>
      </c>
      <c r="F543" s="432" t="s">
        <v>2163</v>
      </c>
      <c r="G543" s="432" t="s">
        <v>2164</v>
      </c>
      <c r="H543" s="432" t="s">
        <v>526</v>
      </c>
      <c r="I543" s="435"/>
      <c r="J543" s="436"/>
      <c r="K543" s="437"/>
      <c r="L543" s="311"/>
    </row>
    <row r="544" spans="1:12" ht="27">
      <c r="A544" s="318">
        <v>536</v>
      </c>
      <c r="B544" s="432" t="s">
        <v>2125</v>
      </c>
      <c r="C544" s="433" t="s">
        <v>522</v>
      </c>
      <c r="D544" s="454">
        <v>3000</v>
      </c>
      <c r="E544" s="440" t="s">
        <v>2165</v>
      </c>
      <c r="F544" s="432" t="s">
        <v>2166</v>
      </c>
      <c r="G544" s="432" t="s">
        <v>2167</v>
      </c>
      <c r="H544" s="432" t="s">
        <v>526</v>
      </c>
      <c r="I544" s="435"/>
      <c r="J544" s="436"/>
      <c r="K544" s="437"/>
      <c r="L544" s="311"/>
    </row>
    <row r="545" spans="1:12" ht="27">
      <c r="A545" s="318">
        <v>537</v>
      </c>
      <c r="B545" s="432" t="s">
        <v>2125</v>
      </c>
      <c r="C545" s="433" t="s">
        <v>522</v>
      </c>
      <c r="D545" s="454">
        <v>6000</v>
      </c>
      <c r="E545" s="440" t="s">
        <v>2168</v>
      </c>
      <c r="F545" s="432" t="s">
        <v>2169</v>
      </c>
      <c r="G545" s="432" t="s">
        <v>2170</v>
      </c>
      <c r="H545" s="432" t="s">
        <v>526</v>
      </c>
      <c r="I545" s="435"/>
      <c r="J545" s="436"/>
      <c r="K545" s="437"/>
      <c r="L545" s="311"/>
    </row>
    <row r="546" spans="1:12" ht="27">
      <c r="A546" s="318">
        <v>538</v>
      </c>
      <c r="B546" s="432" t="s">
        <v>2125</v>
      </c>
      <c r="C546" s="433" t="s">
        <v>522</v>
      </c>
      <c r="D546" s="454">
        <v>2400</v>
      </c>
      <c r="E546" s="440" t="s">
        <v>2171</v>
      </c>
      <c r="F546" s="432" t="s">
        <v>2172</v>
      </c>
      <c r="G546" s="432" t="s">
        <v>2173</v>
      </c>
      <c r="H546" s="432" t="s">
        <v>526</v>
      </c>
      <c r="I546" s="435"/>
      <c r="J546" s="436"/>
      <c r="K546" s="437"/>
      <c r="L546" s="311"/>
    </row>
    <row r="547" spans="1:12" ht="27">
      <c r="A547" s="318">
        <v>539</v>
      </c>
      <c r="B547" s="432" t="s">
        <v>2125</v>
      </c>
      <c r="C547" s="433" t="s">
        <v>522</v>
      </c>
      <c r="D547" s="454">
        <v>4000</v>
      </c>
      <c r="E547" s="440" t="s">
        <v>2174</v>
      </c>
      <c r="F547" s="432" t="s">
        <v>2175</v>
      </c>
      <c r="G547" s="432" t="s">
        <v>2176</v>
      </c>
      <c r="H547" s="432" t="s">
        <v>526</v>
      </c>
      <c r="I547" s="435"/>
      <c r="J547" s="436"/>
      <c r="K547" s="437"/>
      <c r="L547" s="311"/>
    </row>
    <row r="548" spans="1:12" ht="27">
      <c r="A548" s="318">
        <v>540</v>
      </c>
      <c r="B548" s="432" t="s">
        <v>2125</v>
      </c>
      <c r="C548" s="433" t="s">
        <v>522</v>
      </c>
      <c r="D548" s="454">
        <v>7000</v>
      </c>
      <c r="E548" s="440" t="s">
        <v>2177</v>
      </c>
      <c r="F548" s="432" t="s">
        <v>2178</v>
      </c>
      <c r="G548" s="432" t="s">
        <v>2179</v>
      </c>
      <c r="H548" s="432" t="s">
        <v>526</v>
      </c>
      <c r="I548" s="435"/>
      <c r="J548" s="436"/>
      <c r="K548" s="437"/>
      <c r="L548" s="311"/>
    </row>
    <row r="549" spans="1:12" ht="27">
      <c r="A549" s="318">
        <v>541</v>
      </c>
      <c r="B549" s="432" t="s">
        <v>2125</v>
      </c>
      <c r="C549" s="433" t="s">
        <v>522</v>
      </c>
      <c r="D549" s="454">
        <v>2500</v>
      </c>
      <c r="E549" s="434" t="s">
        <v>2180</v>
      </c>
      <c r="F549" s="432" t="s">
        <v>2181</v>
      </c>
      <c r="G549" s="432" t="s">
        <v>2182</v>
      </c>
      <c r="H549" s="432" t="s">
        <v>526</v>
      </c>
      <c r="I549" s="435"/>
      <c r="J549" s="436"/>
      <c r="K549" s="437"/>
      <c r="L549" s="311"/>
    </row>
    <row r="550" spans="1:12" ht="27">
      <c r="A550" s="318">
        <v>542</v>
      </c>
      <c r="B550" s="432" t="s">
        <v>2125</v>
      </c>
      <c r="C550" s="433" t="s">
        <v>522</v>
      </c>
      <c r="D550" s="454">
        <v>5000</v>
      </c>
      <c r="E550" s="434" t="s">
        <v>2183</v>
      </c>
      <c r="F550" s="432" t="s">
        <v>2184</v>
      </c>
      <c r="G550" s="432" t="s">
        <v>2185</v>
      </c>
      <c r="H550" s="432" t="s">
        <v>526</v>
      </c>
      <c r="I550" s="435"/>
      <c r="J550" s="436"/>
      <c r="K550" s="437"/>
      <c r="L550" s="311"/>
    </row>
    <row r="551" spans="1:12" ht="27">
      <c r="A551" s="318">
        <v>543</v>
      </c>
      <c r="B551" s="432" t="s">
        <v>2186</v>
      </c>
      <c r="C551" s="433" t="s">
        <v>522</v>
      </c>
      <c r="D551" s="454">
        <v>5000</v>
      </c>
      <c r="E551" s="434" t="s">
        <v>2187</v>
      </c>
      <c r="F551" s="432" t="s">
        <v>2188</v>
      </c>
      <c r="G551" s="432" t="s">
        <v>2189</v>
      </c>
      <c r="H551" s="432" t="s">
        <v>526</v>
      </c>
      <c r="I551" s="435"/>
      <c r="J551" s="436"/>
      <c r="K551" s="437"/>
      <c r="L551" s="311"/>
    </row>
    <row r="552" spans="1:12" ht="27">
      <c r="A552" s="318">
        <v>544</v>
      </c>
      <c r="B552" s="432" t="s">
        <v>2186</v>
      </c>
      <c r="C552" s="433" t="s">
        <v>522</v>
      </c>
      <c r="D552" s="454">
        <v>3000</v>
      </c>
      <c r="E552" s="434" t="s">
        <v>2190</v>
      </c>
      <c r="F552" s="432" t="s">
        <v>2191</v>
      </c>
      <c r="G552" s="432" t="s">
        <v>2192</v>
      </c>
      <c r="H552" s="432" t="s">
        <v>526</v>
      </c>
      <c r="I552" s="435"/>
      <c r="J552" s="436"/>
      <c r="K552" s="437"/>
      <c r="L552" s="311"/>
    </row>
    <row r="553" spans="1:12" ht="27">
      <c r="A553" s="318">
        <v>545</v>
      </c>
      <c r="B553" s="432" t="s">
        <v>2186</v>
      </c>
      <c r="C553" s="433" t="s">
        <v>522</v>
      </c>
      <c r="D553" s="454">
        <v>3000</v>
      </c>
      <c r="E553" s="434" t="s">
        <v>2193</v>
      </c>
      <c r="F553" s="432" t="s">
        <v>2194</v>
      </c>
      <c r="G553" s="432" t="s">
        <v>2195</v>
      </c>
      <c r="H553" s="432" t="s">
        <v>526</v>
      </c>
      <c r="I553" s="435"/>
      <c r="J553" s="436"/>
      <c r="K553" s="437"/>
      <c r="L553" s="311"/>
    </row>
    <row r="554" spans="1:12" ht="27">
      <c r="A554" s="318">
        <v>546</v>
      </c>
      <c r="B554" s="432" t="s">
        <v>2186</v>
      </c>
      <c r="C554" s="433" t="s">
        <v>522</v>
      </c>
      <c r="D554" s="454">
        <v>3000</v>
      </c>
      <c r="E554" s="434" t="s">
        <v>2196</v>
      </c>
      <c r="F554" s="432" t="s">
        <v>2197</v>
      </c>
      <c r="G554" s="432" t="s">
        <v>2198</v>
      </c>
      <c r="H554" s="432" t="s">
        <v>526</v>
      </c>
      <c r="I554" s="435"/>
      <c r="J554" s="436"/>
      <c r="K554" s="437"/>
      <c r="L554" s="311"/>
    </row>
    <row r="555" spans="1:12" ht="27">
      <c r="A555" s="318">
        <v>547</v>
      </c>
      <c r="B555" s="432" t="s">
        <v>2186</v>
      </c>
      <c r="C555" s="433" t="s">
        <v>522</v>
      </c>
      <c r="D555" s="454">
        <v>3000</v>
      </c>
      <c r="E555" s="434" t="s">
        <v>2199</v>
      </c>
      <c r="F555" s="432" t="s">
        <v>2200</v>
      </c>
      <c r="G555" s="432" t="s">
        <v>2201</v>
      </c>
      <c r="H555" s="432" t="s">
        <v>526</v>
      </c>
      <c r="I555" s="435"/>
      <c r="J555" s="436"/>
      <c r="K555" s="437"/>
      <c r="L555" s="311"/>
    </row>
    <row r="556" spans="1:12" ht="27">
      <c r="A556" s="318">
        <v>548</v>
      </c>
      <c r="B556" s="432" t="s">
        <v>2186</v>
      </c>
      <c r="C556" s="433" t="s">
        <v>522</v>
      </c>
      <c r="D556" s="454">
        <v>5000</v>
      </c>
      <c r="E556" s="434" t="s">
        <v>2202</v>
      </c>
      <c r="F556" s="432" t="s">
        <v>2203</v>
      </c>
      <c r="G556" s="432" t="s">
        <v>2204</v>
      </c>
      <c r="H556" s="432" t="s">
        <v>526</v>
      </c>
      <c r="I556" s="435"/>
      <c r="J556" s="436"/>
      <c r="K556" s="437"/>
      <c r="L556" s="311"/>
    </row>
    <row r="557" spans="1:12" ht="27">
      <c r="A557" s="318">
        <v>549</v>
      </c>
      <c r="B557" s="432" t="s">
        <v>2186</v>
      </c>
      <c r="C557" s="433" t="s">
        <v>522</v>
      </c>
      <c r="D557" s="454">
        <v>5000</v>
      </c>
      <c r="E557" s="434" t="s">
        <v>2205</v>
      </c>
      <c r="F557" s="432" t="s">
        <v>2206</v>
      </c>
      <c r="G557" s="432" t="s">
        <v>2207</v>
      </c>
      <c r="H557" s="432" t="s">
        <v>526</v>
      </c>
      <c r="I557" s="435"/>
      <c r="J557" s="436"/>
      <c r="K557" s="437"/>
      <c r="L557" s="311"/>
    </row>
    <row r="558" spans="1:12" ht="27">
      <c r="A558" s="318">
        <v>550</v>
      </c>
      <c r="B558" s="432" t="s">
        <v>2186</v>
      </c>
      <c r="C558" s="433" t="s">
        <v>522</v>
      </c>
      <c r="D558" s="454">
        <v>5000</v>
      </c>
      <c r="E558" s="434" t="s">
        <v>2208</v>
      </c>
      <c r="F558" s="432" t="s">
        <v>2209</v>
      </c>
      <c r="G558" s="432" t="s">
        <v>2210</v>
      </c>
      <c r="H558" s="432" t="s">
        <v>526</v>
      </c>
      <c r="I558" s="435"/>
      <c r="J558" s="436"/>
      <c r="K558" s="437"/>
      <c r="L558" s="311"/>
    </row>
    <row r="559" spans="1:12" ht="27">
      <c r="A559" s="318">
        <v>551</v>
      </c>
      <c r="B559" s="432" t="s">
        <v>2186</v>
      </c>
      <c r="C559" s="433" t="s">
        <v>522</v>
      </c>
      <c r="D559" s="454">
        <v>3000</v>
      </c>
      <c r="E559" s="434" t="s">
        <v>2211</v>
      </c>
      <c r="F559" s="432" t="s">
        <v>2212</v>
      </c>
      <c r="G559" s="432" t="s">
        <v>2213</v>
      </c>
      <c r="H559" s="432" t="s">
        <v>526</v>
      </c>
      <c r="I559" s="435"/>
      <c r="J559" s="436"/>
      <c r="K559" s="437"/>
      <c r="L559" s="311"/>
    </row>
    <row r="560" spans="1:12" ht="27">
      <c r="A560" s="318">
        <v>552</v>
      </c>
      <c r="B560" s="432" t="s">
        <v>2186</v>
      </c>
      <c r="C560" s="433" t="s">
        <v>522</v>
      </c>
      <c r="D560" s="454">
        <v>20000</v>
      </c>
      <c r="E560" s="434" t="s">
        <v>2214</v>
      </c>
      <c r="F560" s="432" t="s">
        <v>2215</v>
      </c>
      <c r="G560" s="432" t="s">
        <v>2216</v>
      </c>
      <c r="H560" s="432" t="s">
        <v>526</v>
      </c>
      <c r="I560" s="435"/>
      <c r="J560" s="436"/>
      <c r="K560" s="437"/>
      <c r="L560" s="311"/>
    </row>
    <row r="561" spans="1:12" ht="30">
      <c r="A561" s="318">
        <v>553</v>
      </c>
      <c r="B561" s="432" t="s">
        <v>2186</v>
      </c>
      <c r="C561" s="433" t="s">
        <v>522</v>
      </c>
      <c r="D561" s="454">
        <v>3000</v>
      </c>
      <c r="E561" s="443" t="s">
        <v>2217</v>
      </c>
      <c r="F561" s="444" t="s">
        <v>2218</v>
      </c>
      <c r="G561" s="443" t="s">
        <v>2219</v>
      </c>
      <c r="H561" s="445" t="s">
        <v>526</v>
      </c>
      <c r="I561" s="435"/>
      <c r="J561" s="436"/>
      <c r="K561" s="437"/>
      <c r="L561" s="311"/>
    </row>
    <row r="562" spans="1:12" ht="27">
      <c r="A562" s="318">
        <v>554</v>
      </c>
      <c r="B562" s="432" t="s">
        <v>2076</v>
      </c>
      <c r="C562" s="433" t="s">
        <v>522</v>
      </c>
      <c r="D562" s="454">
        <v>100000</v>
      </c>
      <c r="E562" s="434" t="s">
        <v>2220</v>
      </c>
      <c r="F562" s="432" t="s">
        <v>2221</v>
      </c>
      <c r="G562" s="432" t="s">
        <v>2222</v>
      </c>
      <c r="H562" s="432" t="s">
        <v>2223</v>
      </c>
      <c r="I562" s="435"/>
      <c r="J562" s="436"/>
      <c r="K562" s="437"/>
      <c r="L562" s="311"/>
    </row>
    <row r="563" spans="1:12" ht="27">
      <c r="A563" s="318">
        <v>555</v>
      </c>
      <c r="B563" s="432" t="s">
        <v>2125</v>
      </c>
      <c r="C563" s="433" t="s">
        <v>522</v>
      </c>
      <c r="D563" s="454">
        <v>100000</v>
      </c>
      <c r="E563" s="434" t="s">
        <v>2224</v>
      </c>
      <c r="F563" s="432" t="s">
        <v>2225</v>
      </c>
      <c r="G563" s="432" t="s">
        <v>2226</v>
      </c>
      <c r="H563" s="432" t="s">
        <v>520</v>
      </c>
      <c r="I563" s="435"/>
      <c r="J563" s="436"/>
      <c r="K563" s="437"/>
      <c r="L563" s="311"/>
    </row>
    <row r="564" spans="1:12" ht="27">
      <c r="A564" s="318">
        <v>556</v>
      </c>
      <c r="B564" s="432" t="s">
        <v>2186</v>
      </c>
      <c r="C564" s="433" t="s">
        <v>522</v>
      </c>
      <c r="D564" s="454">
        <v>100000</v>
      </c>
      <c r="E564" s="434" t="s">
        <v>2227</v>
      </c>
      <c r="F564" s="432" t="s">
        <v>2228</v>
      </c>
      <c r="G564" s="432" t="s">
        <v>2229</v>
      </c>
      <c r="H564" s="432" t="s">
        <v>2230</v>
      </c>
      <c r="I564" s="435"/>
      <c r="J564" s="436"/>
      <c r="K564" s="437"/>
      <c r="L564" s="311"/>
    </row>
    <row r="565" spans="1:12" ht="27">
      <c r="A565" s="318">
        <v>557</v>
      </c>
      <c r="B565" s="432" t="s">
        <v>2231</v>
      </c>
      <c r="C565" s="433" t="s">
        <v>522</v>
      </c>
      <c r="D565" s="454">
        <v>20000</v>
      </c>
      <c r="E565" s="434" t="s">
        <v>2232</v>
      </c>
      <c r="F565" s="432" t="s">
        <v>2233</v>
      </c>
      <c r="G565" s="432" t="s">
        <v>2234</v>
      </c>
      <c r="H565" s="432" t="s">
        <v>526</v>
      </c>
      <c r="I565" s="435"/>
      <c r="J565" s="436"/>
      <c r="K565" s="437"/>
      <c r="L565" s="311"/>
    </row>
    <row r="566" spans="1:12" ht="27">
      <c r="A566" s="318">
        <v>558</v>
      </c>
      <c r="B566" s="432" t="s">
        <v>2231</v>
      </c>
      <c r="C566" s="433" t="s">
        <v>522</v>
      </c>
      <c r="D566" s="454">
        <v>10000</v>
      </c>
      <c r="E566" s="434" t="s">
        <v>2235</v>
      </c>
      <c r="F566" s="432" t="s">
        <v>2236</v>
      </c>
      <c r="G566" s="432" t="s">
        <v>2237</v>
      </c>
      <c r="H566" s="432" t="s">
        <v>526</v>
      </c>
      <c r="I566" s="435"/>
      <c r="J566" s="436"/>
      <c r="K566" s="437"/>
      <c r="L566" s="311"/>
    </row>
    <row r="567" spans="1:12" ht="27">
      <c r="A567" s="318">
        <v>559</v>
      </c>
      <c r="B567" s="432" t="s">
        <v>2231</v>
      </c>
      <c r="C567" s="433" t="s">
        <v>522</v>
      </c>
      <c r="D567" s="454">
        <v>60000</v>
      </c>
      <c r="E567" s="434" t="s">
        <v>2238</v>
      </c>
      <c r="F567" s="432" t="s">
        <v>2239</v>
      </c>
      <c r="G567" s="432" t="s">
        <v>2240</v>
      </c>
      <c r="H567" s="432" t="s">
        <v>526</v>
      </c>
      <c r="I567" s="435"/>
      <c r="J567" s="436"/>
      <c r="K567" s="437"/>
      <c r="L567" s="311"/>
    </row>
    <row r="568" spans="1:12" ht="27">
      <c r="A568" s="318">
        <v>560</v>
      </c>
      <c r="B568" s="432" t="s">
        <v>2231</v>
      </c>
      <c r="C568" s="433" t="s">
        <v>522</v>
      </c>
      <c r="D568" s="454">
        <v>15000</v>
      </c>
      <c r="E568" s="434" t="s">
        <v>2241</v>
      </c>
      <c r="F568" s="432" t="s">
        <v>2242</v>
      </c>
      <c r="G568" s="432" t="s">
        <v>2243</v>
      </c>
      <c r="H568" s="432" t="s">
        <v>526</v>
      </c>
      <c r="I568" s="435"/>
      <c r="J568" s="436"/>
      <c r="K568" s="437"/>
      <c r="L568" s="311"/>
    </row>
    <row r="569" spans="1:12" ht="27">
      <c r="A569" s="318">
        <v>561</v>
      </c>
      <c r="B569" s="432" t="s">
        <v>2244</v>
      </c>
      <c r="C569" s="433" t="s">
        <v>522</v>
      </c>
      <c r="D569" s="454">
        <v>5000</v>
      </c>
      <c r="E569" s="434" t="s">
        <v>2245</v>
      </c>
      <c r="F569" s="432" t="s">
        <v>2246</v>
      </c>
      <c r="G569" s="432" t="s">
        <v>2247</v>
      </c>
      <c r="H569" s="432" t="s">
        <v>526</v>
      </c>
      <c r="I569" s="435"/>
      <c r="J569" s="436"/>
      <c r="K569" s="437"/>
      <c r="L569" s="311"/>
    </row>
    <row r="570" spans="1:12" ht="27">
      <c r="A570" s="318">
        <v>562</v>
      </c>
      <c r="B570" s="432" t="s">
        <v>2244</v>
      </c>
      <c r="C570" s="433" t="s">
        <v>522</v>
      </c>
      <c r="D570" s="454">
        <v>3000</v>
      </c>
      <c r="E570" s="434" t="s">
        <v>2248</v>
      </c>
      <c r="F570" s="432" t="s">
        <v>2249</v>
      </c>
      <c r="G570" s="432" t="s">
        <v>2250</v>
      </c>
      <c r="H570" s="432" t="s">
        <v>526</v>
      </c>
      <c r="I570" s="435"/>
      <c r="J570" s="436"/>
      <c r="K570" s="437"/>
      <c r="L570" s="311"/>
    </row>
    <row r="571" spans="1:12" ht="27">
      <c r="A571" s="318">
        <v>563</v>
      </c>
      <c r="B571" s="432" t="s">
        <v>2244</v>
      </c>
      <c r="C571" s="433" t="s">
        <v>522</v>
      </c>
      <c r="D571" s="454">
        <v>20000</v>
      </c>
      <c r="E571" s="434" t="s">
        <v>2251</v>
      </c>
      <c r="F571" s="432" t="s">
        <v>2252</v>
      </c>
      <c r="G571" s="432" t="s">
        <v>2253</v>
      </c>
      <c r="H571" s="432" t="s">
        <v>526</v>
      </c>
      <c r="I571" s="435"/>
      <c r="J571" s="436"/>
      <c r="K571" s="437"/>
      <c r="L571" s="311"/>
    </row>
    <row r="572" spans="1:12" ht="27">
      <c r="A572" s="318">
        <v>564</v>
      </c>
      <c r="B572" s="432" t="s">
        <v>2254</v>
      </c>
      <c r="C572" s="433" t="s">
        <v>522</v>
      </c>
      <c r="D572" s="454">
        <v>30000</v>
      </c>
      <c r="E572" s="434" t="s">
        <v>2255</v>
      </c>
      <c r="F572" s="432" t="s">
        <v>2256</v>
      </c>
      <c r="G572" s="432" t="s">
        <v>2257</v>
      </c>
      <c r="H572" s="432" t="s">
        <v>526</v>
      </c>
      <c r="I572" s="435"/>
      <c r="J572" s="436"/>
      <c r="K572" s="437"/>
      <c r="L572" s="311"/>
    </row>
    <row r="573" spans="1:12" ht="27">
      <c r="A573" s="318">
        <v>565</v>
      </c>
      <c r="B573" s="432" t="s">
        <v>2254</v>
      </c>
      <c r="C573" s="433" t="s">
        <v>522</v>
      </c>
      <c r="D573" s="454">
        <v>45000</v>
      </c>
      <c r="E573" s="434" t="s">
        <v>2258</v>
      </c>
      <c r="F573" s="432" t="s">
        <v>2259</v>
      </c>
      <c r="G573" s="432" t="s">
        <v>2260</v>
      </c>
      <c r="H573" s="432" t="s">
        <v>526</v>
      </c>
      <c r="I573" s="435"/>
      <c r="J573" s="436"/>
      <c r="K573" s="437"/>
      <c r="L573" s="311"/>
    </row>
    <row r="574" spans="1:12" ht="27">
      <c r="A574" s="318">
        <v>566</v>
      </c>
      <c r="B574" s="432" t="s">
        <v>2254</v>
      </c>
      <c r="C574" s="433" t="s">
        <v>522</v>
      </c>
      <c r="D574" s="454">
        <v>30000</v>
      </c>
      <c r="E574" s="434" t="s">
        <v>2261</v>
      </c>
      <c r="F574" s="432" t="s">
        <v>2262</v>
      </c>
      <c r="G574" s="432" t="s">
        <v>2263</v>
      </c>
      <c r="H574" s="432" t="s">
        <v>526</v>
      </c>
      <c r="I574" s="435"/>
      <c r="J574" s="436"/>
      <c r="K574" s="437"/>
      <c r="L574" s="311"/>
    </row>
    <row r="575" spans="1:12" ht="27">
      <c r="A575" s="318">
        <v>567</v>
      </c>
      <c r="B575" s="432" t="s">
        <v>2254</v>
      </c>
      <c r="C575" s="433" t="s">
        <v>522</v>
      </c>
      <c r="D575" s="454">
        <v>25000</v>
      </c>
      <c r="E575" s="440" t="s">
        <v>2264</v>
      </c>
      <c r="F575" s="432" t="s">
        <v>2265</v>
      </c>
      <c r="G575" s="432" t="s">
        <v>2266</v>
      </c>
      <c r="H575" s="432" t="s">
        <v>526</v>
      </c>
      <c r="I575" s="435"/>
      <c r="J575" s="436"/>
      <c r="K575" s="437"/>
      <c r="L575" s="311"/>
    </row>
    <row r="576" spans="1:12" ht="27">
      <c r="A576" s="318">
        <v>568</v>
      </c>
      <c r="B576" s="432" t="s">
        <v>2267</v>
      </c>
      <c r="C576" s="433" t="s">
        <v>522</v>
      </c>
      <c r="D576" s="454">
        <v>10000</v>
      </c>
      <c r="E576" s="409" t="s">
        <v>2268</v>
      </c>
      <c r="F576" s="432" t="s">
        <v>2269</v>
      </c>
      <c r="G576" s="432" t="s">
        <v>2270</v>
      </c>
      <c r="H576" s="432" t="s">
        <v>526</v>
      </c>
      <c r="I576" s="435"/>
      <c r="J576" s="436"/>
      <c r="K576" s="437"/>
      <c r="L576" s="311"/>
    </row>
    <row r="577" spans="1:12" ht="27">
      <c r="A577" s="318">
        <v>569</v>
      </c>
      <c r="B577" s="432" t="s">
        <v>2267</v>
      </c>
      <c r="C577" s="433" t="s">
        <v>522</v>
      </c>
      <c r="D577" s="454">
        <v>20000</v>
      </c>
      <c r="E577" s="453" t="s">
        <v>2271</v>
      </c>
      <c r="F577" s="432" t="s">
        <v>2272</v>
      </c>
      <c r="G577" s="432" t="s">
        <v>2273</v>
      </c>
      <c r="H577" s="432" t="s">
        <v>526</v>
      </c>
      <c r="I577" s="435"/>
      <c r="J577" s="436"/>
      <c r="K577" s="437"/>
      <c r="L577" s="311"/>
    </row>
    <row r="578" spans="1:12" ht="27">
      <c r="A578" s="318">
        <v>570</v>
      </c>
      <c r="B578" s="432" t="s">
        <v>2267</v>
      </c>
      <c r="C578" s="433" t="s">
        <v>522</v>
      </c>
      <c r="D578" s="454">
        <v>20000</v>
      </c>
      <c r="E578" s="440" t="s">
        <v>2274</v>
      </c>
      <c r="F578" s="432" t="s">
        <v>2275</v>
      </c>
      <c r="G578" s="432" t="s">
        <v>2276</v>
      </c>
      <c r="H578" s="432" t="s">
        <v>526</v>
      </c>
      <c r="I578" s="435"/>
      <c r="J578" s="436"/>
      <c r="K578" s="437"/>
      <c r="L578" s="311"/>
    </row>
    <row r="579" spans="1:12" ht="27">
      <c r="A579" s="318">
        <v>571</v>
      </c>
      <c r="B579" s="432" t="s">
        <v>2267</v>
      </c>
      <c r="C579" s="433" t="s">
        <v>522</v>
      </c>
      <c r="D579" s="454">
        <v>40000</v>
      </c>
      <c r="E579" s="440" t="s">
        <v>2277</v>
      </c>
      <c r="F579" s="432" t="s">
        <v>2278</v>
      </c>
      <c r="G579" s="432" t="s">
        <v>2279</v>
      </c>
      <c r="H579" s="432" t="s">
        <v>526</v>
      </c>
      <c r="I579" s="435"/>
      <c r="J579" s="436"/>
      <c r="K579" s="437"/>
      <c r="L579" s="311"/>
    </row>
    <row r="580" spans="1:12" ht="27">
      <c r="A580" s="318">
        <v>572</v>
      </c>
      <c r="B580" s="432" t="s">
        <v>2267</v>
      </c>
      <c r="C580" s="433" t="s">
        <v>522</v>
      </c>
      <c r="D580" s="454">
        <v>5000</v>
      </c>
      <c r="E580" s="440" t="s">
        <v>2280</v>
      </c>
      <c r="F580" s="432" t="s">
        <v>2281</v>
      </c>
      <c r="G580" s="432" t="s">
        <v>2282</v>
      </c>
      <c r="H580" s="432" t="s">
        <v>526</v>
      </c>
      <c r="I580" s="435"/>
      <c r="J580" s="436"/>
      <c r="K580" s="437"/>
      <c r="L580" s="311"/>
    </row>
    <row r="581" spans="1:12" ht="27">
      <c r="A581" s="318">
        <v>573</v>
      </c>
      <c r="B581" s="432" t="s">
        <v>2267</v>
      </c>
      <c r="C581" s="433" t="s">
        <v>522</v>
      </c>
      <c r="D581" s="454">
        <v>20000</v>
      </c>
      <c r="E581" s="440" t="s">
        <v>2283</v>
      </c>
      <c r="F581" s="432" t="s">
        <v>2284</v>
      </c>
      <c r="G581" s="432" t="s">
        <v>2285</v>
      </c>
      <c r="H581" s="432" t="s">
        <v>526</v>
      </c>
      <c r="I581" s="435"/>
      <c r="J581" s="436"/>
      <c r="K581" s="437"/>
      <c r="L581" s="311"/>
    </row>
    <row r="582" spans="1:12" ht="27">
      <c r="A582" s="318">
        <v>574</v>
      </c>
      <c r="B582" s="432" t="s">
        <v>2267</v>
      </c>
      <c r="C582" s="433" t="s">
        <v>522</v>
      </c>
      <c r="D582" s="454">
        <v>30000</v>
      </c>
      <c r="E582" s="440" t="s">
        <v>2286</v>
      </c>
      <c r="F582" s="432" t="s">
        <v>2287</v>
      </c>
      <c r="G582" s="432" t="s">
        <v>2288</v>
      </c>
      <c r="H582" s="432" t="s">
        <v>526</v>
      </c>
      <c r="I582" s="435"/>
      <c r="J582" s="436"/>
      <c r="K582" s="437"/>
      <c r="L582" s="311"/>
    </row>
    <row r="583" spans="1:12" ht="27">
      <c r="A583" s="318">
        <v>575</v>
      </c>
      <c r="B583" s="432" t="s">
        <v>2267</v>
      </c>
      <c r="C583" s="433" t="s">
        <v>522</v>
      </c>
      <c r="D583" s="454">
        <v>20000</v>
      </c>
      <c r="E583" s="440" t="s">
        <v>2289</v>
      </c>
      <c r="F583" s="432" t="s">
        <v>2290</v>
      </c>
      <c r="G583" s="432" t="s">
        <v>2291</v>
      </c>
      <c r="H583" s="432" t="s">
        <v>526</v>
      </c>
      <c r="I583" s="435"/>
      <c r="J583" s="436"/>
      <c r="K583" s="437"/>
      <c r="L583" s="311"/>
    </row>
    <row r="584" spans="1:12" ht="27">
      <c r="A584" s="318">
        <v>576</v>
      </c>
      <c r="B584" s="432" t="s">
        <v>2267</v>
      </c>
      <c r="C584" s="433" t="s">
        <v>522</v>
      </c>
      <c r="D584" s="454">
        <v>20000</v>
      </c>
      <c r="E584" s="440" t="s">
        <v>2292</v>
      </c>
      <c r="F584" s="432" t="s">
        <v>2293</v>
      </c>
      <c r="G584" s="432" t="s">
        <v>2294</v>
      </c>
      <c r="H584" s="432" t="s">
        <v>526</v>
      </c>
      <c r="I584" s="435"/>
      <c r="J584" s="436"/>
      <c r="K584" s="437"/>
      <c r="L584" s="311"/>
    </row>
    <row r="585" spans="1:12" ht="27">
      <c r="A585" s="318">
        <v>577</v>
      </c>
      <c r="B585" s="432" t="s">
        <v>2295</v>
      </c>
      <c r="C585" s="433" t="s">
        <v>522</v>
      </c>
      <c r="D585" s="454">
        <v>6000</v>
      </c>
      <c r="E585" s="440" t="s">
        <v>2296</v>
      </c>
      <c r="F585" s="432" t="s">
        <v>2297</v>
      </c>
      <c r="G585" s="432" t="s">
        <v>2298</v>
      </c>
      <c r="H585" s="432" t="s">
        <v>526</v>
      </c>
      <c r="I585" s="435"/>
      <c r="J585" s="436"/>
      <c r="K585" s="437"/>
      <c r="L585" s="311"/>
    </row>
    <row r="586" spans="1:12" ht="27">
      <c r="A586" s="318">
        <v>578</v>
      </c>
      <c r="B586" s="432" t="s">
        <v>2295</v>
      </c>
      <c r="C586" s="433" t="s">
        <v>522</v>
      </c>
      <c r="D586" s="454">
        <v>5000</v>
      </c>
      <c r="E586" s="440" t="s">
        <v>2299</v>
      </c>
      <c r="F586" s="432" t="s">
        <v>2300</v>
      </c>
      <c r="G586" s="432" t="s">
        <v>2301</v>
      </c>
      <c r="H586" s="432" t="s">
        <v>526</v>
      </c>
      <c r="I586" s="435"/>
      <c r="J586" s="436"/>
      <c r="K586" s="437"/>
      <c r="L586" s="311"/>
    </row>
    <row r="587" spans="1:12" ht="27">
      <c r="A587" s="318">
        <v>579</v>
      </c>
      <c r="B587" s="432" t="s">
        <v>2295</v>
      </c>
      <c r="C587" s="433" t="s">
        <v>522</v>
      </c>
      <c r="D587" s="454">
        <v>6000</v>
      </c>
      <c r="E587" s="440" t="s">
        <v>2302</v>
      </c>
      <c r="F587" s="432" t="s">
        <v>2303</v>
      </c>
      <c r="G587" s="432" t="s">
        <v>2304</v>
      </c>
      <c r="H587" s="432" t="s">
        <v>526</v>
      </c>
      <c r="I587" s="435"/>
      <c r="J587" s="436"/>
      <c r="K587" s="437"/>
      <c r="L587" s="311"/>
    </row>
    <row r="588" spans="1:12" ht="27">
      <c r="A588" s="318">
        <v>580</v>
      </c>
      <c r="B588" s="432" t="s">
        <v>2295</v>
      </c>
      <c r="C588" s="433" t="s">
        <v>522</v>
      </c>
      <c r="D588" s="454">
        <v>10000</v>
      </c>
      <c r="E588" s="440" t="s">
        <v>2305</v>
      </c>
      <c r="F588" s="432" t="s">
        <v>2306</v>
      </c>
      <c r="G588" s="432" t="s">
        <v>2307</v>
      </c>
      <c r="H588" s="432" t="s">
        <v>526</v>
      </c>
      <c r="I588" s="435"/>
      <c r="J588" s="436"/>
      <c r="K588" s="437"/>
      <c r="L588" s="311"/>
    </row>
    <row r="589" spans="1:12" ht="27">
      <c r="A589" s="318">
        <v>581</v>
      </c>
      <c r="B589" s="432" t="s">
        <v>2295</v>
      </c>
      <c r="C589" s="433" t="s">
        <v>522</v>
      </c>
      <c r="D589" s="454">
        <v>30000</v>
      </c>
      <c r="E589" s="440" t="s">
        <v>2308</v>
      </c>
      <c r="F589" s="432" t="s">
        <v>2309</v>
      </c>
      <c r="G589" s="432" t="s">
        <v>2310</v>
      </c>
      <c r="H589" s="432" t="s">
        <v>526</v>
      </c>
      <c r="I589" s="435"/>
      <c r="J589" s="436"/>
      <c r="K589" s="437"/>
      <c r="L589" s="311"/>
    </row>
    <row r="590" spans="1:12" ht="27">
      <c r="A590" s="318">
        <v>582</v>
      </c>
      <c r="B590" s="432" t="s">
        <v>2295</v>
      </c>
      <c r="C590" s="433" t="s">
        <v>522</v>
      </c>
      <c r="D590" s="454">
        <v>30000</v>
      </c>
      <c r="E590" s="440" t="s">
        <v>2311</v>
      </c>
      <c r="F590" s="432" t="s">
        <v>2312</v>
      </c>
      <c r="G590" s="432" t="s">
        <v>2313</v>
      </c>
      <c r="H590" s="432" t="s">
        <v>526</v>
      </c>
      <c r="I590" s="435"/>
      <c r="J590" s="436"/>
      <c r="K590" s="437"/>
      <c r="L590" s="311"/>
    </row>
    <row r="591" spans="1:12" ht="27">
      <c r="A591" s="318">
        <v>583</v>
      </c>
      <c r="B591" s="432" t="s">
        <v>2295</v>
      </c>
      <c r="C591" s="433" t="s">
        <v>522</v>
      </c>
      <c r="D591" s="454">
        <v>12000</v>
      </c>
      <c r="E591" s="440" t="s">
        <v>2314</v>
      </c>
      <c r="F591" s="432" t="s">
        <v>2315</v>
      </c>
      <c r="G591" s="432" t="s">
        <v>2316</v>
      </c>
      <c r="H591" s="432" t="s">
        <v>526</v>
      </c>
      <c r="I591" s="435"/>
      <c r="J591" s="436"/>
      <c r="K591" s="437"/>
      <c r="L591" s="311"/>
    </row>
    <row r="592" spans="1:12" ht="27">
      <c r="A592" s="318">
        <v>584</v>
      </c>
      <c r="B592" s="432" t="s">
        <v>2317</v>
      </c>
      <c r="C592" s="433" t="s">
        <v>522</v>
      </c>
      <c r="D592" s="454">
        <v>5000</v>
      </c>
      <c r="E592" s="440" t="s">
        <v>2318</v>
      </c>
      <c r="F592" s="432" t="s">
        <v>2319</v>
      </c>
      <c r="G592" s="432" t="s">
        <v>2320</v>
      </c>
      <c r="H592" s="432" t="s">
        <v>526</v>
      </c>
      <c r="I592" s="435"/>
      <c r="J592" s="436"/>
      <c r="K592" s="437"/>
      <c r="L592" s="311"/>
    </row>
    <row r="593" spans="1:12" ht="27">
      <c r="A593" s="318">
        <v>585</v>
      </c>
      <c r="B593" s="432" t="s">
        <v>2317</v>
      </c>
      <c r="C593" s="433" t="s">
        <v>522</v>
      </c>
      <c r="D593" s="454">
        <v>6000</v>
      </c>
      <c r="E593" s="440" t="s">
        <v>2321</v>
      </c>
      <c r="F593" s="432" t="s">
        <v>2322</v>
      </c>
      <c r="G593" s="432" t="s">
        <v>2323</v>
      </c>
      <c r="H593" s="432" t="s">
        <v>526</v>
      </c>
      <c r="I593" s="435"/>
      <c r="J593" s="436"/>
      <c r="K593" s="437"/>
      <c r="L593" s="311"/>
    </row>
    <row r="594" spans="1:12" ht="27">
      <c r="A594" s="318">
        <v>586</v>
      </c>
      <c r="B594" s="432" t="s">
        <v>2317</v>
      </c>
      <c r="C594" s="433" t="s">
        <v>522</v>
      </c>
      <c r="D594" s="454">
        <v>27900</v>
      </c>
      <c r="E594" s="440" t="s">
        <v>2324</v>
      </c>
      <c r="F594" s="432" t="s">
        <v>2325</v>
      </c>
      <c r="G594" s="432" t="s">
        <v>2326</v>
      </c>
      <c r="H594" s="432" t="s">
        <v>526</v>
      </c>
      <c r="I594" s="435"/>
      <c r="J594" s="436"/>
      <c r="K594" s="437"/>
      <c r="L594" s="311"/>
    </row>
    <row r="595" spans="1:12" ht="27">
      <c r="A595" s="318">
        <v>587</v>
      </c>
      <c r="B595" s="432" t="s">
        <v>2317</v>
      </c>
      <c r="C595" s="433" t="s">
        <v>522</v>
      </c>
      <c r="D595" s="454">
        <v>5000</v>
      </c>
      <c r="E595" s="440" t="s">
        <v>2327</v>
      </c>
      <c r="F595" s="432" t="s">
        <v>2328</v>
      </c>
      <c r="G595" s="432" t="s">
        <v>2329</v>
      </c>
      <c r="H595" s="432" t="s">
        <v>526</v>
      </c>
      <c r="I595" s="435"/>
      <c r="J595" s="436"/>
      <c r="K595" s="437"/>
      <c r="L595" s="311"/>
    </row>
    <row r="596" spans="1:12" ht="27">
      <c r="A596" s="318">
        <v>588</v>
      </c>
      <c r="B596" s="432" t="s">
        <v>2317</v>
      </c>
      <c r="C596" s="433" t="s">
        <v>522</v>
      </c>
      <c r="D596" s="454">
        <v>6000</v>
      </c>
      <c r="E596" s="440" t="s">
        <v>2330</v>
      </c>
      <c r="F596" s="432" t="s">
        <v>2331</v>
      </c>
      <c r="G596" s="432" t="s">
        <v>2332</v>
      </c>
      <c r="H596" s="432" t="s">
        <v>526</v>
      </c>
      <c r="I596" s="435"/>
      <c r="J596" s="436"/>
      <c r="K596" s="437"/>
      <c r="L596" s="311"/>
    </row>
    <row r="597" spans="1:12" ht="27">
      <c r="A597" s="318">
        <v>589</v>
      </c>
      <c r="B597" s="432" t="s">
        <v>2317</v>
      </c>
      <c r="C597" s="433" t="s">
        <v>522</v>
      </c>
      <c r="D597" s="454">
        <v>20000</v>
      </c>
      <c r="E597" s="440" t="s">
        <v>2333</v>
      </c>
      <c r="F597" s="432" t="s">
        <v>2334</v>
      </c>
      <c r="G597" s="432" t="s">
        <v>2335</v>
      </c>
      <c r="H597" s="432" t="s">
        <v>526</v>
      </c>
      <c r="I597" s="435"/>
      <c r="J597" s="436"/>
      <c r="K597" s="437"/>
      <c r="L597" s="311"/>
    </row>
    <row r="598" spans="1:12" ht="27">
      <c r="A598" s="318">
        <v>590</v>
      </c>
      <c r="B598" s="432" t="s">
        <v>2317</v>
      </c>
      <c r="C598" s="433" t="s">
        <v>522</v>
      </c>
      <c r="D598" s="454">
        <v>20000</v>
      </c>
      <c r="E598" s="440" t="s">
        <v>2336</v>
      </c>
      <c r="F598" s="432" t="s">
        <v>2337</v>
      </c>
      <c r="G598" s="432" t="s">
        <v>2338</v>
      </c>
      <c r="H598" s="432" t="s">
        <v>526</v>
      </c>
      <c r="I598" s="435"/>
      <c r="J598" s="436"/>
      <c r="K598" s="437"/>
      <c r="L598" s="311"/>
    </row>
    <row r="599" spans="1:12" ht="27">
      <c r="A599" s="318">
        <v>591</v>
      </c>
      <c r="B599" s="432" t="s">
        <v>2317</v>
      </c>
      <c r="C599" s="433" t="s">
        <v>522</v>
      </c>
      <c r="D599" s="454">
        <v>50000</v>
      </c>
      <c r="E599" s="440" t="s">
        <v>2339</v>
      </c>
      <c r="F599" s="432" t="s">
        <v>2340</v>
      </c>
      <c r="G599" s="432" t="s">
        <v>2341</v>
      </c>
      <c r="H599" s="432" t="s">
        <v>526</v>
      </c>
      <c r="I599" s="435"/>
      <c r="J599" s="436"/>
      <c r="K599" s="437"/>
      <c r="L599" s="311"/>
    </row>
    <row r="600" spans="1:12" ht="27">
      <c r="A600" s="318">
        <v>592</v>
      </c>
      <c r="B600" s="432" t="s">
        <v>2317</v>
      </c>
      <c r="C600" s="433" t="s">
        <v>522</v>
      </c>
      <c r="D600" s="454">
        <v>50000</v>
      </c>
      <c r="E600" s="440" t="s">
        <v>2342</v>
      </c>
      <c r="F600" s="432" t="s">
        <v>2343</v>
      </c>
      <c r="G600" s="432" t="s">
        <v>2344</v>
      </c>
      <c r="H600" s="432" t="s">
        <v>526</v>
      </c>
      <c r="I600" s="435"/>
      <c r="J600" s="436"/>
      <c r="K600" s="437"/>
      <c r="L600" s="311"/>
    </row>
    <row r="601" spans="1:12" ht="27">
      <c r="A601" s="318">
        <v>593</v>
      </c>
      <c r="B601" s="432" t="s">
        <v>2317</v>
      </c>
      <c r="C601" s="433" t="s">
        <v>522</v>
      </c>
      <c r="D601" s="454">
        <v>20000</v>
      </c>
      <c r="E601" s="440" t="s">
        <v>2345</v>
      </c>
      <c r="F601" s="432" t="s">
        <v>2346</v>
      </c>
      <c r="G601" s="432" t="s">
        <v>2347</v>
      </c>
      <c r="H601" s="432" t="s">
        <v>526</v>
      </c>
      <c r="I601" s="435"/>
      <c r="J601" s="436"/>
      <c r="K601" s="437"/>
      <c r="L601" s="311"/>
    </row>
    <row r="602" spans="1:12" ht="27">
      <c r="A602" s="318">
        <v>594</v>
      </c>
      <c r="B602" s="432" t="s">
        <v>2317</v>
      </c>
      <c r="C602" s="433" t="s">
        <v>522</v>
      </c>
      <c r="D602" s="454">
        <v>60000</v>
      </c>
      <c r="E602" s="440" t="s">
        <v>2348</v>
      </c>
      <c r="F602" s="432" t="s">
        <v>2349</v>
      </c>
      <c r="G602" s="432" t="s">
        <v>2350</v>
      </c>
      <c r="H602" s="432" t="s">
        <v>526</v>
      </c>
      <c r="I602" s="435"/>
      <c r="J602" s="436"/>
      <c r="K602" s="437"/>
      <c r="L602" s="311"/>
    </row>
    <row r="603" spans="1:12" ht="27">
      <c r="A603" s="318">
        <v>595</v>
      </c>
      <c r="B603" s="432" t="s">
        <v>2317</v>
      </c>
      <c r="C603" s="433" t="s">
        <v>522</v>
      </c>
      <c r="D603" s="454">
        <v>50000</v>
      </c>
      <c r="E603" s="434" t="s">
        <v>2351</v>
      </c>
      <c r="F603" s="432" t="s">
        <v>2352</v>
      </c>
      <c r="G603" s="432" t="s">
        <v>2353</v>
      </c>
      <c r="H603" s="432" t="s">
        <v>526</v>
      </c>
      <c r="I603" s="435"/>
      <c r="J603" s="436"/>
      <c r="K603" s="437"/>
      <c r="L603" s="311"/>
    </row>
    <row r="604" spans="1:12" ht="27">
      <c r="A604" s="318">
        <v>596</v>
      </c>
      <c r="B604" s="432" t="s">
        <v>2317</v>
      </c>
      <c r="C604" s="433" t="s">
        <v>522</v>
      </c>
      <c r="D604" s="454">
        <v>10000</v>
      </c>
      <c r="E604" s="434" t="s">
        <v>2354</v>
      </c>
      <c r="F604" s="432" t="s">
        <v>2355</v>
      </c>
      <c r="G604" s="432" t="s">
        <v>2356</v>
      </c>
      <c r="H604" s="432" t="s">
        <v>526</v>
      </c>
      <c r="I604" s="435"/>
      <c r="J604" s="436"/>
      <c r="K604" s="437"/>
      <c r="L604" s="311"/>
    </row>
    <row r="605" spans="1:12" ht="30">
      <c r="A605" s="318">
        <v>597</v>
      </c>
      <c r="B605" s="456" t="s">
        <v>2357</v>
      </c>
      <c r="C605" s="433" t="s">
        <v>522</v>
      </c>
      <c r="D605" s="457">
        <v>30000</v>
      </c>
      <c r="E605" s="443" t="s">
        <v>2358</v>
      </c>
      <c r="F605" s="432" t="s">
        <v>2359</v>
      </c>
      <c r="G605" s="443" t="s">
        <v>2360</v>
      </c>
      <c r="H605" s="445" t="s">
        <v>520</v>
      </c>
      <c r="I605" s="435"/>
      <c r="J605" s="436"/>
      <c r="K605" s="437"/>
      <c r="L605" s="311"/>
    </row>
    <row r="606" spans="1:12" ht="30">
      <c r="A606" s="318">
        <v>598</v>
      </c>
      <c r="B606" s="456" t="s">
        <v>2357</v>
      </c>
      <c r="C606" s="433" t="s">
        <v>522</v>
      </c>
      <c r="D606" s="457">
        <v>10000</v>
      </c>
      <c r="E606" s="443" t="s">
        <v>2361</v>
      </c>
      <c r="F606" s="432" t="s">
        <v>2362</v>
      </c>
      <c r="G606" s="443" t="s">
        <v>2363</v>
      </c>
      <c r="H606" s="445" t="s">
        <v>520</v>
      </c>
      <c r="I606" s="435"/>
      <c r="J606" s="436"/>
      <c r="K606" s="437"/>
      <c r="L606" s="311"/>
    </row>
    <row r="607" spans="1:12" ht="30">
      <c r="A607" s="318">
        <v>599</v>
      </c>
      <c r="B607" s="456" t="s">
        <v>2357</v>
      </c>
      <c r="C607" s="433" t="s">
        <v>522</v>
      </c>
      <c r="D607" s="457">
        <v>15000</v>
      </c>
      <c r="E607" s="443" t="s">
        <v>2364</v>
      </c>
      <c r="F607" s="432" t="s">
        <v>2365</v>
      </c>
      <c r="G607" s="443" t="s">
        <v>2366</v>
      </c>
      <c r="H607" s="445" t="s">
        <v>520</v>
      </c>
      <c r="I607" s="435"/>
      <c r="J607" s="436"/>
      <c r="K607" s="437"/>
      <c r="L607" s="311"/>
    </row>
    <row r="608" spans="1:12" ht="30">
      <c r="A608" s="318">
        <v>600</v>
      </c>
      <c r="B608" s="456" t="s">
        <v>2357</v>
      </c>
      <c r="C608" s="433" t="s">
        <v>522</v>
      </c>
      <c r="D608" s="457">
        <v>5000</v>
      </c>
      <c r="E608" s="443" t="s">
        <v>2367</v>
      </c>
      <c r="F608" s="432" t="s">
        <v>2368</v>
      </c>
      <c r="G608" s="443" t="s">
        <v>2369</v>
      </c>
      <c r="H608" s="445" t="s">
        <v>520</v>
      </c>
      <c r="I608" s="435"/>
      <c r="J608" s="436"/>
      <c r="K608" s="437"/>
      <c r="L608" s="311"/>
    </row>
    <row r="609" spans="1:12" ht="27">
      <c r="A609" s="318">
        <v>601</v>
      </c>
      <c r="B609" s="456" t="s">
        <v>2357</v>
      </c>
      <c r="C609" s="433" t="s">
        <v>522</v>
      </c>
      <c r="D609" s="454">
        <v>50000</v>
      </c>
      <c r="E609" s="434" t="s">
        <v>2370</v>
      </c>
      <c r="F609" s="432" t="s">
        <v>2371</v>
      </c>
      <c r="G609" s="432" t="s">
        <v>2372</v>
      </c>
      <c r="H609" s="432" t="s">
        <v>526</v>
      </c>
      <c r="I609" s="435"/>
      <c r="J609" s="436"/>
      <c r="K609" s="437"/>
      <c r="L609" s="311"/>
    </row>
    <row r="610" spans="1:12" ht="27">
      <c r="A610" s="318">
        <v>602</v>
      </c>
      <c r="B610" s="456" t="s">
        <v>2357</v>
      </c>
      <c r="C610" s="433" t="s">
        <v>522</v>
      </c>
      <c r="D610" s="454">
        <v>45000</v>
      </c>
      <c r="E610" s="434" t="s">
        <v>2373</v>
      </c>
      <c r="F610" s="432" t="s">
        <v>2374</v>
      </c>
      <c r="G610" s="432" t="s">
        <v>2375</v>
      </c>
      <c r="H610" s="432" t="s">
        <v>526</v>
      </c>
      <c r="I610" s="435"/>
      <c r="J610" s="436"/>
      <c r="K610" s="437"/>
      <c r="L610" s="311"/>
    </row>
    <row r="611" spans="1:12" ht="27">
      <c r="A611" s="318">
        <v>603</v>
      </c>
      <c r="B611" s="456" t="s">
        <v>2357</v>
      </c>
      <c r="C611" s="433" t="s">
        <v>522</v>
      </c>
      <c r="D611" s="454">
        <v>10000</v>
      </c>
      <c r="E611" s="434" t="s">
        <v>2376</v>
      </c>
      <c r="F611" s="432" t="s">
        <v>2377</v>
      </c>
      <c r="G611" s="432" t="s">
        <v>2378</v>
      </c>
      <c r="H611" s="432" t="s">
        <v>526</v>
      </c>
      <c r="I611" s="435"/>
      <c r="J611" s="436"/>
      <c r="K611" s="437"/>
      <c r="L611" s="311"/>
    </row>
    <row r="612" spans="1:12" ht="27">
      <c r="A612" s="318">
        <v>604</v>
      </c>
      <c r="B612" s="432" t="s">
        <v>2379</v>
      </c>
      <c r="C612" s="433" t="s">
        <v>522</v>
      </c>
      <c r="D612" s="454">
        <v>20000</v>
      </c>
      <c r="E612" s="434" t="s">
        <v>2380</v>
      </c>
      <c r="F612" s="432" t="s">
        <v>2381</v>
      </c>
      <c r="G612" s="432" t="s">
        <v>2382</v>
      </c>
      <c r="H612" s="432" t="s">
        <v>526</v>
      </c>
      <c r="I612" s="435"/>
      <c r="J612" s="436"/>
      <c r="K612" s="437"/>
      <c r="L612" s="311"/>
    </row>
    <row r="613" spans="1:12" ht="27">
      <c r="A613" s="318">
        <v>605</v>
      </c>
      <c r="B613" s="432" t="s">
        <v>2379</v>
      </c>
      <c r="C613" s="433" t="s">
        <v>522</v>
      </c>
      <c r="D613" s="454">
        <v>18000</v>
      </c>
      <c r="E613" s="434" t="s">
        <v>2383</v>
      </c>
      <c r="F613" s="432" t="s">
        <v>2384</v>
      </c>
      <c r="G613" s="432" t="s">
        <v>2385</v>
      </c>
      <c r="H613" s="432" t="s">
        <v>526</v>
      </c>
      <c r="I613" s="435"/>
      <c r="J613" s="436"/>
      <c r="K613" s="437"/>
      <c r="L613" s="311"/>
    </row>
    <row r="614" spans="1:12" ht="27">
      <c r="A614" s="318">
        <v>606</v>
      </c>
      <c r="B614" s="432" t="s">
        <v>2379</v>
      </c>
      <c r="C614" s="433" t="s">
        <v>522</v>
      </c>
      <c r="D614" s="454">
        <v>25000</v>
      </c>
      <c r="E614" s="434" t="s">
        <v>2386</v>
      </c>
      <c r="F614" s="432" t="s">
        <v>2387</v>
      </c>
      <c r="G614" s="432" t="s">
        <v>2388</v>
      </c>
      <c r="H614" s="432" t="s">
        <v>526</v>
      </c>
      <c r="I614" s="435"/>
      <c r="J614" s="436"/>
      <c r="K614" s="437"/>
      <c r="L614" s="311"/>
    </row>
    <row r="615" spans="1:12" ht="27">
      <c r="A615" s="318">
        <v>607</v>
      </c>
      <c r="B615" s="432" t="s">
        <v>2379</v>
      </c>
      <c r="C615" s="433" t="s">
        <v>522</v>
      </c>
      <c r="D615" s="454">
        <v>45000</v>
      </c>
      <c r="E615" s="434" t="s">
        <v>2389</v>
      </c>
      <c r="F615" s="432" t="s">
        <v>2390</v>
      </c>
      <c r="G615" s="432" t="s">
        <v>2391</v>
      </c>
      <c r="H615" s="432" t="s">
        <v>526</v>
      </c>
      <c r="I615" s="435"/>
      <c r="J615" s="436"/>
      <c r="K615" s="437"/>
      <c r="L615" s="311"/>
    </row>
    <row r="616" spans="1:12" ht="27">
      <c r="A616" s="318">
        <v>608</v>
      </c>
      <c r="B616" s="432" t="s">
        <v>2379</v>
      </c>
      <c r="C616" s="433" t="s">
        <v>522</v>
      </c>
      <c r="D616" s="454">
        <v>5000</v>
      </c>
      <c r="E616" s="434" t="s">
        <v>2392</v>
      </c>
      <c r="F616" s="432" t="s">
        <v>2393</v>
      </c>
      <c r="G616" s="432" t="s">
        <v>2394</v>
      </c>
      <c r="H616" s="432" t="s">
        <v>526</v>
      </c>
      <c r="I616" s="435"/>
      <c r="J616" s="436"/>
      <c r="K616" s="437"/>
      <c r="L616" s="311"/>
    </row>
    <row r="617" spans="1:12" ht="27">
      <c r="A617" s="318">
        <v>609</v>
      </c>
      <c r="B617" s="432" t="s">
        <v>2379</v>
      </c>
      <c r="C617" s="433" t="s">
        <v>522</v>
      </c>
      <c r="D617" s="454">
        <v>47000</v>
      </c>
      <c r="E617" s="434" t="s">
        <v>2395</v>
      </c>
      <c r="F617" s="432" t="s">
        <v>2396</v>
      </c>
      <c r="G617" s="432" t="s">
        <v>2397</v>
      </c>
      <c r="H617" s="432" t="s">
        <v>526</v>
      </c>
      <c r="I617" s="435"/>
      <c r="J617" s="436"/>
      <c r="K617" s="437"/>
      <c r="L617" s="311"/>
    </row>
    <row r="618" spans="1:12" ht="27">
      <c r="A618" s="318">
        <v>610</v>
      </c>
      <c r="B618" s="432" t="s">
        <v>2398</v>
      </c>
      <c r="C618" s="458" t="s">
        <v>522</v>
      </c>
      <c r="D618" s="454">
        <v>60000</v>
      </c>
      <c r="E618" s="459" t="s">
        <v>2399</v>
      </c>
      <c r="F618" s="432" t="s">
        <v>2400</v>
      </c>
      <c r="G618" s="432" t="s">
        <v>2401</v>
      </c>
      <c r="H618" s="432" t="s">
        <v>526</v>
      </c>
      <c r="I618" s="405"/>
      <c r="J618" s="417"/>
      <c r="K618" s="460"/>
      <c r="L618" s="311"/>
    </row>
    <row r="619" spans="1:12" ht="27">
      <c r="A619" s="318">
        <v>611</v>
      </c>
      <c r="B619" s="432" t="s">
        <v>2398</v>
      </c>
      <c r="C619" s="458" t="s">
        <v>522</v>
      </c>
      <c r="D619" s="454">
        <v>60000</v>
      </c>
      <c r="E619" s="459" t="s">
        <v>2402</v>
      </c>
      <c r="F619" s="432" t="s">
        <v>2403</v>
      </c>
      <c r="G619" s="432" t="s">
        <v>2404</v>
      </c>
      <c r="H619" s="432" t="s">
        <v>526</v>
      </c>
      <c r="I619" s="446"/>
      <c r="J619" s="400"/>
      <c r="K619" s="461"/>
      <c r="L619" s="311"/>
    </row>
    <row r="620" spans="1:12" ht="27">
      <c r="A620" s="318">
        <v>612</v>
      </c>
      <c r="B620" s="432" t="s">
        <v>2398</v>
      </c>
      <c r="C620" s="458" t="s">
        <v>522</v>
      </c>
      <c r="D620" s="454">
        <v>40000</v>
      </c>
      <c r="E620" s="459" t="s">
        <v>2405</v>
      </c>
      <c r="F620" s="432" t="s">
        <v>2406</v>
      </c>
      <c r="G620" s="432" t="s">
        <v>2407</v>
      </c>
      <c r="H620" s="432" t="s">
        <v>526</v>
      </c>
      <c r="I620" s="446"/>
      <c r="J620" s="400"/>
      <c r="K620" s="461"/>
      <c r="L620" s="311"/>
    </row>
    <row r="621" spans="1:12" ht="27">
      <c r="A621" s="318">
        <v>613</v>
      </c>
      <c r="B621" s="432" t="s">
        <v>2398</v>
      </c>
      <c r="C621" s="458" t="s">
        <v>522</v>
      </c>
      <c r="D621" s="454">
        <v>20000</v>
      </c>
      <c r="E621" s="459" t="s">
        <v>2408</v>
      </c>
      <c r="F621" s="432" t="s">
        <v>2409</v>
      </c>
      <c r="G621" s="432" t="s">
        <v>2410</v>
      </c>
      <c r="H621" s="432" t="s">
        <v>526</v>
      </c>
      <c r="I621" s="446"/>
      <c r="J621" s="400"/>
      <c r="K621" s="461"/>
      <c r="L621" s="311"/>
    </row>
    <row r="622" spans="1:12" ht="27">
      <c r="A622" s="318">
        <v>614</v>
      </c>
      <c r="B622" s="432" t="s">
        <v>2398</v>
      </c>
      <c r="C622" s="458" t="s">
        <v>522</v>
      </c>
      <c r="D622" s="454">
        <v>10000</v>
      </c>
      <c r="E622" s="459" t="s">
        <v>2411</v>
      </c>
      <c r="F622" s="432" t="s">
        <v>2412</v>
      </c>
      <c r="G622" s="432" t="s">
        <v>2413</v>
      </c>
      <c r="H622" s="432" t="s">
        <v>526</v>
      </c>
      <c r="I622" s="446"/>
      <c r="J622" s="400"/>
      <c r="K622" s="461"/>
      <c r="L622" s="311"/>
    </row>
    <row r="623" spans="1:12" ht="27">
      <c r="A623" s="318">
        <v>615</v>
      </c>
      <c r="B623" s="432" t="s">
        <v>2398</v>
      </c>
      <c r="C623" s="458" t="s">
        <v>522</v>
      </c>
      <c r="D623" s="454">
        <v>40000</v>
      </c>
      <c r="E623" s="459" t="s">
        <v>2414</v>
      </c>
      <c r="F623" s="432" t="s">
        <v>2415</v>
      </c>
      <c r="G623" s="432" t="s">
        <v>2416</v>
      </c>
      <c r="H623" s="432" t="s">
        <v>526</v>
      </c>
      <c r="I623" s="446"/>
      <c r="J623" s="400"/>
      <c r="K623" s="461"/>
      <c r="L623" s="311"/>
    </row>
    <row r="624" spans="1:12" ht="27">
      <c r="A624" s="318">
        <v>616</v>
      </c>
      <c r="B624" s="432" t="s">
        <v>2398</v>
      </c>
      <c r="C624" s="458" t="s">
        <v>522</v>
      </c>
      <c r="D624" s="454">
        <v>15000</v>
      </c>
      <c r="E624" s="459" t="s">
        <v>2417</v>
      </c>
      <c r="F624" s="432" t="s">
        <v>2418</v>
      </c>
      <c r="G624" s="432" t="s">
        <v>2419</v>
      </c>
      <c r="H624" s="432" t="s">
        <v>526</v>
      </c>
      <c r="I624" s="446"/>
      <c r="J624" s="400"/>
      <c r="K624" s="461"/>
      <c r="L624" s="311"/>
    </row>
    <row r="625" spans="1:12" ht="27">
      <c r="A625" s="318">
        <v>617</v>
      </c>
      <c r="B625" s="432" t="s">
        <v>2398</v>
      </c>
      <c r="C625" s="458" t="s">
        <v>522</v>
      </c>
      <c r="D625" s="454">
        <v>60000</v>
      </c>
      <c r="E625" s="459" t="s">
        <v>2420</v>
      </c>
      <c r="F625" s="432" t="s">
        <v>2421</v>
      </c>
      <c r="G625" s="432" t="s">
        <v>2422</v>
      </c>
      <c r="H625" s="432" t="s">
        <v>526</v>
      </c>
      <c r="I625" s="446"/>
      <c r="J625" s="400"/>
      <c r="K625" s="461"/>
      <c r="L625" s="311"/>
    </row>
    <row r="626" spans="1:12" ht="27">
      <c r="A626" s="318">
        <v>618</v>
      </c>
      <c r="B626" s="432" t="s">
        <v>2398</v>
      </c>
      <c r="C626" s="458" t="s">
        <v>522</v>
      </c>
      <c r="D626" s="454">
        <v>50000</v>
      </c>
      <c r="E626" s="459" t="s">
        <v>2423</v>
      </c>
      <c r="F626" s="432" t="s">
        <v>2424</v>
      </c>
      <c r="G626" s="432" t="s">
        <v>2425</v>
      </c>
      <c r="H626" s="432" t="s">
        <v>526</v>
      </c>
      <c r="I626" s="446"/>
      <c r="J626" s="400"/>
      <c r="K626" s="461"/>
      <c r="L626" s="311"/>
    </row>
    <row r="627" spans="1:12" ht="30">
      <c r="A627" s="318">
        <v>619</v>
      </c>
      <c r="B627" s="456" t="s">
        <v>2398</v>
      </c>
      <c r="C627" s="458" t="s">
        <v>522</v>
      </c>
      <c r="D627" s="457">
        <v>80000</v>
      </c>
      <c r="E627" s="443" t="s">
        <v>2426</v>
      </c>
      <c r="F627" s="444" t="s">
        <v>2427</v>
      </c>
      <c r="G627" s="443" t="s">
        <v>2428</v>
      </c>
      <c r="H627" s="445" t="s">
        <v>1758</v>
      </c>
      <c r="I627" s="446"/>
      <c r="J627" s="400"/>
      <c r="K627" s="461"/>
      <c r="L627" s="311"/>
    </row>
    <row r="628" spans="1:12" ht="30">
      <c r="A628" s="318">
        <v>620</v>
      </c>
      <c r="B628" s="456" t="s">
        <v>2398</v>
      </c>
      <c r="C628" s="458" t="s">
        <v>522</v>
      </c>
      <c r="D628" s="457">
        <v>120000</v>
      </c>
      <c r="E628" s="443" t="s">
        <v>2429</v>
      </c>
      <c r="F628" s="444" t="s">
        <v>2430</v>
      </c>
      <c r="G628" s="443" t="s">
        <v>2431</v>
      </c>
      <c r="H628" s="445" t="s">
        <v>1758</v>
      </c>
      <c r="I628" s="446"/>
      <c r="J628" s="400"/>
      <c r="K628" s="461"/>
      <c r="L628" s="311"/>
    </row>
    <row r="629" spans="1:12" ht="27">
      <c r="A629" s="318">
        <v>621</v>
      </c>
      <c r="B629" s="432" t="s">
        <v>2432</v>
      </c>
      <c r="C629" s="458" t="s">
        <v>522</v>
      </c>
      <c r="D629" s="454">
        <v>4000</v>
      </c>
      <c r="E629" s="459" t="s">
        <v>2433</v>
      </c>
      <c r="F629" s="432" t="s">
        <v>2434</v>
      </c>
      <c r="G629" s="432" t="s">
        <v>2435</v>
      </c>
      <c r="H629" s="432" t="s">
        <v>526</v>
      </c>
      <c r="I629" s="446"/>
      <c r="J629" s="400"/>
      <c r="K629" s="461"/>
      <c r="L629" s="311"/>
    </row>
    <row r="630" spans="1:12" ht="27">
      <c r="A630" s="318">
        <v>622</v>
      </c>
      <c r="B630" s="432" t="s">
        <v>2432</v>
      </c>
      <c r="C630" s="458" t="s">
        <v>522</v>
      </c>
      <c r="D630" s="454">
        <v>20000</v>
      </c>
      <c r="E630" s="459" t="s">
        <v>2436</v>
      </c>
      <c r="F630" s="432" t="s">
        <v>2437</v>
      </c>
      <c r="G630" s="432" t="s">
        <v>2438</v>
      </c>
      <c r="H630" s="432" t="s">
        <v>526</v>
      </c>
      <c r="I630" s="446"/>
      <c r="J630" s="400"/>
      <c r="K630" s="461"/>
      <c r="L630" s="311"/>
    </row>
    <row r="631" spans="1:12" ht="27">
      <c r="A631" s="318">
        <v>623</v>
      </c>
      <c r="B631" s="432" t="s">
        <v>2432</v>
      </c>
      <c r="C631" s="458" t="s">
        <v>522</v>
      </c>
      <c r="D631" s="454">
        <v>30000</v>
      </c>
      <c r="E631" s="459" t="s">
        <v>2439</v>
      </c>
      <c r="F631" s="432" t="s">
        <v>2440</v>
      </c>
      <c r="G631" s="432" t="s">
        <v>2441</v>
      </c>
      <c r="H631" s="432" t="s">
        <v>526</v>
      </c>
      <c r="I631" s="446"/>
      <c r="J631" s="400"/>
      <c r="K631" s="461"/>
      <c r="L631" s="311"/>
    </row>
    <row r="632" spans="1:12" ht="27">
      <c r="A632" s="318">
        <v>624</v>
      </c>
      <c r="B632" s="432" t="s">
        <v>2432</v>
      </c>
      <c r="C632" s="458" t="s">
        <v>522</v>
      </c>
      <c r="D632" s="454">
        <v>60000</v>
      </c>
      <c r="E632" s="459" t="s">
        <v>2442</v>
      </c>
      <c r="F632" s="432" t="s">
        <v>2443</v>
      </c>
      <c r="G632" s="432" t="s">
        <v>2444</v>
      </c>
      <c r="H632" s="432" t="s">
        <v>526</v>
      </c>
      <c r="I632" s="446"/>
      <c r="J632" s="400"/>
      <c r="K632" s="461"/>
      <c r="L632" s="311"/>
    </row>
    <row r="633" spans="1:12" ht="30">
      <c r="A633" s="318">
        <v>625</v>
      </c>
      <c r="B633" s="432" t="s">
        <v>2432</v>
      </c>
      <c r="C633" s="458" t="s">
        <v>522</v>
      </c>
      <c r="D633" s="454">
        <v>60000</v>
      </c>
      <c r="E633" s="459" t="s">
        <v>2445</v>
      </c>
      <c r="F633" s="432" t="s">
        <v>2446</v>
      </c>
      <c r="G633" s="432" t="s">
        <v>2447</v>
      </c>
      <c r="H633" s="432" t="s">
        <v>526</v>
      </c>
      <c r="I633" s="446"/>
      <c r="J633" s="400"/>
      <c r="K633" s="461"/>
      <c r="L633" s="311"/>
    </row>
    <row r="634" spans="1:12" ht="27">
      <c r="A634" s="318">
        <v>626</v>
      </c>
      <c r="B634" s="432" t="s">
        <v>2432</v>
      </c>
      <c r="C634" s="458" t="s">
        <v>522</v>
      </c>
      <c r="D634" s="454">
        <v>25000</v>
      </c>
      <c r="E634" s="459" t="s">
        <v>2448</v>
      </c>
      <c r="F634" s="432" t="s">
        <v>2449</v>
      </c>
      <c r="G634" s="432" t="s">
        <v>2450</v>
      </c>
      <c r="H634" s="432" t="s">
        <v>526</v>
      </c>
      <c r="I634" s="446"/>
      <c r="J634" s="400"/>
      <c r="K634" s="461"/>
      <c r="L634" s="311"/>
    </row>
    <row r="635" spans="1:12" ht="27">
      <c r="A635" s="318">
        <v>627</v>
      </c>
      <c r="B635" s="432" t="s">
        <v>2432</v>
      </c>
      <c r="C635" s="458" t="s">
        <v>522</v>
      </c>
      <c r="D635" s="454">
        <v>32000</v>
      </c>
      <c r="E635" s="459" t="s">
        <v>2451</v>
      </c>
      <c r="F635" s="432" t="s">
        <v>2452</v>
      </c>
      <c r="G635" s="432" t="s">
        <v>2453</v>
      </c>
      <c r="H635" s="432" t="s">
        <v>526</v>
      </c>
      <c r="I635" s="446"/>
      <c r="J635" s="400"/>
      <c r="K635" s="461"/>
      <c r="L635" s="311"/>
    </row>
    <row r="636" spans="1:12" ht="27">
      <c r="A636" s="318">
        <v>628</v>
      </c>
      <c r="B636" s="432" t="s">
        <v>2432</v>
      </c>
      <c r="C636" s="458" t="s">
        <v>522</v>
      </c>
      <c r="D636" s="454">
        <v>25000</v>
      </c>
      <c r="E636" s="459" t="s">
        <v>2454</v>
      </c>
      <c r="F636" s="432" t="s">
        <v>2455</v>
      </c>
      <c r="G636" s="432" t="s">
        <v>2456</v>
      </c>
      <c r="H636" s="432" t="s">
        <v>526</v>
      </c>
      <c r="I636" s="446"/>
      <c r="J636" s="400"/>
      <c r="K636" s="461"/>
      <c r="L636" s="311"/>
    </row>
    <row r="637" spans="1:12" ht="27">
      <c r="A637" s="318">
        <v>629</v>
      </c>
      <c r="B637" s="432" t="s">
        <v>2432</v>
      </c>
      <c r="C637" s="458" t="s">
        <v>522</v>
      </c>
      <c r="D637" s="454">
        <v>25000</v>
      </c>
      <c r="E637" s="459" t="s">
        <v>2457</v>
      </c>
      <c r="F637" s="432" t="s">
        <v>2458</v>
      </c>
      <c r="G637" s="432" t="s">
        <v>2459</v>
      </c>
      <c r="H637" s="432" t="s">
        <v>526</v>
      </c>
      <c r="I637" s="446"/>
      <c r="J637" s="400"/>
      <c r="K637" s="461"/>
      <c r="L637" s="311"/>
    </row>
    <row r="638" spans="1:12" ht="27">
      <c r="A638" s="318">
        <v>630</v>
      </c>
      <c r="B638" s="432" t="s">
        <v>2432</v>
      </c>
      <c r="C638" s="458" t="s">
        <v>522</v>
      </c>
      <c r="D638" s="454">
        <v>40000</v>
      </c>
      <c r="E638" s="459" t="s">
        <v>2214</v>
      </c>
      <c r="F638" s="432" t="s">
        <v>2215</v>
      </c>
      <c r="G638" s="432" t="s">
        <v>2216</v>
      </c>
      <c r="H638" s="432" t="s">
        <v>526</v>
      </c>
      <c r="I638" s="446"/>
      <c r="J638" s="400"/>
      <c r="K638" s="461"/>
      <c r="L638" s="311"/>
    </row>
    <row r="639" spans="1:12" ht="27">
      <c r="A639" s="318">
        <v>631</v>
      </c>
      <c r="B639" s="432" t="s">
        <v>2432</v>
      </c>
      <c r="C639" s="458" t="s">
        <v>522</v>
      </c>
      <c r="D639" s="454">
        <v>20000</v>
      </c>
      <c r="E639" s="459" t="s">
        <v>2460</v>
      </c>
      <c r="F639" s="432" t="s">
        <v>2461</v>
      </c>
      <c r="G639" s="432" t="s">
        <v>2462</v>
      </c>
      <c r="H639" s="432" t="s">
        <v>526</v>
      </c>
      <c r="I639" s="447"/>
      <c r="J639" s="412"/>
      <c r="K639" s="462"/>
      <c r="L639" s="311"/>
    </row>
    <row r="640" spans="1:12" ht="27">
      <c r="A640" s="318">
        <v>632</v>
      </c>
      <c r="B640" s="432" t="s">
        <v>2432</v>
      </c>
      <c r="C640" s="458" t="s">
        <v>522</v>
      </c>
      <c r="D640" s="454">
        <v>20000</v>
      </c>
      <c r="E640" s="459" t="s">
        <v>2463</v>
      </c>
      <c r="F640" s="432" t="s">
        <v>2464</v>
      </c>
      <c r="G640" s="432" t="s">
        <v>2465</v>
      </c>
      <c r="H640" s="432" t="s">
        <v>526</v>
      </c>
      <c r="I640" s="447"/>
      <c r="J640" s="412"/>
      <c r="K640" s="462"/>
      <c r="L640" s="311"/>
    </row>
    <row r="641" spans="1:12" ht="27.75">
      <c r="A641" s="318">
        <v>633</v>
      </c>
      <c r="B641" s="463" t="s">
        <v>2432</v>
      </c>
      <c r="C641" s="458" t="s">
        <v>522</v>
      </c>
      <c r="D641" s="454">
        <v>15000</v>
      </c>
      <c r="E641" s="459" t="s">
        <v>2466</v>
      </c>
      <c r="F641" s="463" t="s">
        <v>2467</v>
      </c>
      <c r="G641" s="432" t="s">
        <v>2468</v>
      </c>
      <c r="H641" s="432" t="s">
        <v>526</v>
      </c>
      <c r="I641" s="447"/>
      <c r="J641" s="412"/>
      <c r="K641" s="462"/>
      <c r="L641" s="311"/>
    </row>
    <row r="642" spans="1:12" ht="27">
      <c r="A642" s="318">
        <v>634</v>
      </c>
      <c r="B642" s="432" t="s">
        <v>2469</v>
      </c>
      <c r="C642" s="458" t="s">
        <v>522</v>
      </c>
      <c r="D642" s="454">
        <v>10000</v>
      </c>
      <c r="E642" s="434" t="s">
        <v>2470</v>
      </c>
      <c r="F642" s="432" t="s">
        <v>2471</v>
      </c>
      <c r="G642" s="432" t="s">
        <v>2472</v>
      </c>
      <c r="H642" s="432" t="s">
        <v>526</v>
      </c>
      <c r="I642" s="447"/>
      <c r="J642" s="412"/>
      <c r="K642" s="462"/>
      <c r="L642" s="311"/>
    </row>
    <row r="643" spans="1:12" ht="27">
      <c r="A643" s="318">
        <v>635</v>
      </c>
      <c r="B643" s="432" t="s">
        <v>2469</v>
      </c>
      <c r="C643" s="458" t="s">
        <v>522</v>
      </c>
      <c r="D643" s="454">
        <v>10000</v>
      </c>
      <c r="E643" s="434" t="s">
        <v>2473</v>
      </c>
      <c r="F643" s="432" t="s">
        <v>2474</v>
      </c>
      <c r="G643" s="432" t="s">
        <v>2475</v>
      </c>
      <c r="H643" s="432" t="s">
        <v>526</v>
      </c>
      <c r="I643" s="447"/>
      <c r="J643" s="412"/>
      <c r="K643" s="462"/>
      <c r="L643" s="311"/>
    </row>
    <row r="644" spans="1:12" ht="27">
      <c r="A644" s="318">
        <v>636</v>
      </c>
      <c r="B644" s="432" t="s">
        <v>2469</v>
      </c>
      <c r="C644" s="458" t="s">
        <v>522</v>
      </c>
      <c r="D644" s="454">
        <v>20000</v>
      </c>
      <c r="E644" s="434" t="s">
        <v>2476</v>
      </c>
      <c r="F644" s="432" t="s">
        <v>2477</v>
      </c>
      <c r="G644" s="432" t="s">
        <v>2478</v>
      </c>
      <c r="H644" s="432" t="s">
        <v>526</v>
      </c>
      <c r="I644" s="447"/>
      <c r="J644" s="412"/>
      <c r="K644" s="462"/>
      <c r="L644" s="311"/>
    </row>
    <row r="645" spans="1:12" ht="27">
      <c r="A645" s="318">
        <v>637</v>
      </c>
      <c r="B645" s="432" t="s">
        <v>2469</v>
      </c>
      <c r="C645" s="458" t="s">
        <v>522</v>
      </c>
      <c r="D645" s="454">
        <v>40000</v>
      </c>
      <c r="E645" s="434" t="s">
        <v>2479</v>
      </c>
      <c r="F645" s="432" t="s">
        <v>2480</v>
      </c>
      <c r="G645" s="432" t="s">
        <v>2481</v>
      </c>
      <c r="H645" s="432" t="s">
        <v>526</v>
      </c>
      <c r="I645" s="447"/>
      <c r="J645" s="412"/>
      <c r="K645" s="462"/>
      <c r="L645" s="311"/>
    </row>
    <row r="646" spans="1:12" ht="27">
      <c r="A646" s="318">
        <v>638</v>
      </c>
      <c r="B646" s="432" t="s">
        <v>2469</v>
      </c>
      <c r="C646" s="458" t="s">
        <v>522</v>
      </c>
      <c r="D646" s="454">
        <v>10000</v>
      </c>
      <c r="E646" s="434" t="s">
        <v>2482</v>
      </c>
      <c r="F646" s="432" t="s">
        <v>2483</v>
      </c>
      <c r="G646" s="432" t="s">
        <v>2484</v>
      </c>
      <c r="H646" s="432" t="s">
        <v>526</v>
      </c>
      <c r="I646" s="447"/>
      <c r="J646" s="412"/>
      <c r="K646" s="462"/>
      <c r="L646" s="311"/>
    </row>
    <row r="647" spans="1:12" ht="27">
      <c r="A647" s="318">
        <v>639</v>
      </c>
      <c r="B647" s="432" t="s">
        <v>2469</v>
      </c>
      <c r="C647" s="458" t="s">
        <v>522</v>
      </c>
      <c r="D647" s="454">
        <v>20000</v>
      </c>
      <c r="E647" s="434" t="s">
        <v>2485</v>
      </c>
      <c r="F647" s="432" t="s">
        <v>2486</v>
      </c>
      <c r="G647" s="432" t="s">
        <v>2487</v>
      </c>
      <c r="H647" s="432" t="s">
        <v>526</v>
      </c>
      <c r="I647" s="447"/>
      <c r="J647" s="412"/>
      <c r="K647" s="462"/>
      <c r="L647" s="311"/>
    </row>
    <row r="648" spans="1:12" ht="27">
      <c r="A648" s="318">
        <v>640</v>
      </c>
      <c r="B648" s="432" t="s">
        <v>2469</v>
      </c>
      <c r="C648" s="458" t="s">
        <v>522</v>
      </c>
      <c r="D648" s="454">
        <v>20000</v>
      </c>
      <c r="E648" s="434" t="s">
        <v>2488</v>
      </c>
      <c r="F648" s="432" t="s">
        <v>2489</v>
      </c>
      <c r="G648" s="432" t="s">
        <v>2490</v>
      </c>
      <c r="H648" s="432" t="s">
        <v>526</v>
      </c>
      <c r="I648" s="447"/>
      <c r="J648" s="412"/>
      <c r="K648" s="462"/>
      <c r="L648" s="311"/>
    </row>
    <row r="649" spans="1:12" ht="27">
      <c r="A649" s="318">
        <v>641</v>
      </c>
      <c r="B649" s="432" t="s">
        <v>2469</v>
      </c>
      <c r="C649" s="458" t="s">
        <v>522</v>
      </c>
      <c r="D649" s="454">
        <v>20000</v>
      </c>
      <c r="E649" s="434" t="s">
        <v>2491</v>
      </c>
      <c r="F649" s="432" t="s">
        <v>2492</v>
      </c>
      <c r="G649" s="432" t="s">
        <v>2493</v>
      </c>
      <c r="H649" s="432" t="s">
        <v>526</v>
      </c>
      <c r="I649" s="447"/>
      <c r="J649" s="412"/>
      <c r="K649" s="462"/>
      <c r="L649" s="311"/>
    </row>
    <row r="650" spans="1:12" ht="27">
      <c r="A650" s="318">
        <v>642</v>
      </c>
      <c r="B650" s="432" t="s">
        <v>2469</v>
      </c>
      <c r="C650" s="458" t="s">
        <v>522</v>
      </c>
      <c r="D650" s="454">
        <v>40000</v>
      </c>
      <c r="E650" s="434" t="s">
        <v>2494</v>
      </c>
      <c r="F650" s="432" t="s">
        <v>2495</v>
      </c>
      <c r="G650" s="432" t="s">
        <v>2496</v>
      </c>
      <c r="H650" s="432" t="s">
        <v>526</v>
      </c>
      <c r="I650" s="447"/>
      <c r="J650" s="412"/>
      <c r="K650" s="462"/>
      <c r="L650" s="311"/>
    </row>
    <row r="651" spans="1:12" ht="27">
      <c r="A651" s="318">
        <v>643</v>
      </c>
      <c r="B651" s="432" t="s">
        <v>2469</v>
      </c>
      <c r="C651" s="458" t="s">
        <v>522</v>
      </c>
      <c r="D651" s="454">
        <v>41000</v>
      </c>
      <c r="E651" s="434" t="s">
        <v>2497</v>
      </c>
      <c r="F651" s="432" t="s">
        <v>2498</v>
      </c>
      <c r="G651" s="432" t="s">
        <v>2499</v>
      </c>
      <c r="H651" s="432" t="s">
        <v>526</v>
      </c>
      <c r="I651" s="447"/>
      <c r="J651" s="412"/>
      <c r="K651" s="462"/>
      <c r="L651" s="311"/>
    </row>
    <row r="652" spans="1:12" ht="27">
      <c r="A652" s="318">
        <v>644</v>
      </c>
      <c r="B652" s="432" t="s">
        <v>2500</v>
      </c>
      <c r="C652" s="458" t="s">
        <v>522</v>
      </c>
      <c r="D652" s="454">
        <v>40000</v>
      </c>
      <c r="E652" s="434" t="s">
        <v>2501</v>
      </c>
      <c r="F652" s="432" t="s">
        <v>2502</v>
      </c>
      <c r="G652" s="432" t="s">
        <v>2503</v>
      </c>
      <c r="H652" s="432" t="s">
        <v>526</v>
      </c>
      <c r="I652" s="447"/>
      <c r="J652" s="412"/>
      <c r="K652" s="462"/>
      <c r="L652" s="311"/>
    </row>
    <row r="653" spans="1:12" ht="27">
      <c r="A653" s="318">
        <v>645</v>
      </c>
      <c r="B653" s="432" t="s">
        <v>2500</v>
      </c>
      <c r="C653" s="458" t="s">
        <v>522</v>
      </c>
      <c r="D653" s="454">
        <v>10000</v>
      </c>
      <c r="E653" s="434" t="s">
        <v>2504</v>
      </c>
      <c r="F653" s="432" t="s">
        <v>2505</v>
      </c>
      <c r="G653" s="432" t="s">
        <v>2506</v>
      </c>
      <c r="H653" s="432" t="s">
        <v>526</v>
      </c>
      <c r="I653" s="447"/>
      <c r="J653" s="412"/>
      <c r="K653" s="462"/>
      <c r="L653" s="311"/>
    </row>
    <row r="654" spans="1:12" ht="27">
      <c r="A654" s="318">
        <v>646</v>
      </c>
      <c r="B654" s="432" t="s">
        <v>2500</v>
      </c>
      <c r="C654" s="458" t="s">
        <v>522</v>
      </c>
      <c r="D654" s="454">
        <v>30000</v>
      </c>
      <c r="E654" s="434" t="s">
        <v>2507</v>
      </c>
      <c r="F654" s="432" t="s">
        <v>2508</v>
      </c>
      <c r="G654" s="432" t="s">
        <v>2509</v>
      </c>
      <c r="H654" s="432" t="s">
        <v>526</v>
      </c>
      <c r="I654" s="447"/>
      <c r="J654" s="412"/>
      <c r="K654" s="462"/>
      <c r="L654" s="311"/>
    </row>
    <row r="655" spans="1:12" ht="27">
      <c r="A655" s="318">
        <v>647</v>
      </c>
      <c r="B655" s="432" t="s">
        <v>2500</v>
      </c>
      <c r="C655" s="458" t="s">
        <v>522</v>
      </c>
      <c r="D655" s="454">
        <v>20000</v>
      </c>
      <c r="E655" s="434" t="s">
        <v>2510</v>
      </c>
      <c r="F655" s="432" t="s">
        <v>2511</v>
      </c>
      <c r="G655" s="432" t="s">
        <v>2512</v>
      </c>
      <c r="H655" s="432" t="s">
        <v>526</v>
      </c>
      <c r="I655" s="447"/>
      <c r="J655" s="412"/>
      <c r="K655" s="462"/>
      <c r="L655" s="311"/>
    </row>
    <row r="656" spans="1:12" ht="27">
      <c r="A656" s="318">
        <v>648</v>
      </c>
      <c r="B656" s="432" t="s">
        <v>2500</v>
      </c>
      <c r="C656" s="458" t="s">
        <v>522</v>
      </c>
      <c r="D656" s="454">
        <v>7000</v>
      </c>
      <c r="E656" s="434" t="s">
        <v>2513</v>
      </c>
      <c r="F656" s="432" t="s">
        <v>2514</v>
      </c>
      <c r="G656" s="432" t="s">
        <v>2515</v>
      </c>
      <c r="H656" s="432" t="s">
        <v>526</v>
      </c>
      <c r="I656" s="447"/>
      <c r="J656" s="412"/>
      <c r="K656" s="462"/>
      <c r="L656" s="311"/>
    </row>
    <row r="657" spans="1:12" ht="27">
      <c r="A657" s="318">
        <v>649</v>
      </c>
      <c r="B657" s="432" t="s">
        <v>2500</v>
      </c>
      <c r="C657" s="458" t="s">
        <v>522</v>
      </c>
      <c r="D657" s="454">
        <v>14000</v>
      </c>
      <c r="E657" s="434" t="s">
        <v>2516</v>
      </c>
      <c r="F657" s="432" t="s">
        <v>2517</v>
      </c>
      <c r="G657" s="432" t="s">
        <v>2518</v>
      </c>
      <c r="H657" s="432" t="s">
        <v>526</v>
      </c>
      <c r="I657" s="447"/>
      <c r="J657" s="412"/>
      <c r="K657" s="462"/>
      <c r="L657" s="311"/>
    </row>
    <row r="658" spans="1:12" ht="27">
      <c r="A658" s="318">
        <v>650</v>
      </c>
      <c r="B658" s="432" t="s">
        <v>2500</v>
      </c>
      <c r="C658" s="458" t="s">
        <v>522</v>
      </c>
      <c r="D658" s="454">
        <v>6000</v>
      </c>
      <c r="E658" s="434" t="s">
        <v>2519</v>
      </c>
      <c r="F658" s="432" t="s">
        <v>2520</v>
      </c>
      <c r="G658" s="432" t="s">
        <v>2521</v>
      </c>
      <c r="H658" s="432" t="s">
        <v>526</v>
      </c>
      <c r="I658" s="447"/>
      <c r="J658" s="412"/>
      <c r="K658" s="462"/>
      <c r="L658" s="311"/>
    </row>
    <row r="659" spans="1:12" ht="27">
      <c r="A659" s="318">
        <v>651</v>
      </c>
      <c r="B659" s="432" t="s">
        <v>2500</v>
      </c>
      <c r="C659" s="458" t="s">
        <v>522</v>
      </c>
      <c r="D659" s="454">
        <v>9000</v>
      </c>
      <c r="E659" s="434" t="s">
        <v>2522</v>
      </c>
      <c r="F659" s="432" t="s">
        <v>2523</v>
      </c>
      <c r="G659" s="432" t="s">
        <v>2524</v>
      </c>
      <c r="H659" s="432" t="s">
        <v>526</v>
      </c>
      <c r="I659" s="447"/>
      <c r="J659" s="412"/>
      <c r="K659" s="462"/>
      <c r="L659" s="311"/>
    </row>
    <row r="660" spans="1:12" ht="27">
      <c r="A660" s="318">
        <v>652</v>
      </c>
      <c r="B660" s="432" t="s">
        <v>2500</v>
      </c>
      <c r="C660" s="458" t="s">
        <v>522</v>
      </c>
      <c r="D660" s="454">
        <v>17000</v>
      </c>
      <c r="E660" s="434" t="s">
        <v>2525</v>
      </c>
      <c r="F660" s="432" t="s">
        <v>2526</v>
      </c>
      <c r="G660" s="432" t="s">
        <v>2527</v>
      </c>
      <c r="H660" s="432" t="s">
        <v>526</v>
      </c>
      <c r="I660" s="447"/>
      <c r="J660" s="412"/>
      <c r="K660" s="462"/>
      <c r="L660" s="311"/>
    </row>
    <row r="661" spans="1:12" ht="27">
      <c r="A661" s="318">
        <v>653</v>
      </c>
      <c r="B661" s="432" t="s">
        <v>2500</v>
      </c>
      <c r="C661" s="458" t="s">
        <v>522</v>
      </c>
      <c r="D661" s="454">
        <v>6000</v>
      </c>
      <c r="E661" s="434" t="s">
        <v>2528</v>
      </c>
      <c r="F661" s="432" t="s">
        <v>2529</v>
      </c>
      <c r="G661" s="432" t="s">
        <v>2530</v>
      </c>
      <c r="H661" s="432" t="s">
        <v>526</v>
      </c>
      <c r="I661" s="447"/>
      <c r="J661" s="412"/>
      <c r="K661" s="462"/>
      <c r="L661" s="311"/>
    </row>
    <row r="662" spans="1:12" ht="27">
      <c r="A662" s="318">
        <v>654</v>
      </c>
      <c r="B662" s="432" t="s">
        <v>2500</v>
      </c>
      <c r="C662" s="458" t="s">
        <v>522</v>
      </c>
      <c r="D662" s="454">
        <v>30000</v>
      </c>
      <c r="E662" s="434" t="s">
        <v>2531</v>
      </c>
      <c r="F662" s="432" t="s">
        <v>2532</v>
      </c>
      <c r="G662" s="432" t="s">
        <v>2533</v>
      </c>
      <c r="H662" s="432" t="s">
        <v>520</v>
      </c>
      <c r="I662" s="447"/>
      <c r="J662" s="412"/>
      <c r="K662" s="462"/>
      <c r="L662" s="311"/>
    </row>
    <row r="663" spans="1:12" ht="27">
      <c r="A663" s="318">
        <v>655</v>
      </c>
      <c r="B663" s="432" t="s">
        <v>2500</v>
      </c>
      <c r="C663" s="458" t="s">
        <v>522</v>
      </c>
      <c r="D663" s="454">
        <v>25000</v>
      </c>
      <c r="E663" s="434" t="s">
        <v>2534</v>
      </c>
      <c r="F663" s="432" t="s">
        <v>2535</v>
      </c>
      <c r="G663" s="432" t="s">
        <v>2536</v>
      </c>
      <c r="H663" s="432" t="s">
        <v>526</v>
      </c>
      <c r="I663" s="447"/>
      <c r="J663" s="412"/>
      <c r="K663" s="462"/>
      <c r="L663" s="311"/>
    </row>
    <row r="664" spans="1:12" ht="27">
      <c r="A664" s="318">
        <v>656</v>
      </c>
      <c r="B664" s="432" t="s">
        <v>2500</v>
      </c>
      <c r="C664" s="458" t="s">
        <v>522</v>
      </c>
      <c r="D664" s="454">
        <v>5000</v>
      </c>
      <c r="E664" s="434" t="s">
        <v>2537</v>
      </c>
      <c r="F664" s="432" t="s">
        <v>2538</v>
      </c>
      <c r="G664" s="432" t="s">
        <v>2539</v>
      </c>
      <c r="H664" s="432" t="s">
        <v>526</v>
      </c>
      <c r="I664" s="447"/>
      <c r="J664" s="412"/>
      <c r="K664" s="462"/>
      <c r="L664" s="311"/>
    </row>
    <row r="665" spans="1:12" ht="27">
      <c r="A665" s="318">
        <v>657</v>
      </c>
      <c r="B665" s="432" t="s">
        <v>2500</v>
      </c>
      <c r="C665" s="458" t="s">
        <v>522</v>
      </c>
      <c r="D665" s="454">
        <v>10000</v>
      </c>
      <c r="E665" s="434" t="s">
        <v>2540</v>
      </c>
      <c r="F665" s="432" t="s">
        <v>2541</v>
      </c>
      <c r="G665" s="432" t="s">
        <v>2542</v>
      </c>
      <c r="H665" s="432" t="s">
        <v>526</v>
      </c>
      <c r="I665" s="447"/>
      <c r="J665" s="412"/>
      <c r="K665" s="462"/>
      <c r="L665" s="311"/>
    </row>
    <row r="666" spans="1:12" ht="27">
      <c r="A666" s="318">
        <v>658</v>
      </c>
      <c r="B666" s="432" t="s">
        <v>2500</v>
      </c>
      <c r="C666" s="458" t="s">
        <v>522</v>
      </c>
      <c r="D666" s="454">
        <v>10000</v>
      </c>
      <c r="E666" s="434" t="s">
        <v>2543</v>
      </c>
      <c r="F666" s="432" t="s">
        <v>2544</v>
      </c>
      <c r="G666" s="432" t="s">
        <v>2545</v>
      </c>
      <c r="H666" s="432" t="s">
        <v>526</v>
      </c>
      <c r="I666" s="447"/>
      <c r="J666" s="412"/>
      <c r="K666" s="462"/>
      <c r="L666" s="311"/>
    </row>
    <row r="667" spans="1:12" ht="27">
      <c r="A667" s="318">
        <v>659</v>
      </c>
      <c r="B667" s="432" t="s">
        <v>2500</v>
      </c>
      <c r="C667" s="458" t="s">
        <v>522</v>
      </c>
      <c r="D667" s="454">
        <v>27000</v>
      </c>
      <c r="E667" s="434" t="s">
        <v>2546</v>
      </c>
      <c r="F667" s="432" t="s">
        <v>2547</v>
      </c>
      <c r="G667" s="432" t="s">
        <v>2548</v>
      </c>
      <c r="H667" s="432" t="s">
        <v>526</v>
      </c>
      <c r="I667" s="447"/>
      <c r="J667" s="412"/>
      <c r="K667" s="462"/>
      <c r="L667" s="311"/>
    </row>
    <row r="668" spans="1:12" ht="27">
      <c r="A668" s="318">
        <v>660</v>
      </c>
      <c r="B668" s="432" t="s">
        <v>2549</v>
      </c>
      <c r="C668" s="458" t="s">
        <v>522</v>
      </c>
      <c r="D668" s="454">
        <v>20000</v>
      </c>
      <c r="E668" s="434" t="s">
        <v>2550</v>
      </c>
      <c r="F668" s="432" t="s">
        <v>2551</v>
      </c>
      <c r="G668" s="432" t="s">
        <v>2552</v>
      </c>
      <c r="H668" s="432" t="s">
        <v>526</v>
      </c>
      <c r="I668" s="447"/>
      <c r="J668" s="412"/>
      <c r="K668" s="462"/>
      <c r="L668" s="311"/>
    </row>
    <row r="669" spans="1:12" ht="27">
      <c r="A669" s="318">
        <v>661</v>
      </c>
      <c r="B669" s="432" t="s">
        <v>2549</v>
      </c>
      <c r="C669" s="458" t="s">
        <v>522</v>
      </c>
      <c r="D669" s="454">
        <v>35000</v>
      </c>
      <c r="E669" s="434" t="s">
        <v>2553</v>
      </c>
      <c r="F669" s="432" t="s">
        <v>2554</v>
      </c>
      <c r="G669" s="432" t="s">
        <v>2555</v>
      </c>
      <c r="H669" s="432" t="s">
        <v>526</v>
      </c>
      <c r="I669" s="447"/>
      <c r="J669" s="412"/>
      <c r="K669" s="462"/>
      <c r="L669" s="311"/>
    </row>
    <row r="670" spans="1:12" ht="27">
      <c r="A670" s="318">
        <v>662</v>
      </c>
      <c r="B670" s="432" t="s">
        <v>2549</v>
      </c>
      <c r="C670" s="458" t="s">
        <v>522</v>
      </c>
      <c r="D670" s="454">
        <v>20000</v>
      </c>
      <c r="E670" s="434" t="s">
        <v>2556</v>
      </c>
      <c r="F670" s="432" t="s">
        <v>2557</v>
      </c>
      <c r="G670" s="432" t="s">
        <v>2558</v>
      </c>
      <c r="H670" s="432" t="s">
        <v>526</v>
      </c>
      <c r="I670" s="447"/>
      <c r="J670" s="412"/>
      <c r="K670" s="462"/>
      <c r="L670" s="311"/>
    </row>
    <row r="671" spans="1:12" ht="27">
      <c r="A671" s="318">
        <v>663</v>
      </c>
      <c r="B671" s="432" t="s">
        <v>2549</v>
      </c>
      <c r="C671" s="458" t="s">
        <v>522</v>
      </c>
      <c r="D671" s="454">
        <v>20000</v>
      </c>
      <c r="E671" s="434" t="s">
        <v>2559</v>
      </c>
      <c r="F671" s="432" t="s">
        <v>2560</v>
      </c>
      <c r="G671" s="432" t="s">
        <v>2561</v>
      </c>
      <c r="H671" s="432" t="s">
        <v>526</v>
      </c>
      <c r="I671" s="447"/>
      <c r="J671" s="412"/>
      <c r="K671" s="462"/>
      <c r="L671" s="311"/>
    </row>
    <row r="672" spans="1:12" ht="27">
      <c r="A672" s="318">
        <v>664</v>
      </c>
      <c r="B672" s="432" t="s">
        <v>2549</v>
      </c>
      <c r="C672" s="458" t="s">
        <v>522</v>
      </c>
      <c r="D672" s="454">
        <v>20000</v>
      </c>
      <c r="E672" s="434" t="s">
        <v>2562</v>
      </c>
      <c r="F672" s="432" t="s">
        <v>2563</v>
      </c>
      <c r="G672" s="432" t="s">
        <v>2564</v>
      </c>
      <c r="H672" s="432" t="s">
        <v>526</v>
      </c>
      <c r="I672" s="447"/>
      <c r="J672" s="412"/>
      <c r="K672" s="462"/>
      <c r="L672" s="311"/>
    </row>
    <row r="673" spans="1:12" ht="27">
      <c r="A673" s="318">
        <v>665</v>
      </c>
      <c r="B673" s="432" t="s">
        <v>2549</v>
      </c>
      <c r="C673" s="458" t="s">
        <v>522</v>
      </c>
      <c r="D673" s="454">
        <v>60000</v>
      </c>
      <c r="E673" s="434" t="s">
        <v>2565</v>
      </c>
      <c r="F673" s="432" t="s">
        <v>2566</v>
      </c>
      <c r="G673" s="432" t="s">
        <v>2567</v>
      </c>
      <c r="H673" s="432" t="s">
        <v>526</v>
      </c>
      <c r="I673" s="447"/>
      <c r="J673" s="412"/>
      <c r="K673" s="462"/>
      <c r="L673" s="311"/>
    </row>
    <row r="674" spans="1:12" ht="27">
      <c r="A674" s="318">
        <v>666</v>
      </c>
      <c r="B674" s="432" t="s">
        <v>2549</v>
      </c>
      <c r="C674" s="458" t="s">
        <v>522</v>
      </c>
      <c r="D674" s="454">
        <v>5000</v>
      </c>
      <c r="E674" s="434" t="s">
        <v>2568</v>
      </c>
      <c r="F674" s="432" t="s">
        <v>2569</v>
      </c>
      <c r="G674" s="432" t="s">
        <v>2570</v>
      </c>
      <c r="H674" s="432" t="s">
        <v>526</v>
      </c>
      <c r="I674" s="447"/>
      <c r="J674" s="412"/>
      <c r="K674" s="462"/>
      <c r="L674" s="311"/>
    </row>
    <row r="675" spans="1:12" ht="27">
      <c r="A675" s="318">
        <v>667</v>
      </c>
      <c r="B675" s="432" t="s">
        <v>2549</v>
      </c>
      <c r="C675" s="458" t="s">
        <v>522</v>
      </c>
      <c r="D675" s="454">
        <v>60000</v>
      </c>
      <c r="E675" s="434" t="s">
        <v>2571</v>
      </c>
      <c r="F675" s="432" t="s">
        <v>2572</v>
      </c>
      <c r="G675" s="432" t="s">
        <v>2573</v>
      </c>
      <c r="H675" s="432" t="s">
        <v>526</v>
      </c>
      <c r="I675" s="447"/>
      <c r="J675" s="412"/>
      <c r="K675" s="462"/>
      <c r="L675" s="311"/>
    </row>
    <row r="676" spans="1:12" ht="27">
      <c r="A676" s="318">
        <v>668</v>
      </c>
      <c r="B676" s="432" t="s">
        <v>2549</v>
      </c>
      <c r="C676" s="458" t="s">
        <v>522</v>
      </c>
      <c r="D676" s="454">
        <v>60000</v>
      </c>
      <c r="E676" s="434" t="s">
        <v>2574</v>
      </c>
      <c r="F676" s="432" t="s">
        <v>2575</v>
      </c>
      <c r="G676" s="432" t="s">
        <v>2576</v>
      </c>
      <c r="H676" s="432" t="s">
        <v>526</v>
      </c>
      <c r="I676" s="447"/>
      <c r="J676" s="412"/>
      <c r="K676" s="462"/>
      <c r="L676" s="311"/>
    </row>
    <row r="677" spans="1:12" ht="27">
      <c r="A677" s="318">
        <v>669</v>
      </c>
      <c r="B677" s="432" t="s">
        <v>2549</v>
      </c>
      <c r="C677" s="458" t="s">
        <v>522</v>
      </c>
      <c r="D677" s="454">
        <v>60000</v>
      </c>
      <c r="E677" s="434" t="s">
        <v>2577</v>
      </c>
      <c r="F677" s="432" t="s">
        <v>2578</v>
      </c>
      <c r="G677" s="432" t="s">
        <v>2579</v>
      </c>
      <c r="H677" s="432" t="s">
        <v>526</v>
      </c>
      <c r="I677" s="447"/>
      <c r="J677" s="412"/>
      <c r="K677" s="462"/>
      <c r="L677" s="311"/>
    </row>
    <row r="678" spans="1:12" ht="27">
      <c r="A678" s="318">
        <v>670</v>
      </c>
      <c r="B678" s="432" t="s">
        <v>2549</v>
      </c>
      <c r="C678" s="458" t="s">
        <v>522</v>
      </c>
      <c r="D678" s="454">
        <v>60000</v>
      </c>
      <c r="E678" s="434" t="s">
        <v>2580</v>
      </c>
      <c r="F678" s="432" t="s">
        <v>2581</v>
      </c>
      <c r="G678" s="432" t="s">
        <v>2582</v>
      </c>
      <c r="H678" s="432" t="s">
        <v>526</v>
      </c>
      <c r="I678" s="447"/>
      <c r="J678" s="412"/>
      <c r="K678" s="462"/>
      <c r="L678" s="311"/>
    </row>
    <row r="679" spans="1:12" ht="27">
      <c r="A679" s="318">
        <v>671</v>
      </c>
      <c r="B679" s="432" t="s">
        <v>2549</v>
      </c>
      <c r="C679" s="458" t="s">
        <v>522</v>
      </c>
      <c r="D679" s="454">
        <v>60000</v>
      </c>
      <c r="E679" s="434" t="s">
        <v>2583</v>
      </c>
      <c r="F679" s="432" t="s">
        <v>2584</v>
      </c>
      <c r="G679" s="432" t="s">
        <v>2585</v>
      </c>
      <c r="H679" s="432" t="s">
        <v>526</v>
      </c>
      <c r="I679" s="447"/>
      <c r="J679" s="412"/>
      <c r="K679" s="462"/>
      <c r="L679" s="311"/>
    </row>
    <row r="680" spans="1:12" ht="27">
      <c r="A680" s="318">
        <v>672</v>
      </c>
      <c r="B680" s="432" t="s">
        <v>2549</v>
      </c>
      <c r="C680" s="458" t="s">
        <v>522</v>
      </c>
      <c r="D680" s="454">
        <v>30000</v>
      </c>
      <c r="E680" s="434" t="s">
        <v>2586</v>
      </c>
      <c r="F680" s="432" t="s">
        <v>2587</v>
      </c>
      <c r="G680" s="432" t="s">
        <v>2588</v>
      </c>
      <c r="H680" s="432" t="s">
        <v>526</v>
      </c>
      <c r="I680" s="447"/>
      <c r="J680" s="412"/>
      <c r="K680" s="462"/>
      <c r="L680" s="311"/>
    </row>
    <row r="681" spans="1:12" ht="27">
      <c r="A681" s="318">
        <v>673</v>
      </c>
      <c r="B681" s="432" t="s">
        <v>2549</v>
      </c>
      <c r="C681" s="458" t="s">
        <v>522</v>
      </c>
      <c r="D681" s="454">
        <v>40000</v>
      </c>
      <c r="E681" s="434" t="s">
        <v>2589</v>
      </c>
      <c r="F681" s="432" t="s">
        <v>2590</v>
      </c>
      <c r="G681" s="432" t="s">
        <v>2591</v>
      </c>
      <c r="H681" s="432" t="s">
        <v>526</v>
      </c>
      <c r="I681" s="447"/>
      <c r="J681" s="412"/>
      <c r="K681" s="462"/>
      <c r="L681" s="311"/>
    </row>
    <row r="682" spans="1:12" ht="27">
      <c r="A682" s="318">
        <v>674</v>
      </c>
      <c r="B682" s="432" t="s">
        <v>2549</v>
      </c>
      <c r="C682" s="458" t="s">
        <v>522</v>
      </c>
      <c r="D682" s="454">
        <v>30000</v>
      </c>
      <c r="E682" s="434" t="s">
        <v>2592</v>
      </c>
      <c r="F682" s="432" t="s">
        <v>2593</v>
      </c>
      <c r="G682" s="432" t="s">
        <v>2594</v>
      </c>
      <c r="H682" s="432" t="s">
        <v>526</v>
      </c>
      <c r="I682" s="447"/>
      <c r="J682" s="412"/>
      <c r="K682" s="462"/>
      <c r="L682" s="311"/>
    </row>
    <row r="683" spans="1:12" ht="27">
      <c r="A683" s="318">
        <v>675</v>
      </c>
      <c r="B683" s="432" t="s">
        <v>2549</v>
      </c>
      <c r="C683" s="458" t="s">
        <v>522</v>
      </c>
      <c r="D683" s="454">
        <v>60000</v>
      </c>
      <c r="E683" s="434" t="s">
        <v>2595</v>
      </c>
      <c r="F683" s="432" t="s">
        <v>2596</v>
      </c>
      <c r="G683" s="432" t="s">
        <v>2597</v>
      </c>
      <c r="H683" s="432" t="s">
        <v>526</v>
      </c>
      <c r="I683" s="447"/>
      <c r="J683" s="412"/>
      <c r="K683" s="462"/>
      <c r="L683" s="311"/>
    </row>
    <row r="684" spans="1:12" ht="27">
      <c r="A684" s="318">
        <v>676</v>
      </c>
      <c r="B684" s="432" t="s">
        <v>2549</v>
      </c>
      <c r="C684" s="458" t="s">
        <v>522</v>
      </c>
      <c r="D684" s="454">
        <v>10000</v>
      </c>
      <c r="E684" s="434" t="s">
        <v>2598</v>
      </c>
      <c r="F684" s="432" t="s">
        <v>2599</v>
      </c>
      <c r="G684" s="432" t="s">
        <v>2600</v>
      </c>
      <c r="H684" s="432" t="s">
        <v>526</v>
      </c>
      <c r="I684" s="447"/>
      <c r="J684" s="412"/>
      <c r="K684" s="462"/>
      <c r="L684" s="311"/>
    </row>
    <row r="685" spans="1:12" ht="27">
      <c r="A685" s="318">
        <v>677</v>
      </c>
      <c r="B685" s="432" t="s">
        <v>2549</v>
      </c>
      <c r="C685" s="458" t="s">
        <v>522</v>
      </c>
      <c r="D685" s="454">
        <v>50000</v>
      </c>
      <c r="E685" s="434" t="s">
        <v>2601</v>
      </c>
      <c r="F685" s="432" t="s">
        <v>2602</v>
      </c>
      <c r="G685" s="432" t="s">
        <v>2603</v>
      </c>
      <c r="H685" s="432" t="s">
        <v>526</v>
      </c>
      <c r="I685" s="447"/>
      <c r="J685" s="412"/>
      <c r="K685" s="462"/>
      <c r="L685" s="311"/>
    </row>
    <row r="686" spans="1:12" ht="27">
      <c r="A686" s="318">
        <v>678</v>
      </c>
      <c r="B686" s="432" t="s">
        <v>2549</v>
      </c>
      <c r="C686" s="458" t="s">
        <v>522</v>
      </c>
      <c r="D686" s="454">
        <v>20000</v>
      </c>
      <c r="E686" s="434" t="s">
        <v>2604</v>
      </c>
      <c r="F686" s="432" t="s">
        <v>2605</v>
      </c>
      <c r="G686" s="432" t="s">
        <v>2606</v>
      </c>
      <c r="H686" s="432" t="s">
        <v>526</v>
      </c>
      <c r="I686" s="447"/>
      <c r="J686" s="412"/>
      <c r="K686" s="462"/>
      <c r="L686" s="311"/>
    </row>
    <row r="687" spans="1:12" ht="27">
      <c r="A687" s="318">
        <v>679</v>
      </c>
      <c r="B687" s="432" t="s">
        <v>2549</v>
      </c>
      <c r="C687" s="458" t="s">
        <v>522</v>
      </c>
      <c r="D687" s="454">
        <v>50000</v>
      </c>
      <c r="E687" s="434" t="s">
        <v>2607</v>
      </c>
      <c r="F687" s="432" t="s">
        <v>2608</v>
      </c>
      <c r="G687" s="432" t="s">
        <v>2609</v>
      </c>
      <c r="H687" s="432" t="s">
        <v>526</v>
      </c>
      <c r="I687" s="447"/>
      <c r="J687" s="412"/>
      <c r="K687" s="462"/>
      <c r="L687" s="311"/>
    </row>
    <row r="688" spans="1:12" ht="27">
      <c r="A688" s="318">
        <v>680</v>
      </c>
      <c r="B688" s="432" t="s">
        <v>2549</v>
      </c>
      <c r="C688" s="458" t="s">
        <v>522</v>
      </c>
      <c r="D688" s="454">
        <v>60000</v>
      </c>
      <c r="E688" s="434" t="s">
        <v>2610</v>
      </c>
      <c r="F688" s="432" t="s">
        <v>2611</v>
      </c>
      <c r="G688" s="432" t="s">
        <v>2612</v>
      </c>
      <c r="H688" s="432" t="s">
        <v>526</v>
      </c>
      <c r="I688" s="447"/>
      <c r="J688" s="412"/>
      <c r="K688" s="462"/>
      <c r="L688" s="311"/>
    </row>
    <row r="689" spans="1:12" ht="27">
      <c r="A689" s="318">
        <v>681</v>
      </c>
      <c r="B689" s="432" t="s">
        <v>2549</v>
      </c>
      <c r="C689" s="458" t="s">
        <v>522</v>
      </c>
      <c r="D689" s="454">
        <v>60000</v>
      </c>
      <c r="E689" s="434" t="s">
        <v>2613</v>
      </c>
      <c r="F689" s="432" t="s">
        <v>2614</v>
      </c>
      <c r="G689" s="432" t="s">
        <v>2615</v>
      </c>
      <c r="H689" s="432" t="s">
        <v>526</v>
      </c>
      <c r="I689" s="447"/>
      <c r="J689" s="412"/>
      <c r="K689" s="462"/>
      <c r="L689" s="311"/>
    </row>
    <row r="690" spans="1:12" ht="27">
      <c r="A690" s="318">
        <v>682</v>
      </c>
      <c r="B690" s="432" t="s">
        <v>2616</v>
      </c>
      <c r="C690" s="458" t="s">
        <v>522</v>
      </c>
      <c r="D690" s="454">
        <v>2000</v>
      </c>
      <c r="E690" s="434" t="s">
        <v>2617</v>
      </c>
      <c r="F690" s="432" t="s">
        <v>2618</v>
      </c>
      <c r="G690" s="432" t="s">
        <v>2619</v>
      </c>
      <c r="H690" s="432" t="s">
        <v>1758</v>
      </c>
      <c r="I690" s="447"/>
      <c r="J690" s="412"/>
      <c r="K690" s="462"/>
      <c r="L690" s="311"/>
    </row>
    <row r="691" spans="1:12" ht="27">
      <c r="A691" s="318">
        <v>683</v>
      </c>
      <c r="B691" s="432" t="s">
        <v>2616</v>
      </c>
      <c r="C691" s="458" t="s">
        <v>522</v>
      </c>
      <c r="D691" s="454">
        <v>30000</v>
      </c>
      <c r="E691" s="434" t="s">
        <v>2620</v>
      </c>
      <c r="F691" s="432" t="s">
        <v>2621</v>
      </c>
      <c r="G691" s="432" t="s">
        <v>2622</v>
      </c>
      <c r="H691" s="432" t="s">
        <v>526</v>
      </c>
      <c r="I691" s="447"/>
      <c r="J691" s="412"/>
      <c r="K691" s="462"/>
      <c r="L691" s="311"/>
    </row>
    <row r="692" spans="1:12" ht="27">
      <c r="A692" s="318">
        <v>684</v>
      </c>
      <c r="B692" s="432" t="s">
        <v>2616</v>
      </c>
      <c r="C692" s="458" t="s">
        <v>522</v>
      </c>
      <c r="D692" s="454">
        <v>40000</v>
      </c>
      <c r="E692" s="434" t="s">
        <v>2623</v>
      </c>
      <c r="F692" s="432" t="s">
        <v>2624</v>
      </c>
      <c r="G692" s="432" t="s">
        <v>2625</v>
      </c>
      <c r="H692" s="432" t="s">
        <v>526</v>
      </c>
      <c r="I692" s="447"/>
      <c r="J692" s="412"/>
      <c r="K692" s="462"/>
      <c r="L692" s="311"/>
    </row>
    <row r="693" spans="1:12" ht="27">
      <c r="A693" s="318">
        <v>685</v>
      </c>
      <c r="B693" s="432" t="s">
        <v>2616</v>
      </c>
      <c r="C693" s="458" t="s">
        <v>522</v>
      </c>
      <c r="D693" s="454">
        <v>20000</v>
      </c>
      <c r="E693" s="434" t="s">
        <v>2626</v>
      </c>
      <c r="F693" s="432" t="s">
        <v>2627</v>
      </c>
      <c r="G693" s="432" t="s">
        <v>2628</v>
      </c>
      <c r="H693" s="432" t="s">
        <v>526</v>
      </c>
      <c r="I693" s="447"/>
      <c r="J693" s="412"/>
      <c r="K693" s="462"/>
      <c r="L693" s="311"/>
    </row>
    <row r="694" spans="1:12" ht="27">
      <c r="A694" s="318">
        <v>686</v>
      </c>
      <c r="B694" s="432" t="s">
        <v>2616</v>
      </c>
      <c r="C694" s="458" t="s">
        <v>522</v>
      </c>
      <c r="D694" s="454">
        <v>30000</v>
      </c>
      <c r="E694" s="434" t="s">
        <v>2629</v>
      </c>
      <c r="F694" s="432" t="s">
        <v>2630</v>
      </c>
      <c r="G694" s="432" t="s">
        <v>2631</v>
      </c>
      <c r="H694" s="432" t="s">
        <v>526</v>
      </c>
      <c r="I694" s="447"/>
      <c r="J694" s="412"/>
      <c r="K694" s="462"/>
      <c r="L694" s="311"/>
    </row>
    <row r="695" spans="1:12" ht="27">
      <c r="A695" s="318">
        <v>687</v>
      </c>
      <c r="B695" s="432" t="s">
        <v>2616</v>
      </c>
      <c r="C695" s="458" t="s">
        <v>522</v>
      </c>
      <c r="D695" s="454">
        <v>50000</v>
      </c>
      <c r="E695" s="434" t="s">
        <v>2632</v>
      </c>
      <c r="F695" s="432" t="s">
        <v>2633</v>
      </c>
      <c r="G695" s="432" t="s">
        <v>2634</v>
      </c>
      <c r="H695" s="432" t="s">
        <v>526</v>
      </c>
      <c r="I695" s="447"/>
      <c r="J695" s="412"/>
      <c r="K695" s="462"/>
      <c r="L695" s="311"/>
    </row>
    <row r="696" spans="1:12" ht="27">
      <c r="A696" s="318">
        <v>688</v>
      </c>
      <c r="B696" s="432" t="s">
        <v>2616</v>
      </c>
      <c r="C696" s="458" t="s">
        <v>522</v>
      </c>
      <c r="D696" s="454">
        <v>60000</v>
      </c>
      <c r="E696" s="434" t="s">
        <v>2635</v>
      </c>
      <c r="F696" s="432" t="s">
        <v>2636</v>
      </c>
      <c r="G696" s="432" t="s">
        <v>2637</v>
      </c>
      <c r="H696" s="432" t="s">
        <v>526</v>
      </c>
      <c r="I696" s="447"/>
      <c r="J696" s="412"/>
      <c r="K696" s="462"/>
      <c r="L696" s="311"/>
    </row>
    <row r="697" spans="1:12" ht="27">
      <c r="A697" s="318">
        <v>689</v>
      </c>
      <c r="B697" s="432" t="s">
        <v>2616</v>
      </c>
      <c r="C697" s="458" t="s">
        <v>522</v>
      </c>
      <c r="D697" s="454">
        <v>60000</v>
      </c>
      <c r="E697" s="434" t="s">
        <v>2638</v>
      </c>
      <c r="F697" s="432" t="s">
        <v>2639</v>
      </c>
      <c r="G697" s="432" t="s">
        <v>2640</v>
      </c>
      <c r="H697" s="432" t="s">
        <v>526</v>
      </c>
      <c r="I697" s="447"/>
      <c r="J697" s="412"/>
      <c r="K697" s="462"/>
      <c r="L697" s="311"/>
    </row>
    <row r="698" spans="1:12" ht="27">
      <c r="A698" s="318">
        <v>690</v>
      </c>
      <c r="B698" s="432" t="s">
        <v>2616</v>
      </c>
      <c r="C698" s="458" t="s">
        <v>522</v>
      </c>
      <c r="D698" s="454">
        <v>10000</v>
      </c>
      <c r="E698" s="434" t="s">
        <v>2641</v>
      </c>
      <c r="F698" s="432" t="s">
        <v>2642</v>
      </c>
      <c r="G698" s="432" t="s">
        <v>2643</v>
      </c>
      <c r="H698" s="432" t="s">
        <v>526</v>
      </c>
      <c r="I698" s="447"/>
      <c r="J698" s="412"/>
      <c r="K698" s="462"/>
      <c r="L698" s="311"/>
    </row>
    <row r="699" spans="1:12" ht="27">
      <c r="A699" s="318">
        <v>691</v>
      </c>
      <c r="B699" s="432" t="s">
        <v>2616</v>
      </c>
      <c r="C699" s="458" t="s">
        <v>522</v>
      </c>
      <c r="D699" s="454">
        <v>10000</v>
      </c>
      <c r="E699" s="434" t="s">
        <v>2644</v>
      </c>
      <c r="F699" s="432" t="s">
        <v>2645</v>
      </c>
      <c r="G699" s="432" t="s">
        <v>2646</v>
      </c>
      <c r="H699" s="432" t="s">
        <v>526</v>
      </c>
      <c r="I699" s="447"/>
      <c r="J699" s="412"/>
      <c r="K699" s="462"/>
      <c r="L699" s="311"/>
    </row>
    <row r="700" spans="1:12" ht="27">
      <c r="A700" s="318">
        <v>692</v>
      </c>
      <c r="B700" s="432" t="s">
        <v>2616</v>
      </c>
      <c r="C700" s="458" t="s">
        <v>522</v>
      </c>
      <c r="D700" s="454">
        <v>10000</v>
      </c>
      <c r="E700" s="434" t="s">
        <v>2647</v>
      </c>
      <c r="F700" s="432" t="s">
        <v>2648</v>
      </c>
      <c r="G700" s="432" t="s">
        <v>2649</v>
      </c>
      <c r="H700" s="432" t="s">
        <v>526</v>
      </c>
      <c r="I700" s="447"/>
      <c r="J700" s="412"/>
      <c r="K700" s="462"/>
      <c r="L700" s="311"/>
    </row>
    <row r="701" spans="1:12" ht="27">
      <c r="A701" s="318">
        <v>693</v>
      </c>
      <c r="B701" s="432" t="s">
        <v>2616</v>
      </c>
      <c r="C701" s="458" t="s">
        <v>522</v>
      </c>
      <c r="D701" s="454">
        <v>40000</v>
      </c>
      <c r="E701" s="434" t="s">
        <v>2650</v>
      </c>
      <c r="F701" s="432" t="s">
        <v>2651</v>
      </c>
      <c r="G701" s="432" t="s">
        <v>2652</v>
      </c>
      <c r="H701" s="432" t="s">
        <v>526</v>
      </c>
      <c r="I701" s="447"/>
      <c r="J701" s="412"/>
      <c r="K701" s="462"/>
      <c r="L701" s="311"/>
    </row>
    <row r="702" spans="1:12" ht="27">
      <c r="A702" s="318">
        <v>694</v>
      </c>
      <c r="B702" s="432" t="s">
        <v>2616</v>
      </c>
      <c r="C702" s="458" t="s">
        <v>522</v>
      </c>
      <c r="D702" s="454">
        <v>10000</v>
      </c>
      <c r="E702" s="434" t="s">
        <v>2653</v>
      </c>
      <c r="F702" s="432" t="s">
        <v>2654</v>
      </c>
      <c r="G702" s="432" t="s">
        <v>2655</v>
      </c>
      <c r="H702" s="432" t="s">
        <v>526</v>
      </c>
      <c r="I702" s="447"/>
      <c r="J702" s="412"/>
      <c r="K702" s="462"/>
      <c r="L702" s="311"/>
    </row>
    <row r="703" spans="1:12" ht="27">
      <c r="A703" s="318">
        <v>695</v>
      </c>
      <c r="B703" s="432" t="s">
        <v>2656</v>
      </c>
      <c r="C703" s="458" t="s">
        <v>522</v>
      </c>
      <c r="D703" s="454">
        <v>35000</v>
      </c>
      <c r="E703" s="434" t="s">
        <v>2657</v>
      </c>
      <c r="F703" s="432" t="s">
        <v>2658</v>
      </c>
      <c r="G703" s="432" t="s">
        <v>2659</v>
      </c>
      <c r="H703" s="432" t="s">
        <v>526</v>
      </c>
      <c r="I703" s="447"/>
      <c r="J703" s="412"/>
      <c r="K703" s="462"/>
      <c r="L703" s="311"/>
    </row>
    <row r="704" spans="1:12" ht="27">
      <c r="A704" s="318">
        <v>696</v>
      </c>
      <c r="B704" s="432" t="s">
        <v>2656</v>
      </c>
      <c r="C704" s="458" t="s">
        <v>522</v>
      </c>
      <c r="D704" s="454">
        <v>15000</v>
      </c>
      <c r="E704" s="434" t="s">
        <v>2660</v>
      </c>
      <c r="F704" s="432" t="s">
        <v>2661</v>
      </c>
      <c r="G704" s="432" t="s">
        <v>2662</v>
      </c>
      <c r="H704" s="432" t="s">
        <v>526</v>
      </c>
      <c r="I704" s="447"/>
      <c r="J704" s="412"/>
      <c r="K704" s="462"/>
      <c r="L704" s="311"/>
    </row>
    <row r="705" spans="1:12" ht="27">
      <c r="A705" s="318">
        <v>697</v>
      </c>
      <c r="B705" s="432" t="s">
        <v>2656</v>
      </c>
      <c r="C705" s="458" t="s">
        <v>522</v>
      </c>
      <c r="D705" s="454">
        <v>10000</v>
      </c>
      <c r="E705" s="434" t="s">
        <v>2663</v>
      </c>
      <c r="F705" s="432" t="s">
        <v>2664</v>
      </c>
      <c r="G705" s="432" t="s">
        <v>2665</v>
      </c>
      <c r="H705" s="432" t="s">
        <v>526</v>
      </c>
      <c r="I705" s="447"/>
      <c r="J705" s="412"/>
      <c r="K705" s="462"/>
      <c r="L705" s="311"/>
    </row>
    <row r="706" spans="1:12" ht="27">
      <c r="A706" s="318">
        <v>698</v>
      </c>
      <c r="B706" s="432" t="s">
        <v>2656</v>
      </c>
      <c r="C706" s="458" t="s">
        <v>522</v>
      </c>
      <c r="D706" s="454">
        <v>2800</v>
      </c>
      <c r="E706" s="434" t="s">
        <v>2666</v>
      </c>
      <c r="F706" s="432" t="s">
        <v>2667</v>
      </c>
      <c r="G706" s="432" t="s">
        <v>2668</v>
      </c>
      <c r="H706" s="432" t="s">
        <v>526</v>
      </c>
      <c r="I706" s="447"/>
      <c r="J706" s="412"/>
      <c r="K706" s="462"/>
      <c r="L706" s="311"/>
    </row>
    <row r="707" spans="1:12" ht="27">
      <c r="A707" s="318">
        <v>699</v>
      </c>
      <c r="B707" s="432" t="s">
        <v>2656</v>
      </c>
      <c r="C707" s="458" t="s">
        <v>522</v>
      </c>
      <c r="D707" s="454">
        <v>18000</v>
      </c>
      <c r="E707" s="434" t="s">
        <v>2669</v>
      </c>
      <c r="F707" s="432" t="s">
        <v>2670</v>
      </c>
      <c r="G707" s="432" t="s">
        <v>2671</v>
      </c>
      <c r="H707" s="432" t="s">
        <v>526</v>
      </c>
      <c r="I707" s="447"/>
      <c r="J707" s="412"/>
      <c r="K707" s="462"/>
      <c r="L707" s="311"/>
    </row>
    <row r="708" spans="1:12" ht="27">
      <c r="A708" s="318">
        <v>700</v>
      </c>
      <c r="B708" s="432" t="s">
        <v>2656</v>
      </c>
      <c r="C708" s="458" t="s">
        <v>522</v>
      </c>
      <c r="D708" s="454">
        <v>20000</v>
      </c>
      <c r="E708" s="434" t="s">
        <v>2672</v>
      </c>
      <c r="F708" s="432" t="s">
        <v>2673</v>
      </c>
      <c r="G708" s="432" t="s">
        <v>2674</v>
      </c>
      <c r="H708" s="432" t="s">
        <v>526</v>
      </c>
      <c r="I708" s="447"/>
      <c r="J708" s="412"/>
      <c r="K708" s="462"/>
      <c r="L708" s="311"/>
    </row>
    <row r="709" spans="1:12" ht="27">
      <c r="A709" s="318">
        <v>701</v>
      </c>
      <c r="B709" s="432" t="s">
        <v>2656</v>
      </c>
      <c r="C709" s="458" t="s">
        <v>522</v>
      </c>
      <c r="D709" s="455">
        <v>20000</v>
      </c>
      <c r="E709" s="448" t="s">
        <v>2675</v>
      </c>
      <c r="F709" s="432" t="s">
        <v>2676</v>
      </c>
      <c r="G709" s="432" t="s">
        <v>2677</v>
      </c>
      <c r="H709" s="432" t="s">
        <v>526</v>
      </c>
      <c r="I709" s="447"/>
      <c r="J709" s="412"/>
      <c r="K709" s="462"/>
      <c r="L709" s="311"/>
    </row>
    <row r="710" spans="1:12" ht="27">
      <c r="A710" s="318">
        <v>702</v>
      </c>
      <c r="B710" s="432" t="s">
        <v>2678</v>
      </c>
      <c r="C710" s="458" t="s">
        <v>522</v>
      </c>
      <c r="D710" s="464">
        <v>700</v>
      </c>
      <c r="E710" s="465" t="s">
        <v>2433</v>
      </c>
      <c r="F710" s="452" t="s">
        <v>2434</v>
      </c>
      <c r="G710" s="432" t="s">
        <v>2435</v>
      </c>
      <c r="H710" s="432" t="s">
        <v>526</v>
      </c>
      <c r="I710" s="447"/>
      <c r="J710" s="412"/>
      <c r="K710" s="462"/>
      <c r="L710" s="311"/>
    </row>
    <row r="711" spans="1:12" ht="27">
      <c r="A711" s="318">
        <v>703</v>
      </c>
      <c r="B711" s="432" t="s">
        <v>2678</v>
      </c>
      <c r="C711" s="458" t="s">
        <v>522</v>
      </c>
      <c r="D711" s="464">
        <v>30000</v>
      </c>
      <c r="E711" s="465" t="s">
        <v>2679</v>
      </c>
      <c r="F711" s="452" t="s">
        <v>2680</v>
      </c>
      <c r="G711" s="432" t="s">
        <v>2681</v>
      </c>
      <c r="H711" s="432" t="s">
        <v>526</v>
      </c>
      <c r="I711" s="447"/>
      <c r="J711" s="412"/>
      <c r="K711" s="462"/>
      <c r="L711" s="311"/>
    </row>
    <row r="712" spans="1:12" ht="27">
      <c r="A712" s="318">
        <v>704</v>
      </c>
      <c r="B712" s="432" t="s">
        <v>2678</v>
      </c>
      <c r="C712" s="458" t="s">
        <v>522</v>
      </c>
      <c r="D712" s="466">
        <v>10000</v>
      </c>
      <c r="E712" s="443" t="s">
        <v>2682</v>
      </c>
      <c r="F712" s="452" t="s">
        <v>2683</v>
      </c>
      <c r="G712" s="432" t="s">
        <v>2684</v>
      </c>
      <c r="H712" s="432" t="s">
        <v>526</v>
      </c>
      <c r="I712" s="447"/>
      <c r="J712" s="412"/>
      <c r="K712" s="462"/>
      <c r="L712" s="311"/>
    </row>
    <row r="713" spans="1:12" ht="27">
      <c r="A713" s="318">
        <v>705</v>
      </c>
      <c r="B713" s="432" t="s">
        <v>2678</v>
      </c>
      <c r="C713" s="458" t="s">
        <v>522</v>
      </c>
      <c r="D713" s="466">
        <v>15000</v>
      </c>
      <c r="E713" s="443" t="s">
        <v>2685</v>
      </c>
      <c r="F713" s="452" t="s">
        <v>2686</v>
      </c>
      <c r="G713" s="432" t="s">
        <v>2687</v>
      </c>
      <c r="H713" s="432" t="s">
        <v>526</v>
      </c>
      <c r="I713" s="447"/>
      <c r="J713" s="412"/>
      <c r="K713" s="462"/>
      <c r="L713" s="311"/>
    </row>
    <row r="714" spans="1:12" ht="27">
      <c r="A714" s="318">
        <v>706</v>
      </c>
      <c r="B714" s="432" t="s">
        <v>2678</v>
      </c>
      <c r="C714" s="458" t="s">
        <v>522</v>
      </c>
      <c r="D714" s="466">
        <v>10000</v>
      </c>
      <c r="E714" s="443" t="s">
        <v>2688</v>
      </c>
      <c r="F714" s="452" t="s">
        <v>2689</v>
      </c>
      <c r="G714" s="432" t="s">
        <v>2690</v>
      </c>
      <c r="H714" s="432" t="s">
        <v>526</v>
      </c>
      <c r="I714" s="447"/>
      <c r="J714" s="412"/>
      <c r="K714" s="462"/>
      <c r="L714" s="311"/>
    </row>
    <row r="715" spans="1:12" ht="27">
      <c r="A715" s="318">
        <v>707</v>
      </c>
      <c r="B715" s="432" t="s">
        <v>2678</v>
      </c>
      <c r="C715" s="458" t="s">
        <v>522</v>
      </c>
      <c r="D715" s="466">
        <v>50000</v>
      </c>
      <c r="E715" s="443" t="s">
        <v>2691</v>
      </c>
      <c r="F715" s="452" t="s">
        <v>2692</v>
      </c>
      <c r="G715" s="432" t="s">
        <v>2693</v>
      </c>
      <c r="H715" s="432" t="s">
        <v>526</v>
      </c>
      <c r="I715" s="447"/>
      <c r="J715" s="412"/>
      <c r="K715" s="462"/>
      <c r="L715" s="311"/>
    </row>
    <row r="716" spans="1:12" ht="27">
      <c r="A716" s="318">
        <v>708</v>
      </c>
      <c r="B716" s="432" t="s">
        <v>2678</v>
      </c>
      <c r="C716" s="458" t="s">
        <v>522</v>
      </c>
      <c r="D716" s="466">
        <v>500</v>
      </c>
      <c r="E716" s="443" t="s">
        <v>2694</v>
      </c>
      <c r="F716" s="452" t="s">
        <v>2695</v>
      </c>
      <c r="G716" s="432" t="s">
        <v>2696</v>
      </c>
      <c r="H716" s="432" t="s">
        <v>1758</v>
      </c>
      <c r="I716" s="447"/>
      <c r="J716" s="412"/>
      <c r="K716" s="462"/>
      <c r="L716" s="311"/>
    </row>
    <row r="717" spans="1:12" ht="27">
      <c r="A717" s="318">
        <v>709</v>
      </c>
      <c r="B717" s="432" t="s">
        <v>2678</v>
      </c>
      <c r="C717" s="458" t="s">
        <v>522</v>
      </c>
      <c r="D717" s="466">
        <v>5000</v>
      </c>
      <c r="E717" s="443" t="s">
        <v>2697</v>
      </c>
      <c r="F717" s="452" t="s">
        <v>2698</v>
      </c>
      <c r="G717" s="432" t="s">
        <v>2699</v>
      </c>
      <c r="H717" s="432" t="s">
        <v>526</v>
      </c>
      <c r="I717" s="447"/>
      <c r="J717" s="412"/>
      <c r="K717" s="462"/>
      <c r="L717" s="311"/>
    </row>
    <row r="718" spans="1:12" ht="27">
      <c r="A718" s="318">
        <v>710</v>
      </c>
      <c r="B718" s="432" t="s">
        <v>2678</v>
      </c>
      <c r="C718" s="458" t="s">
        <v>522</v>
      </c>
      <c r="D718" s="466">
        <v>2000</v>
      </c>
      <c r="E718" s="443" t="s">
        <v>2700</v>
      </c>
      <c r="F718" s="452" t="s">
        <v>2701</v>
      </c>
      <c r="G718" s="432" t="s">
        <v>2702</v>
      </c>
      <c r="H718" s="432" t="s">
        <v>526</v>
      </c>
      <c r="I718" s="447"/>
      <c r="J718" s="412"/>
      <c r="K718" s="462"/>
      <c r="L718" s="311"/>
    </row>
    <row r="719" spans="1:12" ht="27">
      <c r="A719" s="318">
        <v>711</v>
      </c>
      <c r="B719" s="432" t="s">
        <v>2678</v>
      </c>
      <c r="C719" s="458" t="s">
        <v>522</v>
      </c>
      <c r="D719" s="466">
        <v>2700</v>
      </c>
      <c r="E719" s="443" t="s">
        <v>2703</v>
      </c>
      <c r="F719" s="452" t="s">
        <v>2704</v>
      </c>
      <c r="G719" s="432" t="s">
        <v>2705</v>
      </c>
      <c r="H719" s="432" t="s">
        <v>526</v>
      </c>
      <c r="I719" s="447"/>
      <c r="J719" s="412"/>
      <c r="K719" s="462"/>
      <c r="L719" s="311"/>
    </row>
    <row r="720" spans="1:12" ht="27">
      <c r="A720" s="318">
        <v>712</v>
      </c>
      <c r="B720" s="432" t="s">
        <v>2678</v>
      </c>
      <c r="C720" s="458" t="s">
        <v>522</v>
      </c>
      <c r="D720" s="466">
        <v>1875</v>
      </c>
      <c r="E720" s="443" t="s">
        <v>2706</v>
      </c>
      <c r="F720" s="452" t="s">
        <v>2707</v>
      </c>
      <c r="G720" s="432" t="s">
        <v>2708</v>
      </c>
      <c r="H720" s="432" t="s">
        <v>526</v>
      </c>
      <c r="I720" s="447"/>
      <c r="J720" s="412"/>
      <c r="K720" s="462"/>
      <c r="L720" s="311"/>
    </row>
    <row r="721" spans="1:12" ht="27">
      <c r="A721" s="318">
        <v>713</v>
      </c>
      <c r="B721" s="397" t="s">
        <v>2709</v>
      </c>
      <c r="C721" s="467" t="s">
        <v>522</v>
      </c>
      <c r="D721" s="466">
        <v>40000</v>
      </c>
      <c r="E721" s="468" t="s">
        <v>2710</v>
      </c>
      <c r="F721" s="398" t="s">
        <v>2711</v>
      </c>
      <c r="G721" s="397" t="s">
        <v>2712</v>
      </c>
      <c r="H721" s="397" t="s">
        <v>526</v>
      </c>
      <c r="I721" s="447"/>
      <c r="J721" s="412"/>
      <c r="K721" s="462"/>
      <c r="L721" s="311"/>
    </row>
    <row r="722" spans="1:12" ht="27">
      <c r="A722" s="318">
        <v>714</v>
      </c>
      <c r="B722" s="397" t="s">
        <v>2709</v>
      </c>
      <c r="C722" s="467" t="s">
        <v>522</v>
      </c>
      <c r="D722" s="466">
        <v>35000</v>
      </c>
      <c r="E722" s="468" t="s">
        <v>2713</v>
      </c>
      <c r="F722" s="398" t="s">
        <v>2714</v>
      </c>
      <c r="G722" s="397" t="s">
        <v>2715</v>
      </c>
      <c r="H722" s="397" t="s">
        <v>526</v>
      </c>
      <c r="I722" s="447"/>
      <c r="J722" s="412"/>
      <c r="K722" s="462"/>
      <c r="L722" s="311"/>
    </row>
    <row r="723" spans="1:12" ht="27">
      <c r="A723" s="318">
        <v>715</v>
      </c>
      <c r="B723" s="397" t="s">
        <v>2709</v>
      </c>
      <c r="C723" s="467" t="s">
        <v>522</v>
      </c>
      <c r="D723" s="466">
        <v>50000</v>
      </c>
      <c r="E723" s="468" t="s">
        <v>2716</v>
      </c>
      <c r="F723" s="398" t="s">
        <v>1323</v>
      </c>
      <c r="G723" s="397" t="s">
        <v>2717</v>
      </c>
      <c r="H723" s="397" t="s">
        <v>526</v>
      </c>
      <c r="I723" s="447"/>
      <c r="J723" s="412"/>
      <c r="K723" s="462"/>
      <c r="L723" s="311"/>
    </row>
    <row r="724" spans="1:12" ht="27">
      <c r="A724" s="318">
        <v>716</v>
      </c>
      <c r="B724" s="397" t="s">
        <v>2709</v>
      </c>
      <c r="C724" s="467" t="s">
        <v>522</v>
      </c>
      <c r="D724" s="466">
        <v>50000</v>
      </c>
      <c r="E724" s="468" t="s">
        <v>2718</v>
      </c>
      <c r="F724" s="398" t="s">
        <v>2719</v>
      </c>
      <c r="G724" s="397" t="s">
        <v>2720</v>
      </c>
      <c r="H724" s="397" t="s">
        <v>526</v>
      </c>
      <c r="I724" s="447"/>
      <c r="J724" s="412"/>
      <c r="K724" s="462"/>
      <c r="L724" s="311"/>
    </row>
    <row r="725" spans="1:12" ht="27">
      <c r="A725" s="318">
        <v>717</v>
      </c>
      <c r="B725" s="397" t="s">
        <v>2709</v>
      </c>
      <c r="C725" s="467" t="s">
        <v>522</v>
      </c>
      <c r="D725" s="466">
        <v>17950</v>
      </c>
      <c r="E725" s="468" t="s">
        <v>2271</v>
      </c>
      <c r="F725" s="398" t="s">
        <v>2272</v>
      </c>
      <c r="G725" s="397" t="s">
        <v>2273</v>
      </c>
      <c r="H725" s="397" t="s">
        <v>526</v>
      </c>
      <c r="I725" s="447"/>
      <c r="J725" s="412"/>
      <c r="K725" s="462"/>
      <c r="L725" s="311"/>
    </row>
    <row r="726" spans="1:12" ht="27">
      <c r="A726" s="318">
        <v>718</v>
      </c>
      <c r="B726" s="397" t="s">
        <v>2709</v>
      </c>
      <c r="C726" s="467" t="s">
        <v>522</v>
      </c>
      <c r="D726" s="466">
        <v>40000</v>
      </c>
      <c r="E726" s="468" t="s">
        <v>2721</v>
      </c>
      <c r="F726" s="398" t="s">
        <v>2722</v>
      </c>
      <c r="G726" s="397" t="s">
        <v>2723</v>
      </c>
      <c r="H726" s="397" t="s">
        <v>526</v>
      </c>
      <c r="I726" s="447"/>
      <c r="J726" s="412"/>
      <c r="K726" s="462"/>
      <c r="L726" s="311"/>
    </row>
    <row r="727" spans="1:12" ht="27">
      <c r="A727" s="318">
        <v>719</v>
      </c>
      <c r="B727" s="397" t="s">
        <v>2709</v>
      </c>
      <c r="C727" s="467" t="s">
        <v>522</v>
      </c>
      <c r="D727" s="466">
        <v>50000</v>
      </c>
      <c r="E727" s="468" t="s">
        <v>2724</v>
      </c>
      <c r="F727" s="398" t="s">
        <v>2725</v>
      </c>
      <c r="G727" s="397" t="s">
        <v>2726</v>
      </c>
      <c r="H727" s="397" t="s">
        <v>526</v>
      </c>
      <c r="I727" s="447"/>
      <c r="J727" s="412"/>
      <c r="K727" s="462"/>
      <c r="L727" s="311"/>
    </row>
    <row r="728" spans="1:12" ht="27">
      <c r="A728" s="318">
        <v>720</v>
      </c>
      <c r="B728" s="397" t="s">
        <v>2709</v>
      </c>
      <c r="C728" s="467" t="s">
        <v>522</v>
      </c>
      <c r="D728" s="466">
        <v>55000</v>
      </c>
      <c r="E728" s="468" t="s">
        <v>2727</v>
      </c>
      <c r="F728" s="398" t="s">
        <v>2728</v>
      </c>
      <c r="G728" s="397" t="s">
        <v>2729</v>
      </c>
      <c r="H728" s="397" t="s">
        <v>526</v>
      </c>
      <c r="I728" s="447"/>
      <c r="J728" s="412"/>
      <c r="K728" s="462"/>
      <c r="L728" s="311"/>
    </row>
    <row r="729" spans="1:12" ht="27">
      <c r="A729" s="318">
        <v>721</v>
      </c>
      <c r="B729" s="397" t="s">
        <v>2709</v>
      </c>
      <c r="C729" s="467" t="s">
        <v>522</v>
      </c>
      <c r="D729" s="466">
        <v>35000</v>
      </c>
      <c r="E729" s="468" t="s">
        <v>2730</v>
      </c>
      <c r="F729" s="398" t="s">
        <v>2731</v>
      </c>
      <c r="G729" s="397" t="s">
        <v>2732</v>
      </c>
      <c r="H729" s="397" t="s">
        <v>526</v>
      </c>
      <c r="I729" s="447"/>
      <c r="J729" s="412"/>
      <c r="K729" s="462"/>
      <c r="L729" s="311"/>
    </row>
    <row r="730" spans="1:12" ht="27">
      <c r="A730" s="318">
        <v>722</v>
      </c>
      <c r="B730" s="397" t="s">
        <v>2709</v>
      </c>
      <c r="C730" s="467" t="s">
        <v>522</v>
      </c>
      <c r="D730" s="466">
        <v>8000</v>
      </c>
      <c r="E730" s="468" t="s">
        <v>2314</v>
      </c>
      <c r="F730" s="398" t="s">
        <v>2315</v>
      </c>
      <c r="G730" s="397" t="s">
        <v>2316</v>
      </c>
      <c r="H730" s="397" t="s">
        <v>526</v>
      </c>
      <c r="I730" s="447"/>
      <c r="J730" s="412"/>
      <c r="K730" s="462"/>
      <c r="L730" s="311"/>
    </row>
    <row r="731" spans="1:12" ht="27">
      <c r="A731" s="318">
        <v>723</v>
      </c>
      <c r="B731" s="397" t="s">
        <v>2709</v>
      </c>
      <c r="C731" s="467" t="s">
        <v>522</v>
      </c>
      <c r="D731" s="466">
        <v>50</v>
      </c>
      <c r="E731" s="468" t="s">
        <v>2694</v>
      </c>
      <c r="F731" s="398" t="s">
        <v>2695</v>
      </c>
      <c r="G731" s="397" t="s">
        <v>2696</v>
      </c>
      <c r="H731" s="397" t="s">
        <v>1758</v>
      </c>
      <c r="I731" s="447"/>
      <c r="J731" s="412"/>
      <c r="K731" s="462"/>
      <c r="L731" s="311"/>
    </row>
    <row r="732" spans="1:12" ht="27">
      <c r="A732" s="318">
        <v>724</v>
      </c>
      <c r="B732" s="397" t="s">
        <v>2709</v>
      </c>
      <c r="C732" s="467" t="s">
        <v>522</v>
      </c>
      <c r="D732" s="466">
        <v>35000</v>
      </c>
      <c r="E732" s="468" t="s">
        <v>2733</v>
      </c>
      <c r="F732" s="398" t="s">
        <v>2734</v>
      </c>
      <c r="G732" s="397" t="s">
        <v>2735</v>
      </c>
      <c r="H732" s="397" t="s">
        <v>526</v>
      </c>
      <c r="I732" s="447"/>
      <c r="J732" s="412"/>
      <c r="K732" s="462"/>
      <c r="L732" s="311"/>
    </row>
    <row r="733" spans="1:12" ht="27">
      <c r="A733" s="318">
        <v>725</v>
      </c>
      <c r="B733" s="397" t="s">
        <v>2709</v>
      </c>
      <c r="C733" s="467" t="s">
        <v>522</v>
      </c>
      <c r="D733" s="466">
        <v>60000</v>
      </c>
      <c r="E733" s="468" t="s">
        <v>2736</v>
      </c>
      <c r="F733" s="398" t="s">
        <v>2737</v>
      </c>
      <c r="G733" s="397" t="s">
        <v>2738</v>
      </c>
      <c r="H733" s="397" t="s">
        <v>526</v>
      </c>
      <c r="I733" s="447"/>
      <c r="J733" s="412"/>
      <c r="K733" s="462"/>
      <c r="L733" s="311"/>
    </row>
    <row r="734" spans="1:12" ht="27">
      <c r="A734" s="318">
        <v>726</v>
      </c>
      <c r="B734" s="397" t="s">
        <v>2709</v>
      </c>
      <c r="C734" s="467" t="s">
        <v>522</v>
      </c>
      <c r="D734" s="466">
        <v>50000</v>
      </c>
      <c r="E734" s="468" t="s">
        <v>2739</v>
      </c>
      <c r="F734" s="398" t="s">
        <v>2740</v>
      </c>
      <c r="G734" s="397" t="s">
        <v>2741</v>
      </c>
      <c r="H734" s="397" t="s">
        <v>526</v>
      </c>
      <c r="I734" s="447"/>
      <c r="J734" s="412"/>
      <c r="K734" s="462"/>
      <c r="L734" s="311"/>
    </row>
    <row r="735" spans="1:12" ht="27">
      <c r="A735" s="318">
        <v>727</v>
      </c>
      <c r="B735" s="397" t="s">
        <v>2709</v>
      </c>
      <c r="C735" s="467" t="s">
        <v>522</v>
      </c>
      <c r="D735" s="466">
        <v>50000</v>
      </c>
      <c r="E735" s="468" t="s">
        <v>2742</v>
      </c>
      <c r="F735" s="398" t="s">
        <v>2743</v>
      </c>
      <c r="G735" s="397" t="s">
        <v>2744</v>
      </c>
      <c r="H735" s="397" t="s">
        <v>526</v>
      </c>
      <c r="I735" s="447"/>
      <c r="J735" s="412"/>
      <c r="K735" s="462"/>
      <c r="L735" s="311"/>
    </row>
    <row r="736" spans="1:12" ht="27">
      <c r="A736" s="318">
        <v>728</v>
      </c>
      <c r="B736" s="397" t="s">
        <v>2709</v>
      </c>
      <c r="C736" s="467" t="s">
        <v>522</v>
      </c>
      <c r="D736" s="466">
        <v>30000</v>
      </c>
      <c r="E736" s="468" t="s">
        <v>2745</v>
      </c>
      <c r="F736" s="398" t="s">
        <v>2746</v>
      </c>
      <c r="G736" s="397" t="s">
        <v>2747</v>
      </c>
      <c r="H736" s="397" t="s">
        <v>526</v>
      </c>
      <c r="I736" s="447"/>
      <c r="J736" s="412"/>
      <c r="K736" s="462"/>
      <c r="L736" s="311"/>
    </row>
    <row r="737" spans="1:12" ht="27">
      <c r="A737" s="318">
        <v>729</v>
      </c>
      <c r="B737" s="397" t="s">
        <v>2709</v>
      </c>
      <c r="C737" s="467" t="s">
        <v>522</v>
      </c>
      <c r="D737" s="466">
        <v>7000</v>
      </c>
      <c r="E737" s="468" t="s">
        <v>2748</v>
      </c>
      <c r="F737" s="398" t="s">
        <v>2749</v>
      </c>
      <c r="G737" s="397" t="s">
        <v>2750</v>
      </c>
      <c r="H737" s="397" t="s">
        <v>526</v>
      </c>
      <c r="I737" s="447"/>
      <c r="J737" s="412"/>
      <c r="K737" s="462"/>
      <c r="L737" s="311"/>
    </row>
    <row r="738" spans="1:12" ht="27">
      <c r="A738" s="318">
        <v>730</v>
      </c>
      <c r="B738" s="397" t="s">
        <v>2751</v>
      </c>
      <c r="C738" s="467" t="s">
        <v>522</v>
      </c>
      <c r="D738" s="466">
        <v>3000</v>
      </c>
      <c r="E738" s="468" t="s">
        <v>2752</v>
      </c>
      <c r="F738" s="398" t="s">
        <v>2753</v>
      </c>
      <c r="G738" s="397" t="s">
        <v>2754</v>
      </c>
      <c r="H738" s="397" t="s">
        <v>526</v>
      </c>
      <c r="I738" s="447"/>
      <c r="J738" s="412"/>
      <c r="K738" s="462"/>
      <c r="L738" s="311"/>
    </row>
    <row r="739" spans="1:12" ht="27">
      <c r="A739" s="318">
        <v>731</v>
      </c>
      <c r="B739" s="397" t="s">
        <v>2751</v>
      </c>
      <c r="C739" s="467" t="s">
        <v>522</v>
      </c>
      <c r="D739" s="466">
        <v>5000</v>
      </c>
      <c r="E739" s="468" t="s">
        <v>2755</v>
      </c>
      <c r="F739" s="398" t="s">
        <v>2756</v>
      </c>
      <c r="G739" s="397" t="s">
        <v>2757</v>
      </c>
      <c r="H739" s="397" t="s">
        <v>526</v>
      </c>
      <c r="I739" s="447"/>
      <c r="J739" s="412"/>
      <c r="K739" s="462"/>
      <c r="L739" s="311"/>
    </row>
    <row r="740" spans="1:12" ht="27">
      <c r="A740" s="318">
        <v>732</v>
      </c>
      <c r="B740" s="397" t="s">
        <v>2751</v>
      </c>
      <c r="C740" s="467" t="s">
        <v>522</v>
      </c>
      <c r="D740" s="466">
        <v>8000</v>
      </c>
      <c r="E740" s="468" t="s">
        <v>2758</v>
      </c>
      <c r="F740" s="398" t="s">
        <v>2759</v>
      </c>
      <c r="G740" s="397" t="s">
        <v>2760</v>
      </c>
      <c r="H740" s="397" t="s">
        <v>526</v>
      </c>
      <c r="I740" s="447"/>
      <c r="J740" s="412"/>
      <c r="K740" s="462"/>
      <c r="L740" s="311"/>
    </row>
    <row r="741" spans="1:12" ht="27">
      <c r="A741" s="318">
        <v>733</v>
      </c>
      <c r="B741" s="397" t="s">
        <v>2751</v>
      </c>
      <c r="C741" s="467" t="s">
        <v>522</v>
      </c>
      <c r="D741" s="466">
        <v>30000</v>
      </c>
      <c r="E741" s="468" t="s">
        <v>2761</v>
      </c>
      <c r="F741" s="398" t="s">
        <v>2762</v>
      </c>
      <c r="G741" s="397" t="s">
        <v>2763</v>
      </c>
      <c r="H741" s="397" t="s">
        <v>526</v>
      </c>
      <c r="I741" s="447"/>
      <c r="J741" s="412"/>
      <c r="K741" s="462"/>
      <c r="L741" s="311"/>
    </row>
    <row r="742" spans="1:12" ht="27">
      <c r="A742" s="318">
        <v>734</v>
      </c>
      <c r="B742" s="397" t="s">
        <v>2751</v>
      </c>
      <c r="C742" s="467" t="s">
        <v>522</v>
      </c>
      <c r="D742" s="466">
        <v>60000</v>
      </c>
      <c r="E742" s="468" t="s">
        <v>2764</v>
      </c>
      <c r="F742" s="398" t="s">
        <v>2765</v>
      </c>
      <c r="G742" s="397" t="s">
        <v>2766</v>
      </c>
      <c r="H742" s="397" t="s">
        <v>526</v>
      </c>
      <c r="I742" s="447"/>
      <c r="J742" s="412"/>
      <c r="K742" s="462"/>
      <c r="L742" s="311"/>
    </row>
    <row r="743" spans="1:12" ht="27">
      <c r="A743" s="318">
        <v>735</v>
      </c>
      <c r="B743" s="397" t="s">
        <v>2751</v>
      </c>
      <c r="C743" s="467" t="s">
        <v>522</v>
      </c>
      <c r="D743" s="466">
        <v>30000</v>
      </c>
      <c r="E743" s="468" t="s">
        <v>2767</v>
      </c>
      <c r="F743" s="398" t="s">
        <v>2768</v>
      </c>
      <c r="G743" s="397" t="s">
        <v>2769</v>
      </c>
      <c r="H743" s="397" t="s">
        <v>526</v>
      </c>
      <c r="I743" s="447"/>
      <c r="J743" s="412"/>
      <c r="K743" s="462"/>
      <c r="L743" s="311"/>
    </row>
    <row r="744" spans="1:12" ht="27">
      <c r="A744" s="318">
        <v>736</v>
      </c>
      <c r="B744" s="397" t="s">
        <v>2751</v>
      </c>
      <c r="C744" s="467" t="s">
        <v>522</v>
      </c>
      <c r="D744" s="466">
        <v>45000</v>
      </c>
      <c r="E744" s="468" t="s">
        <v>2770</v>
      </c>
      <c r="F744" s="398" t="s">
        <v>2771</v>
      </c>
      <c r="G744" s="397" t="s">
        <v>2772</v>
      </c>
      <c r="H744" s="397" t="s">
        <v>526</v>
      </c>
      <c r="I744" s="447"/>
      <c r="J744" s="412"/>
      <c r="K744" s="462"/>
      <c r="L744" s="311"/>
    </row>
    <row r="745" spans="1:12" ht="27">
      <c r="A745" s="318">
        <v>737</v>
      </c>
      <c r="B745" s="397" t="s">
        <v>2751</v>
      </c>
      <c r="C745" s="467" t="s">
        <v>522</v>
      </c>
      <c r="D745" s="466">
        <v>10000</v>
      </c>
      <c r="E745" s="468" t="s">
        <v>2773</v>
      </c>
      <c r="F745" s="398" t="s">
        <v>2774</v>
      </c>
      <c r="G745" s="397" t="s">
        <v>2775</v>
      </c>
      <c r="H745" s="397" t="s">
        <v>526</v>
      </c>
      <c r="I745" s="447"/>
      <c r="J745" s="412"/>
      <c r="K745" s="462"/>
      <c r="L745" s="311"/>
    </row>
    <row r="746" spans="1:12" ht="27">
      <c r="A746" s="318">
        <v>738</v>
      </c>
      <c r="B746" s="397" t="s">
        <v>2751</v>
      </c>
      <c r="C746" s="467" t="s">
        <v>522</v>
      </c>
      <c r="D746" s="466">
        <v>50000</v>
      </c>
      <c r="E746" s="468" t="s">
        <v>2776</v>
      </c>
      <c r="F746" s="398" t="s">
        <v>2777</v>
      </c>
      <c r="G746" s="397" t="s">
        <v>2778</v>
      </c>
      <c r="H746" s="397" t="s">
        <v>526</v>
      </c>
      <c r="I746" s="447"/>
      <c r="J746" s="412"/>
      <c r="K746" s="462"/>
      <c r="L746" s="311"/>
    </row>
    <row r="747" spans="1:12" ht="27">
      <c r="A747" s="318">
        <v>739</v>
      </c>
      <c r="B747" s="397" t="s">
        <v>2751</v>
      </c>
      <c r="C747" s="467" t="s">
        <v>522</v>
      </c>
      <c r="D747" s="466">
        <v>25000</v>
      </c>
      <c r="E747" s="468" t="s">
        <v>2779</v>
      </c>
      <c r="F747" s="398" t="s">
        <v>2780</v>
      </c>
      <c r="G747" s="397" t="s">
        <v>2781</v>
      </c>
      <c r="H747" s="397" t="s">
        <v>526</v>
      </c>
      <c r="I747" s="447"/>
      <c r="J747" s="412"/>
      <c r="K747" s="462"/>
      <c r="L747" s="311"/>
    </row>
    <row r="748" spans="1:12" ht="27">
      <c r="A748" s="318">
        <v>740</v>
      </c>
      <c r="B748" s="397" t="s">
        <v>2751</v>
      </c>
      <c r="C748" s="467" t="s">
        <v>522</v>
      </c>
      <c r="D748" s="466">
        <v>55000</v>
      </c>
      <c r="E748" s="468" t="s">
        <v>2782</v>
      </c>
      <c r="F748" s="398" t="s">
        <v>2783</v>
      </c>
      <c r="G748" s="397" t="s">
        <v>2784</v>
      </c>
      <c r="H748" s="397" t="s">
        <v>526</v>
      </c>
      <c r="I748" s="447"/>
      <c r="J748" s="412"/>
      <c r="K748" s="462"/>
      <c r="L748" s="311"/>
    </row>
    <row r="749" spans="1:12" ht="27">
      <c r="A749" s="318">
        <v>741</v>
      </c>
      <c r="B749" s="397" t="s">
        <v>2751</v>
      </c>
      <c r="C749" s="467" t="s">
        <v>522</v>
      </c>
      <c r="D749" s="466">
        <v>25000</v>
      </c>
      <c r="E749" s="468" t="s">
        <v>2785</v>
      </c>
      <c r="F749" s="398" t="s">
        <v>2786</v>
      </c>
      <c r="G749" s="397" t="s">
        <v>2787</v>
      </c>
      <c r="H749" s="397" t="s">
        <v>1758</v>
      </c>
      <c r="I749" s="447"/>
      <c r="J749" s="412"/>
      <c r="K749" s="462"/>
      <c r="L749" s="311"/>
    </row>
    <row r="750" spans="1:12" ht="27">
      <c r="A750" s="318">
        <v>742</v>
      </c>
      <c r="B750" s="397" t="s">
        <v>2788</v>
      </c>
      <c r="C750" s="467" t="s">
        <v>522</v>
      </c>
      <c r="D750" s="466">
        <v>35000</v>
      </c>
      <c r="E750" s="468" t="s">
        <v>2789</v>
      </c>
      <c r="F750" s="398" t="s">
        <v>2790</v>
      </c>
      <c r="G750" s="397" t="s">
        <v>2791</v>
      </c>
      <c r="H750" s="397" t="s">
        <v>526</v>
      </c>
      <c r="I750" s="447"/>
      <c r="J750" s="412"/>
      <c r="K750" s="462"/>
      <c r="L750" s="311"/>
    </row>
    <row r="751" spans="1:12" ht="27">
      <c r="A751" s="318">
        <v>743</v>
      </c>
      <c r="B751" s="397" t="s">
        <v>2788</v>
      </c>
      <c r="C751" s="467" t="s">
        <v>522</v>
      </c>
      <c r="D751" s="466">
        <v>33000</v>
      </c>
      <c r="E751" s="468" t="s">
        <v>2792</v>
      </c>
      <c r="F751" s="398" t="s">
        <v>2793</v>
      </c>
      <c r="G751" s="397" t="s">
        <v>2794</v>
      </c>
      <c r="H751" s="397" t="s">
        <v>526</v>
      </c>
      <c r="I751" s="447"/>
      <c r="J751" s="412"/>
      <c r="K751" s="462"/>
      <c r="L751" s="311"/>
    </row>
    <row r="752" spans="1:12" ht="27">
      <c r="A752" s="318">
        <v>744</v>
      </c>
      <c r="B752" s="397" t="s">
        <v>2788</v>
      </c>
      <c r="C752" s="467" t="s">
        <v>522</v>
      </c>
      <c r="D752" s="466">
        <v>58000</v>
      </c>
      <c r="E752" s="468" t="s">
        <v>2795</v>
      </c>
      <c r="F752" s="398" t="s">
        <v>2796</v>
      </c>
      <c r="G752" s="397" t="s">
        <v>2797</v>
      </c>
      <c r="H752" s="397" t="s">
        <v>526</v>
      </c>
      <c r="I752" s="447"/>
      <c r="J752" s="412"/>
      <c r="K752" s="462"/>
      <c r="L752" s="311"/>
    </row>
    <row r="753" spans="1:12" ht="27">
      <c r="A753" s="318">
        <v>745</v>
      </c>
      <c r="B753" s="397" t="s">
        <v>2788</v>
      </c>
      <c r="C753" s="467" t="s">
        <v>522</v>
      </c>
      <c r="D753" s="466">
        <v>5000</v>
      </c>
      <c r="E753" s="468" t="s">
        <v>2798</v>
      </c>
      <c r="F753" s="398" t="s">
        <v>2799</v>
      </c>
      <c r="G753" s="397" t="s">
        <v>2800</v>
      </c>
      <c r="H753" s="397" t="s">
        <v>526</v>
      </c>
      <c r="I753" s="447"/>
      <c r="J753" s="412"/>
      <c r="K753" s="462"/>
      <c r="L753" s="311"/>
    </row>
    <row r="754" spans="1:12" ht="27">
      <c r="A754" s="318">
        <v>746</v>
      </c>
      <c r="B754" s="397" t="s">
        <v>2788</v>
      </c>
      <c r="C754" s="467" t="s">
        <v>522</v>
      </c>
      <c r="D754" s="466">
        <v>53000</v>
      </c>
      <c r="E754" s="468" t="s">
        <v>2801</v>
      </c>
      <c r="F754" s="398" t="s">
        <v>2802</v>
      </c>
      <c r="G754" s="397" t="s">
        <v>2803</v>
      </c>
      <c r="H754" s="397" t="s">
        <v>526</v>
      </c>
      <c r="I754" s="447"/>
      <c r="J754" s="412"/>
      <c r="K754" s="462"/>
      <c r="L754" s="311"/>
    </row>
    <row r="755" spans="1:12" ht="27">
      <c r="A755" s="318">
        <v>747</v>
      </c>
      <c r="B755" s="397" t="s">
        <v>2788</v>
      </c>
      <c r="C755" s="467" t="s">
        <v>522</v>
      </c>
      <c r="D755" s="466">
        <v>20000</v>
      </c>
      <c r="E755" s="468" t="s">
        <v>2804</v>
      </c>
      <c r="F755" s="398" t="s">
        <v>2805</v>
      </c>
      <c r="G755" s="397" t="s">
        <v>2806</v>
      </c>
      <c r="H755" s="397" t="s">
        <v>526</v>
      </c>
      <c r="I755" s="447"/>
      <c r="J755" s="412"/>
      <c r="K755" s="462"/>
      <c r="L755" s="311"/>
    </row>
    <row r="756" spans="1:12" ht="27">
      <c r="A756" s="318">
        <v>748</v>
      </c>
      <c r="B756" s="397" t="s">
        <v>2788</v>
      </c>
      <c r="C756" s="467" t="s">
        <v>522</v>
      </c>
      <c r="D756" s="466">
        <v>10000</v>
      </c>
      <c r="E756" s="468" t="s">
        <v>2807</v>
      </c>
      <c r="F756" s="398" t="s">
        <v>2808</v>
      </c>
      <c r="G756" s="397" t="s">
        <v>2809</v>
      </c>
      <c r="H756" s="397" t="s">
        <v>526</v>
      </c>
      <c r="I756" s="447"/>
      <c r="J756" s="412"/>
      <c r="K756" s="462"/>
      <c r="L756" s="311"/>
    </row>
    <row r="757" spans="1:12" ht="27">
      <c r="A757" s="318">
        <v>749</v>
      </c>
      <c r="B757" s="397" t="s">
        <v>2788</v>
      </c>
      <c r="C757" s="467" t="s">
        <v>522</v>
      </c>
      <c r="D757" s="410">
        <v>22000</v>
      </c>
      <c r="E757" s="426" t="s">
        <v>2810</v>
      </c>
      <c r="F757" s="398" t="s">
        <v>2811</v>
      </c>
      <c r="G757" s="397" t="s">
        <v>2812</v>
      </c>
      <c r="H757" s="397" t="s">
        <v>526</v>
      </c>
      <c r="I757" s="447"/>
      <c r="J757" s="412"/>
      <c r="K757" s="462"/>
      <c r="L757" s="311"/>
    </row>
    <row r="758" spans="1:12" ht="27">
      <c r="A758" s="318">
        <v>750</v>
      </c>
      <c r="B758" s="397" t="s">
        <v>2788</v>
      </c>
      <c r="C758" s="467" t="s">
        <v>522</v>
      </c>
      <c r="D758" s="410">
        <v>32000</v>
      </c>
      <c r="E758" s="426" t="s">
        <v>2813</v>
      </c>
      <c r="F758" s="398" t="s">
        <v>2814</v>
      </c>
      <c r="G758" s="397" t="s">
        <v>2815</v>
      </c>
      <c r="H758" s="397" t="s">
        <v>526</v>
      </c>
      <c r="I758" s="447"/>
      <c r="J758" s="412"/>
      <c r="K758" s="462"/>
      <c r="L758" s="311"/>
    </row>
    <row r="759" spans="1:12" ht="27">
      <c r="A759" s="318">
        <v>751</v>
      </c>
      <c r="B759" s="397" t="s">
        <v>2788</v>
      </c>
      <c r="C759" s="467" t="s">
        <v>522</v>
      </c>
      <c r="D759" s="410">
        <v>35000</v>
      </c>
      <c r="E759" s="395" t="s">
        <v>2816</v>
      </c>
      <c r="F759" s="398" t="s">
        <v>2817</v>
      </c>
      <c r="G759" s="397" t="s">
        <v>2818</v>
      </c>
      <c r="H759" s="397" t="s">
        <v>526</v>
      </c>
      <c r="I759" s="398"/>
      <c r="J759" s="412"/>
      <c r="K759" s="462"/>
      <c r="L759" s="311"/>
    </row>
    <row r="760" spans="1:12" ht="27">
      <c r="A760" s="318">
        <v>752</v>
      </c>
      <c r="B760" s="397" t="s">
        <v>2788</v>
      </c>
      <c r="C760" s="467" t="s">
        <v>522</v>
      </c>
      <c r="D760" s="410">
        <v>5000</v>
      </c>
      <c r="E760" s="395" t="s">
        <v>2819</v>
      </c>
      <c r="F760" s="398" t="s">
        <v>2820</v>
      </c>
      <c r="G760" s="397" t="s">
        <v>2821</v>
      </c>
      <c r="H760" s="397" t="s">
        <v>526</v>
      </c>
      <c r="I760" s="447"/>
      <c r="J760" s="412"/>
      <c r="K760" s="462"/>
      <c r="L760" s="311"/>
    </row>
    <row r="761" spans="1:12" ht="27">
      <c r="A761" s="318">
        <v>753</v>
      </c>
      <c r="B761" s="397" t="s">
        <v>2788</v>
      </c>
      <c r="C761" s="467" t="s">
        <v>522</v>
      </c>
      <c r="D761" s="410">
        <v>30000</v>
      </c>
      <c r="E761" s="395" t="s">
        <v>2822</v>
      </c>
      <c r="F761" s="398" t="s">
        <v>2823</v>
      </c>
      <c r="G761" s="397" t="s">
        <v>2824</v>
      </c>
      <c r="H761" s="397" t="s">
        <v>526</v>
      </c>
      <c r="I761" s="447"/>
      <c r="J761" s="412"/>
      <c r="K761" s="462"/>
      <c r="L761" s="311"/>
    </row>
    <row r="762" spans="1:12" ht="27">
      <c r="A762" s="318">
        <v>754</v>
      </c>
      <c r="B762" s="397" t="s">
        <v>2788</v>
      </c>
      <c r="C762" s="467" t="s">
        <v>522</v>
      </c>
      <c r="D762" s="410">
        <v>60000</v>
      </c>
      <c r="E762" s="395" t="s">
        <v>2825</v>
      </c>
      <c r="F762" s="398" t="s">
        <v>2826</v>
      </c>
      <c r="G762" s="397" t="s">
        <v>2827</v>
      </c>
      <c r="H762" s="397" t="s">
        <v>526</v>
      </c>
      <c r="I762" s="447"/>
      <c r="J762" s="412"/>
      <c r="K762" s="462"/>
      <c r="L762" s="311"/>
    </row>
    <row r="763" spans="1:12" ht="27">
      <c r="A763" s="318">
        <v>755</v>
      </c>
      <c r="B763" s="397" t="s">
        <v>2788</v>
      </c>
      <c r="C763" s="467" t="s">
        <v>522</v>
      </c>
      <c r="D763" s="410">
        <v>40000</v>
      </c>
      <c r="E763" s="395" t="s">
        <v>2828</v>
      </c>
      <c r="F763" s="398" t="s">
        <v>2829</v>
      </c>
      <c r="G763" s="397" t="s">
        <v>2830</v>
      </c>
      <c r="H763" s="397" t="s">
        <v>526</v>
      </c>
      <c r="I763" s="447"/>
      <c r="J763" s="412"/>
      <c r="K763" s="462"/>
      <c r="L763" s="311"/>
    </row>
    <row r="764" spans="1:12" ht="27">
      <c r="A764" s="318">
        <v>756</v>
      </c>
      <c r="B764" s="397" t="s">
        <v>2788</v>
      </c>
      <c r="C764" s="467" t="s">
        <v>522</v>
      </c>
      <c r="D764" s="410">
        <v>60000</v>
      </c>
      <c r="E764" s="395" t="s">
        <v>2831</v>
      </c>
      <c r="F764" s="398" t="s">
        <v>2832</v>
      </c>
      <c r="G764" s="397" t="s">
        <v>2833</v>
      </c>
      <c r="H764" s="397" t="s">
        <v>526</v>
      </c>
      <c r="I764" s="447"/>
      <c r="J764" s="412"/>
      <c r="K764" s="462"/>
      <c r="L764" s="311"/>
    </row>
    <row r="765" spans="1:12" ht="27">
      <c r="A765" s="318">
        <v>757</v>
      </c>
      <c r="B765" s="397" t="s">
        <v>2788</v>
      </c>
      <c r="C765" s="467" t="s">
        <v>522</v>
      </c>
      <c r="D765" s="410">
        <v>25000</v>
      </c>
      <c r="E765" s="395" t="s">
        <v>2834</v>
      </c>
      <c r="F765" s="398" t="s">
        <v>2835</v>
      </c>
      <c r="G765" s="397" t="s">
        <v>2836</v>
      </c>
      <c r="H765" s="397" t="s">
        <v>526</v>
      </c>
      <c r="I765" s="447"/>
      <c r="J765" s="412"/>
      <c r="K765" s="462"/>
      <c r="L765" s="311"/>
    </row>
    <row r="766" spans="1:12" ht="27">
      <c r="A766" s="318">
        <v>758</v>
      </c>
      <c r="B766" s="397" t="s">
        <v>2788</v>
      </c>
      <c r="C766" s="467" t="s">
        <v>522</v>
      </c>
      <c r="D766" s="410">
        <v>30000</v>
      </c>
      <c r="E766" s="395" t="s">
        <v>2837</v>
      </c>
      <c r="F766" s="398" t="s">
        <v>2838</v>
      </c>
      <c r="G766" s="397" t="s">
        <v>2839</v>
      </c>
      <c r="H766" s="397" t="s">
        <v>526</v>
      </c>
      <c r="I766" s="447"/>
      <c r="J766" s="412"/>
      <c r="K766" s="462"/>
      <c r="L766" s="311"/>
    </row>
    <row r="767" spans="1:12" ht="27">
      <c r="A767" s="318">
        <v>759</v>
      </c>
      <c r="B767" s="397" t="s">
        <v>2788</v>
      </c>
      <c r="C767" s="467" t="s">
        <v>522</v>
      </c>
      <c r="D767" s="410">
        <v>35000</v>
      </c>
      <c r="E767" s="395" t="s">
        <v>2840</v>
      </c>
      <c r="F767" s="398" t="s">
        <v>2841</v>
      </c>
      <c r="G767" s="397" t="s">
        <v>2842</v>
      </c>
      <c r="H767" s="397" t="s">
        <v>526</v>
      </c>
      <c r="I767" s="447"/>
      <c r="J767" s="412"/>
      <c r="K767" s="462"/>
      <c r="L767" s="311"/>
    </row>
    <row r="768" spans="1:12" ht="27">
      <c r="A768" s="318">
        <v>760</v>
      </c>
      <c r="B768" s="397" t="s">
        <v>2788</v>
      </c>
      <c r="C768" s="402" t="s">
        <v>231</v>
      </c>
      <c r="D768" s="469">
        <v>20</v>
      </c>
      <c r="E768" s="470" t="s">
        <v>558</v>
      </c>
      <c r="F768" s="397" t="s">
        <v>518</v>
      </c>
      <c r="G768" s="397" t="s">
        <v>519</v>
      </c>
      <c r="H768" s="397" t="s">
        <v>520</v>
      </c>
      <c r="I768" s="447"/>
      <c r="J768" s="412"/>
      <c r="K768" s="462"/>
      <c r="L768" s="311"/>
    </row>
    <row r="769" spans="1:12" ht="30">
      <c r="A769" s="318">
        <v>761</v>
      </c>
      <c r="B769" s="397" t="s">
        <v>2788</v>
      </c>
      <c r="C769" s="402" t="s">
        <v>522</v>
      </c>
      <c r="D769" s="457">
        <v>20000</v>
      </c>
      <c r="E769" s="468" t="s">
        <v>2843</v>
      </c>
      <c r="F769" s="471" t="s">
        <v>2844</v>
      </c>
      <c r="G769" s="468" t="s">
        <v>2845</v>
      </c>
      <c r="H769" s="472" t="s">
        <v>1758</v>
      </c>
      <c r="I769" s="447"/>
      <c r="J769" s="412"/>
      <c r="K769" s="462"/>
      <c r="L769" s="311"/>
    </row>
    <row r="770" spans="1:12" ht="27">
      <c r="A770" s="318">
        <v>762</v>
      </c>
      <c r="B770" s="397" t="s">
        <v>2846</v>
      </c>
      <c r="C770" s="402" t="s">
        <v>522</v>
      </c>
      <c r="D770" s="454">
        <v>5000</v>
      </c>
      <c r="E770" s="425" t="s">
        <v>2847</v>
      </c>
      <c r="F770" s="397" t="s">
        <v>2848</v>
      </c>
      <c r="G770" s="397" t="s">
        <v>2849</v>
      </c>
      <c r="H770" s="397" t="s">
        <v>526</v>
      </c>
      <c r="I770" s="447"/>
      <c r="J770" s="412"/>
      <c r="K770" s="462"/>
      <c r="L770" s="311"/>
    </row>
    <row r="771" spans="1:12" ht="27">
      <c r="A771" s="318">
        <v>763</v>
      </c>
      <c r="B771" s="397" t="s">
        <v>2846</v>
      </c>
      <c r="C771" s="402" t="s">
        <v>522</v>
      </c>
      <c r="D771" s="454">
        <v>25000</v>
      </c>
      <c r="E771" s="425" t="s">
        <v>2785</v>
      </c>
      <c r="F771" s="397" t="s">
        <v>2786</v>
      </c>
      <c r="G771" s="397" t="s">
        <v>2850</v>
      </c>
      <c r="H771" s="397" t="s">
        <v>526</v>
      </c>
      <c r="I771" s="447"/>
      <c r="J771" s="412"/>
      <c r="K771" s="462"/>
      <c r="L771" s="311"/>
    </row>
    <row r="772" spans="1:12" ht="27">
      <c r="A772" s="318">
        <v>764</v>
      </c>
      <c r="B772" s="397" t="s">
        <v>2846</v>
      </c>
      <c r="C772" s="402" t="s">
        <v>522</v>
      </c>
      <c r="D772" s="454">
        <v>30000</v>
      </c>
      <c r="E772" s="425" t="s">
        <v>2851</v>
      </c>
      <c r="F772" s="397" t="s">
        <v>2852</v>
      </c>
      <c r="G772" s="397" t="s">
        <v>2853</v>
      </c>
      <c r="H772" s="397" t="s">
        <v>526</v>
      </c>
      <c r="I772" s="447"/>
      <c r="J772" s="412"/>
      <c r="K772" s="462"/>
      <c r="L772" s="311"/>
    </row>
    <row r="773" spans="1:12" ht="27">
      <c r="A773" s="318">
        <v>765</v>
      </c>
      <c r="B773" s="397" t="s">
        <v>2846</v>
      </c>
      <c r="C773" s="402" t="s">
        <v>522</v>
      </c>
      <c r="D773" s="454">
        <v>30000</v>
      </c>
      <c r="E773" s="425" t="s">
        <v>2854</v>
      </c>
      <c r="F773" s="397" t="s">
        <v>2855</v>
      </c>
      <c r="G773" s="397" t="s">
        <v>2856</v>
      </c>
      <c r="H773" s="397" t="s">
        <v>526</v>
      </c>
      <c r="I773" s="447"/>
      <c r="J773" s="412"/>
      <c r="K773" s="462"/>
      <c r="L773" s="311"/>
    </row>
    <row r="774" spans="1:12" ht="27">
      <c r="A774" s="318">
        <v>766</v>
      </c>
      <c r="B774" s="397" t="s">
        <v>2846</v>
      </c>
      <c r="C774" s="402" t="s">
        <v>522</v>
      </c>
      <c r="D774" s="454">
        <v>60000</v>
      </c>
      <c r="E774" s="425" t="s">
        <v>2857</v>
      </c>
      <c r="F774" s="397" t="s">
        <v>2858</v>
      </c>
      <c r="G774" s="397" t="s">
        <v>2859</v>
      </c>
      <c r="H774" s="397" t="s">
        <v>526</v>
      </c>
      <c r="I774" s="447"/>
      <c r="J774" s="412"/>
      <c r="K774" s="462"/>
      <c r="L774" s="311"/>
    </row>
    <row r="775" spans="1:12" ht="27">
      <c r="A775" s="318">
        <v>767</v>
      </c>
      <c r="B775" s="397" t="s">
        <v>2860</v>
      </c>
      <c r="C775" s="402" t="s">
        <v>522</v>
      </c>
      <c r="D775" s="454">
        <v>30000</v>
      </c>
      <c r="E775" s="473" t="s">
        <v>2861</v>
      </c>
      <c r="F775" s="397" t="s">
        <v>2862</v>
      </c>
      <c r="G775" s="397" t="s">
        <v>2863</v>
      </c>
      <c r="H775" s="397" t="s">
        <v>526</v>
      </c>
      <c r="I775" s="447"/>
      <c r="J775" s="412"/>
      <c r="K775" s="462"/>
      <c r="L775" s="311"/>
    </row>
    <row r="776" spans="1:12" ht="27">
      <c r="A776" s="318">
        <v>768</v>
      </c>
      <c r="B776" s="397" t="s">
        <v>2860</v>
      </c>
      <c r="C776" s="402" t="s">
        <v>522</v>
      </c>
      <c r="D776" s="454">
        <v>2475</v>
      </c>
      <c r="E776" s="473" t="s">
        <v>2433</v>
      </c>
      <c r="F776" s="397" t="s">
        <v>2434</v>
      </c>
      <c r="G776" s="397" t="s">
        <v>2435</v>
      </c>
      <c r="H776" s="397" t="s">
        <v>526</v>
      </c>
      <c r="I776" s="447"/>
      <c r="J776" s="412"/>
      <c r="K776" s="462"/>
      <c r="L776" s="311"/>
    </row>
    <row r="777" spans="1:12" ht="27">
      <c r="A777" s="318">
        <v>769</v>
      </c>
      <c r="B777" s="397" t="s">
        <v>2860</v>
      </c>
      <c r="C777" s="402" t="s">
        <v>522</v>
      </c>
      <c r="D777" s="454">
        <v>1000</v>
      </c>
      <c r="E777" s="473" t="s">
        <v>2864</v>
      </c>
      <c r="F777" s="397" t="s">
        <v>2865</v>
      </c>
      <c r="G777" s="397" t="s">
        <v>2866</v>
      </c>
      <c r="H777" s="397" t="s">
        <v>526</v>
      </c>
      <c r="I777" s="447"/>
      <c r="J777" s="412"/>
      <c r="K777" s="462"/>
      <c r="L777" s="311"/>
    </row>
    <row r="778" spans="1:12" ht="27">
      <c r="A778" s="318">
        <v>770</v>
      </c>
      <c r="B778" s="397" t="s">
        <v>2860</v>
      </c>
      <c r="C778" s="402" t="s">
        <v>522</v>
      </c>
      <c r="D778" s="454">
        <v>20000</v>
      </c>
      <c r="E778" s="473" t="s">
        <v>2867</v>
      </c>
      <c r="F778" s="397" t="s">
        <v>2868</v>
      </c>
      <c r="G778" s="397" t="s">
        <v>2869</v>
      </c>
      <c r="H778" s="397" t="s">
        <v>526</v>
      </c>
      <c r="I778" s="447"/>
      <c r="J778" s="412"/>
      <c r="K778" s="462"/>
      <c r="L778" s="311"/>
    </row>
    <row r="779" spans="1:12" ht="27">
      <c r="A779" s="318">
        <v>771</v>
      </c>
      <c r="B779" s="397" t="s">
        <v>2860</v>
      </c>
      <c r="C779" s="402" t="s">
        <v>522</v>
      </c>
      <c r="D779" s="454">
        <v>40000</v>
      </c>
      <c r="E779" s="473" t="s">
        <v>2870</v>
      </c>
      <c r="F779" s="397" t="s">
        <v>2871</v>
      </c>
      <c r="G779" s="397" t="s">
        <v>2872</v>
      </c>
      <c r="H779" s="397" t="s">
        <v>526</v>
      </c>
      <c r="I779" s="447"/>
      <c r="J779" s="412"/>
      <c r="K779" s="462"/>
      <c r="L779" s="311"/>
    </row>
    <row r="780" spans="1:12" ht="27">
      <c r="A780" s="318">
        <v>772</v>
      </c>
      <c r="B780" s="397" t="s">
        <v>2860</v>
      </c>
      <c r="C780" s="402" t="s">
        <v>522</v>
      </c>
      <c r="D780" s="454">
        <v>5000</v>
      </c>
      <c r="E780" s="473" t="s">
        <v>2873</v>
      </c>
      <c r="F780" s="397" t="s">
        <v>2874</v>
      </c>
      <c r="G780" s="397" t="s">
        <v>2875</v>
      </c>
      <c r="H780" s="397" t="s">
        <v>526</v>
      </c>
      <c r="I780" s="447"/>
      <c r="J780" s="412"/>
      <c r="K780" s="462"/>
      <c r="L780" s="311"/>
    </row>
    <row r="781" spans="1:12" ht="27">
      <c r="A781" s="318">
        <v>773</v>
      </c>
      <c r="B781" s="397" t="s">
        <v>2860</v>
      </c>
      <c r="C781" s="402" t="s">
        <v>522</v>
      </c>
      <c r="D781" s="454">
        <v>10000</v>
      </c>
      <c r="E781" s="473" t="s">
        <v>2876</v>
      </c>
      <c r="F781" s="397" t="s">
        <v>2877</v>
      </c>
      <c r="G781" s="397" t="s">
        <v>2878</v>
      </c>
      <c r="H781" s="397" t="s">
        <v>526</v>
      </c>
      <c r="I781" s="447"/>
      <c r="J781" s="412"/>
      <c r="K781" s="462"/>
      <c r="L781" s="311"/>
    </row>
    <row r="782" spans="1:12" ht="27">
      <c r="A782" s="318">
        <v>774</v>
      </c>
      <c r="B782" s="397" t="s">
        <v>2879</v>
      </c>
      <c r="C782" s="402" t="s">
        <v>522</v>
      </c>
      <c r="D782" s="454">
        <v>10000</v>
      </c>
      <c r="E782" s="473" t="s">
        <v>2880</v>
      </c>
      <c r="F782" s="397" t="s">
        <v>2881</v>
      </c>
      <c r="G782" s="397" t="s">
        <v>2882</v>
      </c>
      <c r="H782" s="397" t="s">
        <v>526</v>
      </c>
      <c r="I782" s="447"/>
      <c r="J782" s="412"/>
      <c r="K782" s="462"/>
      <c r="L782" s="311"/>
    </row>
    <row r="783" spans="1:12" ht="27">
      <c r="A783" s="318">
        <v>775</v>
      </c>
      <c r="B783" s="397" t="s">
        <v>2879</v>
      </c>
      <c r="C783" s="402" t="s">
        <v>522</v>
      </c>
      <c r="D783" s="454">
        <v>60000</v>
      </c>
      <c r="E783" s="473" t="s">
        <v>2883</v>
      </c>
      <c r="F783" s="397" t="s">
        <v>2884</v>
      </c>
      <c r="G783" s="397" t="s">
        <v>2885</v>
      </c>
      <c r="H783" s="397" t="s">
        <v>526</v>
      </c>
      <c r="I783" s="447"/>
      <c r="J783" s="412"/>
      <c r="K783" s="462"/>
      <c r="L783" s="311"/>
    </row>
    <row r="784" spans="1:12" ht="27">
      <c r="A784" s="318">
        <v>776</v>
      </c>
      <c r="B784" s="397" t="s">
        <v>2879</v>
      </c>
      <c r="C784" s="402" t="s">
        <v>522</v>
      </c>
      <c r="D784" s="454">
        <v>5000</v>
      </c>
      <c r="E784" s="473" t="s">
        <v>2886</v>
      </c>
      <c r="F784" s="397" t="s">
        <v>2887</v>
      </c>
      <c r="G784" s="397" t="s">
        <v>2888</v>
      </c>
      <c r="H784" s="397" t="s">
        <v>526</v>
      </c>
      <c r="I784" s="447"/>
      <c r="J784" s="412"/>
      <c r="K784" s="462"/>
      <c r="L784" s="311"/>
    </row>
    <row r="785" spans="1:12" ht="27">
      <c r="A785" s="318">
        <v>777</v>
      </c>
      <c r="B785" s="397" t="s">
        <v>2879</v>
      </c>
      <c r="C785" s="402" t="s">
        <v>522</v>
      </c>
      <c r="D785" s="454">
        <v>60000</v>
      </c>
      <c r="E785" s="473" t="s">
        <v>2889</v>
      </c>
      <c r="F785" s="397" t="s">
        <v>2890</v>
      </c>
      <c r="G785" s="397" t="s">
        <v>2891</v>
      </c>
      <c r="H785" s="397" t="s">
        <v>526</v>
      </c>
      <c r="I785" s="447"/>
      <c r="J785" s="412"/>
      <c r="K785" s="462"/>
      <c r="L785" s="311"/>
    </row>
    <row r="786" spans="1:12" ht="30">
      <c r="A786" s="318">
        <v>778</v>
      </c>
      <c r="B786" s="397" t="s">
        <v>2879</v>
      </c>
      <c r="C786" s="402" t="s">
        <v>522</v>
      </c>
      <c r="D786" s="457">
        <v>1000</v>
      </c>
      <c r="E786" s="468" t="s">
        <v>2892</v>
      </c>
      <c r="F786" s="471" t="s">
        <v>2893</v>
      </c>
      <c r="G786" s="468" t="s">
        <v>2894</v>
      </c>
      <c r="H786" s="472" t="s">
        <v>520</v>
      </c>
      <c r="I786" s="447"/>
      <c r="J786" s="412"/>
      <c r="K786" s="462"/>
      <c r="L786" s="311"/>
    </row>
    <row r="787" spans="1:12" ht="30">
      <c r="A787" s="318">
        <v>779</v>
      </c>
      <c r="B787" s="397" t="s">
        <v>2879</v>
      </c>
      <c r="C787" s="402" t="s">
        <v>522</v>
      </c>
      <c r="D787" s="457">
        <v>50000</v>
      </c>
      <c r="E787" s="468" t="s">
        <v>2895</v>
      </c>
      <c r="F787" s="471" t="s">
        <v>2896</v>
      </c>
      <c r="G787" s="468" t="s">
        <v>2897</v>
      </c>
      <c r="H787" s="472" t="s">
        <v>526</v>
      </c>
      <c r="I787" s="447"/>
      <c r="J787" s="412"/>
      <c r="K787" s="462"/>
      <c r="L787" s="311"/>
    </row>
    <row r="788" spans="1:12" ht="30">
      <c r="A788" s="318">
        <v>780</v>
      </c>
      <c r="B788" s="397" t="s">
        <v>2879</v>
      </c>
      <c r="C788" s="402" t="s">
        <v>522</v>
      </c>
      <c r="D788" s="457">
        <v>10000</v>
      </c>
      <c r="E788" s="443" t="s">
        <v>2898</v>
      </c>
      <c r="F788" s="444" t="s">
        <v>2899</v>
      </c>
      <c r="G788" s="468" t="s">
        <v>2900</v>
      </c>
      <c r="H788" s="445" t="s">
        <v>1758</v>
      </c>
      <c r="I788" s="447"/>
      <c r="J788" s="412"/>
      <c r="K788" s="462"/>
      <c r="L788" s="311"/>
    </row>
    <row r="789" spans="1:12" ht="38.25">
      <c r="A789" s="318">
        <v>781</v>
      </c>
      <c r="B789" s="474" t="s">
        <v>2860</v>
      </c>
      <c r="C789" s="402" t="s">
        <v>527</v>
      </c>
      <c r="D789" s="475">
        <v>22050</v>
      </c>
      <c r="E789" s="476" t="s">
        <v>2901</v>
      </c>
      <c r="F789" s="471" t="s">
        <v>2902</v>
      </c>
      <c r="G789" s="468"/>
      <c r="H789" s="472"/>
      <c r="I789" s="477" t="s">
        <v>2903</v>
      </c>
      <c r="J789" s="412"/>
      <c r="K789" s="478" t="s">
        <v>2904</v>
      </c>
      <c r="L789" s="311"/>
    </row>
    <row r="790" spans="1:12" ht="153">
      <c r="A790" s="318">
        <v>782</v>
      </c>
      <c r="B790" s="474" t="s">
        <v>2905</v>
      </c>
      <c r="C790" s="402" t="s">
        <v>527</v>
      </c>
      <c r="D790" s="457">
        <v>1200</v>
      </c>
      <c r="E790" s="468" t="s">
        <v>2906</v>
      </c>
      <c r="F790" s="471" t="s">
        <v>2907</v>
      </c>
      <c r="G790" s="468"/>
      <c r="H790" s="472"/>
      <c r="I790" s="447"/>
      <c r="J790" s="479" t="s">
        <v>2908</v>
      </c>
      <c r="K790" s="462"/>
      <c r="L790" s="311"/>
    </row>
    <row r="791" spans="1:12" ht="27">
      <c r="A791" s="318">
        <v>783</v>
      </c>
      <c r="B791" s="397" t="s">
        <v>2909</v>
      </c>
      <c r="C791" s="467" t="s">
        <v>522</v>
      </c>
      <c r="D791" s="454">
        <v>5000</v>
      </c>
      <c r="E791" s="425" t="s">
        <v>2910</v>
      </c>
      <c r="F791" s="397" t="s">
        <v>2911</v>
      </c>
      <c r="G791" s="397" t="s">
        <v>2912</v>
      </c>
      <c r="H791" s="397" t="s">
        <v>526</v>
      </c>
      <c r="I791" s="435"/>
      <c r="J791" s="436"/>
      <c r="K791" s="437"/>
      <c r="L791" s="311"/>
    </row>
    <row r="792" spans="1:12" ht="27">
      <c r="A792" s="318">
        <v>784</v>
      </c>
      <c r="B792" s="397" t="s">
        <v>2909</v>
      </c>
      <c r="C792" s="467" t="s">
        <v>522</v>
      </c>
      <c r="D792" s="454">
        <v>25000</v>
      </c>
      <c r="E792" s="425" t="s">
        <v>2913</v>
      </c>
      <c r="F792" s="397" t="s">
        <v>2914</v>
      </c>
      <c r="G792" s="397" t="s">
        <v>2915</v>
      </c>
      <c r="H792" s="397" t="s">
        <v>526</v>
      </c>
      <c r="I792" s="435"/>
      <c r="J792" s="436"/>
      <c r="K792" s="437"/>
      <c r="L792" s="311"/>
    </row>
    <row r="793" spans="1:12" ht="27">
      <c r="A793" s="318">
        <v>785</v>
      </c>
      <c r="B793" s="397" t="s">
        <v>2909</v>
      </c>
      <c r="C793" s="467" t="s">
        <v>522</v>
      </c>
      <c r="D793" s="454">
        <v>10000</v>
      </c>
      <c r="E793" s="425" t="s">
        <v>2916</v>
      </c>
      <c r="F793" s="397" t="s">
        <v>2917</v>
      </c>
      <c r="G793" s="397" t="s">
        <v>2918</v>
      </c>
      <c r="H793" s="397" t="s">
        <v>526</v>
      </c>
      <c r="I793" s="435"/>
      <c r="J793" s="436"/>
      <c r="K793" s="437"/>
      <c r="L793" s="311"/>
    </row>
    <row r="794" spans="1:12" ht="27">
      <c r="A794" s="318">
        <v>786</v>
      </c>
      <c r="B794" s="397" t="s">
        <v>2909</v>
      </c>
      <c r="C794" s="467" t="s">
        <v>522</v>
      </c>
      <c r="D794" s="454">
        <v>50000</v>
      </c>
      <c r="E794" s="425" t="s">
        <v>2919</v>
      </c>
      <c r="F794" s="397" t="s">
        <v>2920</v>
      </c>
      <c r="G794" s="397" t="s">
        <v>2921</v>
      </c>
      <c r="H794" s="397" t="s">
        <v>526</v>
      </c>
      <c r="I794" s="435"/>
      <c r="J794" s="436"/>
      <c r="K794" s="437"/>
      <c r="L794" s="311"/>
    </row>
    <row r="795" spans="1:12" ht="27">
      <c r="A795" s="318">
        <v>787</v>
      </c>
      <c r="B795" s="397" t="s">
        <v>2909</v>
      </c>
      <c r="C795" s="467" t="s">
        <v>522</v>
      </c>
      <c r="D795" s="454">
        <v>10000</v>
      </c>
      <c r="E795" s="425" t="s">
        <v>542</v>
      </c>
      <c r="F795" s="397" t="s">
        <v>2922</v>
      </c>
      <c r="G795" s="397" t="s">
        <v>2923</v>
      </c>
      <c r="H795" s="397" t="s">
        <v>526</v>
      </c>
      <c r="I795" s="435"/>
      <c r="J795" s="436"/>
      <c r="K795" s="437"/>
      <c r="L795" s="311"/>
    </row>
    <row r="796" spans="1:12" ht="27">
      <c r="A796" s="318">
        <v>788</v>
      </c>
      <c r="B796" s="397" t="s">
        <v>2909</v>
      </c>
      <c r="C796" s="467" t="s">
        <v>522</v>
      </c>
      <c r="D796" s="454">
        <v>15000</v>
      </c>
      <c r="E796" s="425" t="s">
        <v>2924</v>
      </c>
      <c r="F796" s="397" t="s">
        <v>2925</v>
      </c>
      <c r="G796" s="397" t="s">
        <v>2926</v>
      </c>
      <c r="H796" s="397" t="s">
        <v>526</v>
      </c>
      <c r="I796" s="435"/>
      <c r="J796" s="436"/>
      <c r="K796" s="437"/>
      <c r="L796" s="311"/>
    </row>
    <row r="797" spans="1:12" ht="27">
      <c r="A797" s="318">
        <v>789</v>
      </c>
      <c r="B797" s="397" t="s">
        <v>2909</v>
      </c>
      <c r="C797" s="467" t="s">
        <v>522</v>
      </c>
      <c r="D797" s="454">
        <v>30000</v>
      </c>
      <c r="E797" s="425" t="s">
        <v>2927</v>
      </c>
      <c r="F797" s="397" t="s">
        <v>2928</v>
      </c>
      <c r="G797" s="397" t="s">
        <v>2929</v>
      </c>
      <c r="H797" s="397" t="s">
        <v>526</v>
      </c>
      <c r="I797" s="435"/>
      <c r="J797" s="436"/>
      <c r="K797" s="437"/>
      <c r="L797" s="311"/>
    </row>
    <row r="798" spans="1:12" ht="27">
      <c r="A798" s="318">
        <v>790</v>
      </c>
      <c r="B798" s="397" t="s">
        <v>2909</v>
      </c>
      <c r="C798" s="467" t="s">
        <v>522</v>
      </c>
      <c r="D798" s="454">
        <v>15000</v>
      </c>
      <c r="E798" s="425" t="s">
        <v>2930</v>
      </c>
      <c r="F798" s="397" t="s">
        <v>2931</v>
      </c>
      <c r="G798" s="397" t="s">
        <v>2932</v>
      </c>
      <c r="H798" s="397" t="s">
        <v>526</v>
      </c>
      <c r="I798" s="435"/>
      <c r="J798" s="436"/>
      <c r="K798" s="437"/>
      <c r="L798" s="311"/>
    </row>
    <row r="799" spans="1:12" ht="27">
      <c r="A799" s="318">
        <v>791</v>
      </c>
      <c r="B799" s="397" t="s">
        <v>2909</v>
      </c>
      <c r="C799" s="467" t="s">
        <v>522</v>
      </c>
      <c r="D799" s="454">
        <v>60000</v>
      </c>
      <c r="E799" s="425" t="s">
        <v>2933</v>
      </c>
      <c r="F799" s="397" t="s">
        <v>2934</v>
      </c>
      <c r="G799" s="397" t="s">
        <v>2935</v>
      </c>
      <c r="H799" s="397" t="s">
        <v>526</v>
      </c>
      <c r="I799" s="435"/>
      <c r="J799" s="436"/>
      <c r="K799" s="437"/>
      <c r="L799" s="311"/>
    </row>
    <row r="800" spans="1:12" ht="27">
      <c r="A800" s="318">
        <v>792</v>
      </c>
      <c r="B800" s="397" t="s">
        <v>2909</v>
      </c>
      <c r="C800" s="467" t="s">
        <v>522</v>
      </c>
      <c r="D800" s="454">
        <v>60000</v>
      </c>
      <c r="E800" s="425" t="s">
        <v>2936</v>
      </c>
      <c r="F800" s="397" t="s">
        <v>2937</v>
      </c>
      <c r="G800" s="397" t="s">
        <v>2938</v>
      </c>
      <c r="H800" s="397" t="s">
        <v>526</v>
      </c>
      <c r="I800" s="435"/>
      <c r="J800" s="436"/>
      <c r="K800" s="437"/>
      <c r="L800" s="311"/>
    </row>
    <row r="801" spans="1:12" ht="27">
      <c r="A801" s="318">
        <v>793</v>
      </c>
      <c r="B801" s="397" t="s">
        <v>2909</v>
      </c>
      <c r="C801" s="467" t="s">
        <v>522</v>
      </c>
      <c r="D801" s="454">
        <v>30000</v>
      </c>
      <c r="E801" s="425" t="s">
        <v>2939</v>
      </c>
      <c r="F801" s="397" t="s">
        <v>2940</v>
      </c>
      <c r="G801" s="397" t="s">
        <v>2941</v>
      </c>
      <c r="H801" s="397" t="s">
        <v>526</v>
      </c>
      <c r="I801" s="435"/>
      <c r="J801" s="436"/>
      <c r="K801" s="437"/>
      <c r="L801" s="311"/>
    </row>
    <row r="802" spans="1:12" ht="27">
      <c r="A802" s="318">
        <v>794</v>
      </c>
      <c r="B802" s="397" t="s">
        <v>2909</v>
      </c>
      <c r="C802" s="467" t="s">
        <v>522</v>
      </c>
      <c r="D802" s="454">
        <v>50000</v>
      </c>
      <c r="E802" s="425" t="s">
        <v>2942</v>
      </c>
      <c r="F802" s="397" t="s">
        <v>2943</v>
      </c>
      <c r="G802" s="397" t="s">
        <v>2944</v>
      </c>
      <c r="H802" s="397" t="s">
        <v>526</v>
      </c>
      <c r="I802" s="435"/>
      <c r="J802" s="436"/>
      <c r="K802" s="437"/>
      <c r="L802" s="311"/>
    </row>
    <row r="803" spans="1:12" ht="27">
      <c r="A803" s="318">
        <v>795</v>
      </c>
      <c r="B803" s="397" t="s">
        <v>2909</v>
      </c>
      <c r="C803" s="467" t="s">
        <v>522</v>
      </c>
      <c r="D803" s="454">
        <v>20000</v>
      </c>
      <c r="E803" s="425" t="s">
        <v>2945</v>
      </c>
      <c r="F803" s="397" t="s">
        <v>2946</v>
      </c>
      <c r="G803" s="397" t="s">
        <v>2947</v>
      </c>
      <c r="H803" s="397" t="s">
        <v>526</v>
      </c>
      <c r="I803" s="435"/>
      <c r="J803" s="436"/>
      <c r="K803" s="437"/>
      <c r="L803" s="311"/>
    </row>
    <row r="804" spans="1:12" ht="27">
      <c r="A804" s="318">
        <v>796</v>
      </c>
      <c r="B804" s="397" t="s">
        <v>2909</v>
      </c>
      <c r="C804" s="467" t="s">
        <v>522</v>
      </c>
      <c r="D804" s="454">
        <v>40000</v>
      </c>
      <c r="E804" s="425" t="s">
        <v>2948</v>
      </c>
      <c r="F804" s="397" t="s">
        <v>2949</v>
      </c>
      <c r="G804" s="397" t="s">
        <v>2950</v>
      </c>
      <c r="H804" s="397" t="s">
        <v>526</v>
      </c>
      <c r="I804" s="435"/>
      <c r="J804" s="436"/>
      <c r="K804" s="437"/>
      <c r="L804" s="311"/>
    </row>
    <row r="805" spans="1:12" ht="27">
      <c r="A805" s="318">
        <v>797</v>
      </c>
      <c r="B805" s="397" t="s">
        <v>2951</v>
      </c>
      <c r="C805" s="467" t="s">
        <v>522</v>
      </c>
      <c r="D805" s="454">
        <v>20000</v>
      </c>
      <c r="E805" s="425" t="s">
        <v>2952</v>
      </c>
      <c r="F805" s="397" t="s">
        <v>2953</v>
      </c>
      <c r="G805" s="397" t="s">
        <v>2954</v>
      </c>
      <c r="H805" s="397" t="s">
        <v>526</v>
      </c>
      <c r="I805" s="435"/>
      <c r="J805" s="436"/>
      <c r="K805" s="437"/>
      <c r="L805" s="311"/>
    </row>
    <row r="806" spans="1:12" ht="27">
      <c r="A806" s="318">
        <v>798</v>
      </c>
      <c r="B806" s="397" t="s">
        <v>2951</v>
      </c>
      <c r="C806" s="467" t="s">
        <v>522</v>
      </c>
      <c r="D806" s="454">
        <v>60000</v>
      </c>
      <c r="E806" s="425" t="s">
        <v>1172</v>
      </c>
      <c r="F806" s="397" t="s">
        <v>2955</v>
      </c>
      <c r="G806" s="397" t="s">
        <v>2956</v>
      </c>
      <c r="H806" s="397" t="s">
        <v>526</v>
      </c>
      <c r="I806" s="435"/>
      <c r="J806" s="436"/>
      <c r="K806" s="437"/>
      <c r="L806" s="311"/>
    </row>
    <row r="807" spans="1:12" ht="27">
      <c r="A807" s="318">
        <v>799</v>
      </c>
      <c r="B807" s="397" t="s">
        <v>2951</v>
      </c>
      <c r="C807" s="467" t="s">
        <v>522</v>
      </c>
      <c r="D807" s="454">
        <v>15000</v>
      </c>
      <c r="E807" s="425" t="s">
        <v>2957</v>
      </c>
      <c r="F807" s="397" t="s">
        <v>2958</v>
      </c>
      <c r="G807" s="397" t="s">
        <v>2959</v>
      </c>
      <c r="H807" s="397" t="s">
        <v>526</v>
      </c>
      <c r="I807" s="435"/>
      <c r="J807" s="436"/>
      <c r="K807" s="437"/>
      <c r="L807" s="311"/>
    </row>
    <row r="808" spans="1:12" ht="27">
      <c r="A808" s="318">
        <v>800</v>
      </c>
      <c r="B808" s="397" t="s">
        <v>2951</v>
      </c>
      <c r="C808" s="467" t="s">
        <v>522</v>
      </c>
      <c r="D808" s="454">
        <v>60000</v>
      </c>
      <c r="E808" s="425" t="s">
        <v>2960</v>
      </c>
      <c r="F808" s="397" t="s">
        <v>2961</v>
      </c>
      <c r="G808" s="397" t="s">
        <v>2962</v>
      </c>
      <c r="H808" s="397" t="s">
        <v>526</v>
      </c>
      <c r="I808" s="435"/>
      <c r="J808" s="436"/>
      <c r="K808" s="437"/>
      <c r="L808" s="311"/>
    </row>
    <row r="809" spans="1:12" ht="27">
      <c r="A809" s="318">
        <v>801</v>
      </c>
      <c r="B809" s="397" t="s">
        <v>2951</v>
      </c>
      <c r="C809" s="467" t="s">
        <v>522</v>
      </c>
      <c r="D809" s="454">
        <v>55000</v>
      </c>
      <c r="E809" s="425" t="s">
        <v>2963</v>
      </c>
      <c r="F809" s="397" t="s">
        <v>2964</v>
      </c>
      <c r="G809" s="397" t="s">
        <v>2965</v>
      </c>
      <c r="H809" s="397" t="s">
        <v>526</v>
      </c>
      <c r="I809" s="435"/>
      <c r="J809" s="436"/>
      <c r="K809" s="437"/>
      <c r="L809" s="311"/>
    </row>
    <row r="810" spans="1:12" ht="27">
      <c r="A810" s="318">
        <v>802</v>
      </c>
      <c r="B810" s="397" t="s">
        <v>2951</v>
      </c>
      <c r="C810" s="467" t="s">
        <v>522</v>
      </c>
      <c r="D810" s="454">
        <v>10000</v>
      </c>
      <c r="E810" s="425" t="s">
        <v>2966</v>
      </c>
      <c r="F810" s="397" t="s">
        <v>2967</v>
      </c>
      <c r="G810" s="397" t="s">
        <v>2968</v>
      </c>
      <c r="H810" s="397" t="s">
        <v>526</v>
      </c>
      <c r="I810" s="435"/>
      <c r="J810" s="436"/>
      <c r="K810" s="437"/>
      <c r="L810" s="311"/>
    </row>
    <row r="811" spans="1:12" ht="27">
      <c r="A811" s="318">
        <v>803</v>
      </c>
      <c r="B811" s="397" t="s">
        <v>2951</v>
      </c>
      <c r="C811" s="467" t="s">
        <v>522</v>
      </c>
      <c r="D811" s="454">
        <v>10000</v>
      </c>
      <c r="E811" s="425" t="s">
        <v>2969</v>
      </c>
      <c r="F811" s="397" t="s">
        <v>2970</v>
      </c>
      <c r="G811" s="397" t="s">
        <v>2971</v>
      </c>
      <c r="H811" s="397" t="s">
        <v>526</v>
      </c>
      <c r="I811" s="435"/>
      <c r="J811" s="436"/>
      <c r="K811" s="437"/>
      <c r="L811" s="311"/>
    </row>
    <row r="812" spans="1:12" ht="27">
      <c r="A812" s="318">
        <v>804</v>
      </c>
      <c r="B812" s="397" t="s">
        <v>2951</v>
      </c>
      <c r="C812" s="467" t="s">
        <v>522</v>
      </c>
      <c r="D812" s="454">
        <v>40000</v>
      </c>
      <c r="E812" s="425" t="s">
        <v>2972</v>
      </c>
      <c r="F812" s="397" t="s">
        <v>2973</v>
      </c>
      <c r="G812" s="397" t="s">
        <v>2974</v>
      </c>
      <c r="H812" s="397" t="s">
        <v>526</v>
      </c>
      <c r="I812" s="435"/>
      <c r="J812" s="436"/>
      <c r="K812" s="437"/>
      <c r="L812" s="311"/>
    </row>
    <row r="813" spans="1:12" ht="27">
      <c r="A813" s="318">
        <v>805</v>
      </c>
      <c r="B813" s="397" t="s">
        <v>2951</v>
      </c>
      <c r="C813" s="467" t="s">
        <v>522</v>
      </c>
      <c r="D813" s="454">
        <v>10000</v>
      </c>
      <c r="E813" s="425" t="s">
        <v>2975</v>
      </c>
      <c r="F813" s="397" t="s">
        <v>2976</v>
      </c>
      <c r="G813" s="397" t="s">
        <v>2977</v>
      </c>
      <c r="H813" s="397" t="s">
        <v>526</v>
      </c>
      <c r="I813" s="435"/>
      <c r="J813" s="436"/>
      <c r="K813" s="437"/>
      <c r="L813" s="311"/>
    </row>
    <row r="814" spans="1:12" ht="27">
      <c r="A814" s="318">
        <v>806</v>
      </c>
      <c r="B814" s="397" t="s">
        <v>2951</v>
      </c>
      <c r="C814" s="467" t="s">
        <v>522</v>
      </c>
      <c r="D814" s="454">
        <v>20000</v>
      </c>
      <c r="E814" s="425" t="s">
        <v>2978</v>
      </c>
      <c r="F814" s="397" t="s">
        <v>2979</v>
      </c>
      <c r="G814" s="397" t="s">
        <v>2980</v>
      </c>
      <c r="H814" s="397" t="s">
        <v>526</v>
      </c>
      <c r="I814" s="435"/>
      <c r="J814" s="436"/>
      <c r="K814" s="437"/>
      <c r="L814" s="311"/>
    </row>
    <row r="815" spans="1:12" ht="27">
      <c r="A815" s="318">
        <v>807</v>
      </c>
      <c r="B815" s="397" t="s">
        <v>2951</v>
      </c>
      <c r="C815" s="467" t="s">
        <v>522</v>
      </c>
      <c r="D815" s="454">
        <v>60000</v>
      </c>
      <c r="E815" s="425" t="s">
        <v>2981</v>
      </c>
      <c r="F815" s="397" t="s">
        <v>2982</v>
      </c>
      <c r="G815" s="397" t="s">
        <v>2983</v>
      </c>
      <c r="H815" s="397" t="s">
        <v>526</v>
      </c>
      <c r="I815" s="435"/>
      <c r="J815" s="436"/>
      <c r="K815" s="437"/>
      <c r="L815" s="311"/>
    </row>
    <row r="816" spans="1:12" ht="27">
      <c r="A816" s="318">
        <v>808</v>
      </c>
      <c r="B816" s="397" t="s">
        <v>2951</v>
      </c>
      <c r="C816" s="467" t="s">
        <v>522</v>
      </c>
      <c r="D816" s="454">
        <v>60000</v>
      </c>
      <c r="E816" s="425" t="s">
        <v>2984</v>
      </c>
      <c r="F816" s="397" t="s">
        <v>2985</v>
      </c>
      <c r="G816" s="397" t="s">
        <v>2986</v>
      </c>
      <c r="H816" s="397" t="s">
        <v>526</v>
      </c>
      <c r="I816" s="435"/>
      <c r="J816" s="436"/>
      <c r="K816" s="437"/>
      <c r="L816" s="311"/>
    </row>
    <row r="817" spans="1:12" ht="27">
      <c r="A817" s="318">
        <v>809</v>
      </c>
      <c r="B817" s="397" t="s">
        <v>2951</v>
      </c>
      <c r="C817" s="467" t="s">
        <v>522</v>
      </c>
      <c r="D817" s="454">
        <v>40000</v>
      </c>
      <c r="E817" s="425" t="s">
        <v>2987</v>
      </c>
      <c r="F817" s="397" t="s">
        <v>2988</v>
      </c>
      <c r="G817" s="397" t="s">
        <v>2989</v>
      </c>
      <c r="H817" s="397" t="s">
        <v>526</v>
      </c>
      <c r="I817" s="435"/>
      <c r="J817" s="436"/>
      <c r="K817" s="437"/>
      <c r="L817" s="311"/>
    </row>
    <row r="818" spans="1:12" ht="27">
      <c r="A818" s="318">
        <v>810</v>
      </c>
      <c r="B818" s="397" t="s">
        <v>2951</v>
      </c>
      <c r="C818" s="467" t="s">
        <v>522</v>
      </c>
      <c r="D818" s="454">
        <v>10000</v>
      </c>
      <c r="E818" s="425" t="s">
        <v>2990</v>
      </c>
      <c r="F818" s="397" t="s">
        <v>2991</v>
      </c>
      <c r="G818" s="397" t="s">
        <v>2992</v>
      </c>
      <c r="H818" s="397" t="s">
        <v>526</v>
      </c>
      <c r="I818" s="435"/>
      <c r="J818" s="436"/>
      <c r="K818" s="437"/>
      <c r="L818" s="311"/>
    </row>
    <row r="819" spans="1:12" ht="27">
      <c r="A819" s="318">
        <v>811</v>
      </c>
      <c r="B819" s="397" t="s">
        <v>2951</v>
      </c>
      <c r="C819" s="467" t="s">
        <v>522</v>
      </c>
      <c r="D819" s="454">
        <v>10000</v>
      </c>
      <c r="E819" s="425" t="s">
        <v>2993</v>
      </c>
      <c r="F819" s="397" t="s">
        <v>2994</v>
      </c>
      <c r="G819" s="397" t="s">
        <v>2995</v>
      </c>
      <c r="H819" s="397" t="s">
        <v>526</v>
      </c>
      <c r="I819" s="435"/>
      <c r="J819" s="436"/>
      <c r="K819" s="437"/>
      <c r="L819" s="311"/>
    </row>
    <row r="820" spans="1:12" ht="27">
      <c r="A820" s="318">
        <v>812</v>
      </c>
      <c r="B820" s="397" t="s">
        <v>2951</v>
      </c>
      <c r="C820" s="467" t="s">
        <v>522</v>
      </c>
      <c r="D820" s="454">
        <v>20000</v>
      </c>
      <c r="E820" s="425" t="s">
        <v>2996</v>
      </c>
      <c r="F820" s="397" t="s">
        <v>2997</v>
      </c>
      <c r="G820" s="397" t="s">
        <v>2998</v>
      </c>
      <c r="H820" s="397" t="s">
        <v>526</v>
      </c>
      <c r="I820" s="435"/>
      <c r="J820" s="436"/>
      <c r="K820" s="437"/>
      <c r="L820" s="311"/>
    </row>
    <row r="821" spans="1:12" ht="27">
      <c r="A821" s="318">
        <v>813</v>
      </c>
      <c r="B821" s="397" t="s">
        <v>2951</v>
      </c>
      <c r="C821" s="467" t="s">
        <v>522</v>
      </c>
      <c r="D821" s="454">
        <v>25000</v>
      </c>
      <c r="E821" s="425" t="s">
        <v>2999</v>
      </c>
      <c r="F821" s="397" t="s">
        <v>3000</v>
      </c>
      <c r="G821" s="397" t="s">
        <v>3001</v>
      </c>
      <c r="H821" s="397" t="s">
        <v>526</v>
      </c>
      <c r="I821" s="435"/>
      <c r="J821" s="436"/>
      <c r="K821" s="437"/>
      <c r="L821" s="311"/>
    </row>
    <row r="822" spans="1:12" ht="27">
      <c r="A822" s="318">
        <v>814</v>
      </c>
      <c r="B822" s="397" t="s">
        <v>2951</v>
      </c>
      <c r="C822" s="467" t="s">
        <v>522</v>
      </c>
      <c r="D822" s="454">
        <v>60000</v>
      </c>
      <c r="E822" s="425" t="s">
        <v>3002</v>
      </c>
      <c r="F822" s="397" t="s">
        <v>3003</v>
      </c>
      <c r="G822" s="397" t="s">
        <v>3004</v>
      </c>
      <c r="H822" s="397" t="s">
        <v>526</v>
      </c>
      <c r="I822" s="435"/>
      <c r="J822" s="436"/>
      <c r="K822" s="437"/>
      <c r="L822" s="311"/>
    </row>
    <row r="823" spans="1:12" ht="27">
      <c r="A823" s="318">
        <v>815</v>
      </c>
      <c r="B823" s="397" t="s">
        <v>2951</v>
      </c>
      <c r="C823" s="467" t="s">
        <v>522</v>
      </c>
      <c r="D823" s="454">
        <v>50000</v>
      </c>
      <c r="E823" s="425" t="s">
        <v>3005</v>
      </c>
      <c r="F823" s="397" t="s">
        <v>3006</v>
      </c>
      <c r="G823" s="397" t="s">
        <v>3007</v>
      </c>
      <c r="H823" s="397" t="s">
        <v>526</v>
      </c>
      <c r="I823" s="435"/>
      <c r="J823" s="436"/>
      <c r="K823" s="437"/>
      <c r="L823" s="311"/>
    </row>
    <row r="824" spans="1:12" ht="27">
      <c r="A824" s="318">
        <v>816</v>
      </c>
      <c r="B824" s="397" t="s">
        <v>2951</v>
      </c>
      <c r="C824" s="467" t="s">
        <v>522</v>
      </c>
      <c r="D824" s="454">
        <v>20000</v>
      </c>
      <c r="E824" s="425" t="s">
        <v>3008</v>
      </c>
      <c r="F824" s="397" t="s">
        <v>3009</v>
      </c>
      <c r="G824" s="397" t="s">
        <v>3010</v>
      </c>
      <c r="H824" s="397" t="s">
        <v>526</v>
      </c>
      <c r="I824" s="435"/>
      <c r="J824" s="436"/>
      <c r="K824" s="437"/>
      <c r="L824" s="311"/>
    </row>
    <row r="825" spans="1:12" ht="27">
      <c r="A825" s="318">
        <v>817</v>
      </c>
      <c r="B825" s="397" t="s">
        <v>2951</v>
      </c>
      <c r="C825" s="467" t="s">
        <v>522</v>
      </c>
      <c r="D825" s="454">
        <v>20000</v>
      </c>
      <c r="E825" s="425" t="s">
        <v>3011</v>
      </c>
      <c r="F825" s="397" t="s">
        <v>3012</v>
      </c>
      <c r="G825" s="397" t="s">
        <v>3013</v>
      </c>
      <c r="H825" s="397" t="s">
        <v>526</v>
      </c>
      <c r="I825" s="435"/>
      <c r="J825" s="436"/>
      <c r="K825" s="437"/>
      <c r="L825" s="311"/>
    </row>
    <row r="826" spans="1:12" ht="27">
      <c r="A826" s="318">
        <v>818</v>
      </c>
      <c r="B826" s="397" t="s">
        <v>2951</v>
      </c>
      <c r="C826" s="467" t="s">
        <v>522</v>
      </c>
      <c r="D826" s="454">
        <v>50000</v>
      </c>
      <c r="E826" s="425" t="s">
        <v>3014</v>
      </c>
      <c r="F826" s="397" t="s">
        <v>3015</v>
      </c>
      <c r="G826" s="397" t="s">
        <v>3016</v>
      </c>
      <c r="H826" s="397" t="s">
        <v>526</v>
      </c>
      <c r="I826" s="435"/>
      <c r="J826" s="436"/>
      <c r="K826" s="437"/>
      <c r="L826" s="311"/>
    </row>
    <row r="827" spans="1:12" ht="27">
      <c r="A827" s="318">
        <v>819</v>
      </c>
      <c r="B827" s="397" t="s">
        <v>2951</v>
      </c>
      <c r="C827" s="467" t="s">
        <v>522</v>
      </c>
      <c r="D827" s="454">
        <v>20000</v>
      </c>
      <c r="E827" s="425" t="s">
        <v>3017</v>
      </c>
      <c r="F827" s="397" t="s">
        <v>3018</v>
      </c>
      <c r="G827" s="397" t="s">
        <v>3019</v>
      </c>
      <c r="H827" s="397" t="s">
        <v>526</v>
      </c>
      <c r="I827" s="435"/>
      <c r="J827" s="436"/>
      <c r="K827" s="437"/>
      <c r="L827" s="311"/>
    </row>
    <row r="828" spans="1:12" ht="27">
      <c r="A828" s="318">
        <v>820</v>
      </c>
      <c r="B828" s="397" t="s">
        <v>2951</v>
      </c>
      <c r="C828" s="467" t="s">
        <v>522</v>
      </c>
      <c r="D828" s="454">
        <v>10000</v>
      </c>
      <c r="E828" s="425" t="s">
        <v>3020</v>
      </c>
      <c r="F828" s="397" t="s">
        <v>3021</v>
      </c>
      <c r="G828" s="397" t="s">
        <v>3022</v>
      </c>
      <c r="H828" s="397" t="s">
        <v>526</v>
      </c>
      <c r="I828" s="435"/>
      <c r="J828" s="436"/>
      <c r="K828" s="437"/>
      <c r="L828" s="311"/>
    </row>
    <row r="829" spans="1:12" ht="27">
      <c r="A829" s="318">
        <v>821</v>
      </c>
      <c r="B829" s="397" t="s">
        <v>2951</v>
      </c>
      <c r="C829" s="467" t="s">
        <v>522</v>
      </c>
      <c r="D829" s="454">
        <v>700</v>
      </c>
      <c r="E829" s="425" t="s">
        <v>2694</v>
      </c>
      <c r="F829" s="397" t="s">
        <v>2695</v>
      </c>
      <c r="G829" s="397" t="s">
        <v>2696</v>
      </c>
      <c r="H829" s="397" t="s">
        <v>1758</v>
      </c>
      <c r="I829" s="435"/>
      <c r="J829" s="436"/>
      <c r="K829" s="437"/>
      <c r="L829" s="311"/>
    </row>
    <row r="830" spans="1:12" ht="27">
      <c r="A830" s="318">
        <v>822</v>
      </c>
      <c r="B830" s="397" t="s">
        <v>3023</v>
      </c>
      <c r="C830" s="467" t="s">
        <v>522</v>
      </c>
      <c r="D830" s="454">
        <v>60000</v>
      </c>
      <c r="E830" s="425" t="s">
        <v>3024</v>
      </c>
      <c r="F830" s="397" t="s">
        <v>3025</v>
      </c>
      <c r="G830" s="397" t="s">
        <v>3026</v>
      </c>
      <c r="H830" s="397" t="s">
        <v>526</v>
      </c>
      <c r="I830" s="435"/>
      <c r="J830" s="436"/>
      <c r="K830" s="437"/>
      <c r="L830" s="311"/>
    </row>
    <row r="831" spans="1:12" ht="27">
      <c r="A831" s="318">
        <v>823</v>
      </c>
      <c r="B831" s="397" t="s">
        <v>3023</v>
      </c>
      <c r="C831" s="467" t="s">
        <v>522</v>
      </c>
      <c r="D831" s="454">
        <v>30000</v>
      </c>
      <c r="E831" s="425" t="s">
        <v>3027</v>
      </c>
      <c r="F831" s="397" t="s">
        <v>3028</v>
      </c>
      <c r="G831" s="397" t="s">
        <v>3029</v>
      </c>
      <c r="H831" s="397" t="s">
        <v>526</v>
      </c>
      <c r="I831" s="435"/>
      <c r="J831" s="436"/>
      <c r="K831" s="437"/>
      <c r="L831" s="311"/>
    </row>
    <row r="832" spans="1:12" ht="27">
      <c r="A832" s="318">
        <v>824</v>
      </c>
      <c r="B832" s="397" t="s">
        <v>3023</v>
      </c>
      <c r="C832" s="467" t="s">
        <v>522</v>
      </c>
      <c r="D832" s="454">
        <v>30000</v>
      </c>
      <c r="E832" s="425" t="s">
        <v>3030</v>
      </c>
      <c r="F832" s="397" t="s">
        <v>3031</v>
      </c>
      <c r="G832" s="397" t="s">
        <v>3032</v>
      </c>
      <c r="H832" s="397" t="s">
        <v>526</v>
      </c>
      <c r="I832" s="435"/>
      <c r="J832" s="436"/>
      <c r="K832" s="437"/>
      <c r="L832" s="311"/>
    </row>
    <row r="833" spans="1:12" ht="27">
      <c r="A833" s="318">
        <v>825</v>
      </c>
      <c r="B833" s="397" t="s">
        <v>3023</v>
      </c>
      <c r="C833" s="467" t="s">
        <v>522</v>
      </c>
      <c r="D833" s="454">
        <v>30000</v>
      </c>
      <c r="E833" s="425" t="s">
        <v>3033</v>
      </c>
      <c r="F833" s="397" t="s">
        <v>3034</v>
      </c>
      <c r="G833" s="397" t="s">
        <v>3035</v>
      </c>
      <c r="H833" s="397" t="s">
        <v>526</v>
      </c>
      <c r="I833" s="435"/>
      <c r="J833" s="436"/>
      <c r="K833" s="437"/>
      <c r="L833" s="311"/>
    </row>
    <row r="834" spans="1:12" ht="27">
      <c r="A834" s="318">
        <v>826</v>
      </c>
      <c r="B834" s="397" t="s">
        <v>3023</v>
      </c>
      <c r="C834" s="467" t="s">
        <v>522</v>
      </c>
      <c r="D834" s="454">
        <v>20000</v>
      </c>
      <c r="E834" s="425" t="s">
        <v>3036</v>
      </c>
      <c r="F834" s="397" t="s">
        <v>3037</v>
      </c>
      <c r="G834" s="397" t="s">
        <v>3038</v>
      </c>
      <c r="H834" s="397" t="s">
        <v>526</v>
      </c>
      <c r="I834" s="435"/>
      <c r="J834" s="436"/>
      <c r="K834" s="437"/>
      <c r="L834" s="311"/>
    </row>
    <row r="835" spans="1:12" ht="27">
      <c r="A835" s="318">
        <v>827</v>
      </c>
      <c r="B835" s="397" t="s">
        <v>3023</v>
      </c>
      <c r="C835" s="467" t="s">
        <v>522</v>
      </c>
      <c r="D835" s="454">
        <v>5000</v>
      </c>
      <c r="E835" s="425" t="s">
        <v>3039</v>
      </c>
      <c r="F835" s="397" t="s">
        <v>3040</v>
      </c>
      <c r="G835" s="397" t="s">
        <v>3041</v>
      </c>
      <c r="H835" s="397" t="s">
        <v>526</v>
      </c>
      <c r="I835" s="435"/>
      <c r="J835" s="436"/>
      <c r="K835" s="437"/>
      <c r="L835" s="311"/>
    </row>
    <row r="836" spans="1:12" ht="27">
      <c r="A836" s="318">
        <v>828</v>
      </c>
      <c r="B836" s="397" t="s">
        <v>3023</v>
      </c>
      <c r="C836" s="467" t="s">
        <v>522</v>
      </c>
      <c r="D836" s="454">
        <v>25000</v>
      </c>
      <c r="E836" s="425" t="s">
        <v>3042</v>
      </c>
      <c r="F836" s="397" t="s">
        <v>3043</v>
      </c>
      <c r="G836" s="397" t="s">
        <v>3044</v>
      </c>
      <c r="H836" s="397" t="s">
        <v>526</v>
      </c>
      <c r="I836" s="435"/>
      <c r="J836" s="436"/>
      <c r="K836" s="437"/>
      <c r="L836" s="311"/>
    </row>
    <row r="837" spans="1:12" ht="27">
      <c r="A837" s="318">
        <v>829</v>
      </c>
      <c r="B837" s="397" t="s">
        <v>3023</v>
      </c>
      <c r="C837" s="467" t="s">
        <v>522</v>
      </c>
      <c r="D837" s="454">
        <v>2775</v>
      </c>
      <c r="E837" s="425" t="s">
        <v>3045</v>
      </c>
      <c r="F837" s="397" t="s">
        <v>3046</v>
      </c>
      <c r="G837" s="397" t="s">
        <v>3047</v>
      </c>
      <c r="H837" s="397" t="s">
        <v>1758</v>
      </c>
      <c r="I837" s="435"/>
      <c r="J837" s="436"/>
      <c r="K837" s="437"/>
      <c r="L837" s="311"/>
    </row>
    <row r="838" spans="1:12" ht="27">
      <c r="A838" s="318">
        <v>830</v>
      </c>
      <c r="B838" s="397" t="s">
        <v>3023</v>
      </c>
      <c r="C838" s="467" t="s">
        <v>522</v>
      </c>
      <c r="D838" s="454">
        <v>6800</v>
      </c>
      <c r="E838" s="425" t="s">
        <v>3048</v>
      </c>
      <c r="F838" s="397" t="s">
        <v>3049</v>
      </c>
      <c r="G838" s="397" t="s">
        <v>3050</v>
      </c>
      <c r="H838" s="397" t="s">
        <v>3051</v>
      </c>
      <c r="I838" s="435"/>
      <c r="J838" s="436"/>
      <c r="K838" s="437"/>
      <c r="L838" s="311"/>
    </row>
    <row r="839" spans="1:12" ht="27">
      <c r="A839" s="318">
        <v>831</v>
      </c>
      <c r="B839" s="397" t="s">
        <v>3052</v>
      </c>
      <c r="C839" s="467" t="s">
        <v>522</v>
      </c>
      <c r="D839" s="454">
        <v>25000</v>
      </c>
      <c r="E839" s="425" t="s">
        <v>3053</v>
      </c>
      <c r="F839" s="397" t="s">
        <v>3054</v>
      </c>
      <c r="G839" s="397" t="s">
        <v>3055</v>
      </c>
      <c r="H839" s="397" t="s">
        <v>526</v>
      </c>
      <c r="I839" s="435"/>
      <c r="J839" s="436"/>
      <c r="K839" s="437"/>
      <c r="L839" s="311"/>
    </row>
    <row r="840" spans="1:12" ht="27">
      <c r="A840" s="318">
        <v>832</v>
      </c>
      <c r="B840" s="397" t="s">
        <v>3052</v>
      </c>
      <c r="C840" s="467" t="s">
        <v>522</v>
      </c>
      <c r="D840" s="454">
        <v>25000</v>
      </c>
      <c r="E840" s="425" t="s">
        <v>3056</v>
      </c>
      <c r="F840" s="397" t="s">
        <v>3057</v>
      </c>
      <c r="G840" s="397" t="s">
        <v>3058</v>
      </c>
      <c r="H840" s="397" t="s">
        <v>526</v>
      </c>
      <c r="I840" s="435"/>
      <c r="J840" s="436"/>
      <c r="K840" s="437"/>
      <c r="L840" s="311"/>
    </row>
    <row r="841" spans="1:12" ht="27">
      <c r="A841" s="318">
        <v>833</v>
      </c>
      <c r="B841" s="397" t="s">
        <v>3052</v>
      </c>
      <c r="C841" s="467" t="s">
        <v>522</v>
      </c>
      <c r="D841" s="454">
        <v>15000</v>
      </c>
      <c r="E841" s="425" t="s">
        <v>3059</v>
      </c>
      <c r="F841" s="397" t="s">
        <v>3060</v>
      </c>
      <c r="G841" s="397" t="s">
        <v>3061</v>
      </c>
      <c r="H841" s="397" t="s">
        <v>526</v>
      </c>
      <c r="I841" s="435"/>
      <c r="J841" s="436"/>
      <c r="K841" s="437"/>
      <c r="L841" s="311"/>
    </row>
    <row r="842" spans="1:12" ht="27">
      <c r="A842" s="318">
        <v>834</v>
      </c>
      <c r="B842" s="397" t="s">
        <v>3052</v>
      </c>
      <c r="C842" s="467" t="s">
        <v>522</v>
      </c>
      <c r="D842" s="454">
        <v>15000</v>
      </c>
      <c r="E842" s="425" t="s">
        <v>3062</v>
      </c>
      <c r="F842" s="397" t="s">
        <v>3063</v>
      </c>
      <c r="G842" s="397" t="s">
        <v>3064</v>
      </c>
      <c r="H842" s="397" t="s">
        <v>526</v>
      </c>
      <c r="I842" s="435"/>
      <c r="J842" s="436"/>
      <c r="K842" s="437"/>
      <c r="L842" s="311"/>
    </row>
    <row r="843" spans="1:12" ht="27">
      <c r="A843" s="318">
        <v>835</v>
      </c>
      <c r="B843" s="397" t="s">
        <v>3052</v>
      </c>
      <c r="C843" s="467" t="s">
        <v>522</v>
      </c>
      <c r="D843" s="454">
        <v>10000</v>
      </c>
      <c r="E843" s="425" t="s">
        <v>3065</v>
      </c>
      <c r="F843" s="397" t="s">
        <v>3066</v>
      </c>
      <c r="G843" s="397" t="s">
        <v>3067</v>
      </c>
      <c r="H843" s="397" t="s">
        <v>526</v>
      </c>
      <c r="I843" s="435"/>
      <c r="J843" s="436"/>
      <c r="K843" s="437"/>
      <c r="L843" s="311"/>
    </row>
    <row r="844" spans="1:12" ht="27">
      <c r="A844" s="318">
        <v>836</v>
      </c>
      <c r="B844" s="397" t="s">
        <v>3052</v>
      </c>
      <c r="C844" s="467" t="s">
        <v>522</v>
      </c>
      <c r="D844" s="454">
        <v>40000</v>
      </c>
      <c r="E844" s="425" t="s">
        <v>3068</v>
      </c>
      <c r="F844" s="397" t="s">
        <v>3069</v>
      </c>
      <c r="G844" s="397" t="s">
        <v>3070</v>
      </c>
      <c r="H844" s="397" t="s">
        <v>526</v>
      </c>
      <c r="I844" s="435"/>
      <c r="J844" s="436"/>
      <c r="K844" s="437"/>
      <c r="L844" s="311"/>
    </row>
    <row r="845" spans="1:12" ht="27">
      <c r="A845" s="318">
        <v>837</v>
      </c>
      <c r="B845" s="397" t="s">
        <v>3052</v>
      </c>
      <c r="C845" s="467" t="s">
        <v>522</v>
      </c>
      <c r="D845" s="454">
        <v>30000</v>
      </c>
      <c r="E845" s="425" t="s">
        <v>3071</v>
      </c>
      <c r="F845" s="397" t="s">
        <v>3072</v>
      </c>
      <c r="G845" s="397" t="s">
        <v>3073</v>
      </c>
      <c r="H845" s="397" t="s">
        <v>526</v>
      </c>
      <c r="I845" s="435"/>
      <c r="J845" s="436"/>
      <c r="K845" s="437"/>
      <c r="L845" s="311"/>
    </row>
    <row r="846" spans="1:12" ht="27">
      <c r="A846" s="318">
        <v>838</v>
      </c>
      <c r="B846" s="397" t="s">
        <v>3052</v>
      </c>
      <c r="C846" s="467" t="s">
        <v>522</v>
      </c>
      <c r="D846" s="454">
        <v>10000</v>
      </c>
      <c r="E846" s="425" t="s">
        <v>3074</v>
      </c>
      <c r="F846" s="397" t="s">
        <v>3075</v>
      </c>
      <c r="G846" s="397" t="s">
        <v>3076</v>
      </c>
      <c r="H846" s="397" t="s">
        <v>526</v>
      </c>
      <c r="I846" s="435"/>
      <c r="J846" s="436"/>
      <c r="K846" s="437"/>
      <c r="L846" s="311"/>
    </row>
    <row r="847" spans="1:12" ht="27">
      <c r="A847" s="318">
        <v>839</v>
      </c>
      <c r="B847" s="397" t="s">
        <v>3052</v>
      </c>
      <c r="C847" s="467" t="s">
        <v>522</v>
      </c>
      <c r="D847" s="454">
        <v>60000</v>
      </c>
      <c r="E847" s="425" t="s">
        <v>3077</v>
      </c>
      <c r="F847" s="397" t="s">
        <v>3078</v>
      </c>
      <c r="G847" s="397" t="s">
        <v>3079</v>
      </c>
      <c r="H847" s="397" t="s">
        <v>526</v>
      </c>
      <c r="I847" s="435"/>
      <c r="J847" s="436"/>
      <c r="K847" s="437"/>
      <c r="L847" s="311"/>
    </row>
    <row r="848" spans="1:12" ht="27">
      <c r="A848" s="318">
        <v>840</v>
      </c>
      <c r="B848" s="397" t="s">
        <v>3080</v>
      </c>
      <c r="C848" s="467" t="s">
        <v>522</v>
      </c>
      <c r="D848" s="454">
        <v>50000</v>
      </c>
      <c r="E848" s="425" t="s">
        <v>3081</v>
      </c>
      <c r="F848" s="397" t="s">
        <v>3082</v>
      </c>
      <c r="G848" s="397" t="s">
        <v>3083</v>
      </c>
      <c r="H848" s="397" t="s">
        <v>3084</v>
      </c>
      <c r="I848" s="435"/>
      <c r="J848" s="436"/>
      <c r="K848" s="437"/>
      <c r="L848" s="311"/>
    </row>
    <row r="849" spans="1:12" ht="27">
      <c r="A849" s="318">
        <v>841</v>
      </c>
      <c r="B849" s="397" t="s">
        <v>3080</v>
      </c>
      <c r="C849" s="467" t="s">
        <v>522</v>
      </c>
      <c r="D849" s="454">
        <v>25000</v>
      </c>
      <c r="E849" s="425" t="s">
        <v>3085</v>
      </c>
      <c r="F849" s="397" t="s">
        <v>3086</v>
      </c>
      <c r="G849" s="397" t="s">
        <v>3087</v>
      </c>
      <c r="H849" s="397" t="s">
        <v>526</v>
      </c>
      <c r="I849" s="435"/>
      <c r="J849" s="436"/>
      <c r="K849" s="437"/>
      <c r="L849" s="311"/>
    </row>
    <row r="850" spans="1:12" ht="27">
      <c r="A850" s="318">
        <v>842</v>
      </c>
      <c r="B850" s="397" t="s">
        <v>3080</v>
      </c>
      <c r="C850" s="467" t="s">
        <v>522</v>
      </c>
      <c r="D850" s="454">
        <v>20000</v>
      </c>
      <c r="E850" s="425" t="s">
        <v>3088</v>
      </c>
      <c r="F850" s="397" t="s">
        <v>3089</v>
      </c>
      <c r="G850" s="397" t="s">
        <v>3090</v>
      </c>
      <c r="H850" s="397" t="s">
        <v>526</v>
      </c>
      <c r="I850" s="435"/>
      <c r="J850" s="436"/>
      <c r="K850" s="437"/>
      <c r="L850" s="311"/>
    </row>
    <row r="851" spans="1:12" ht="27">
      <c r="A851" s="318">
        <v>843</v>
      </c>
      <c r="B851" s="397" t="s">
        <v>3080</v>
      </c>
      <c r="C851" s="467" t="s">
        <v>522</v>
      </c>
      <c r="D851" s="454">
        <v>60000</v>
      </c>
      <c r="E851" s="425" t="s">
        <v>3091</v>
      </c>
      <c r="F851" s="397" t="s">
        <v>3092</v>
      </c>
      <c r="G851" s="397" t="s">
        <v>3093</v>
      </c>
      <c r="H851" s="397" t="s">
        <v>526</v>
      </c>
      <c r="I851" s="435"/>
      <c r="J851" s="436"/>
      <c r="K851" s="437"/>
      <c r="L851" s="311"/>
    </row>
    <row r="852" spans="1:12" ht="27">
      <c r="A852" s="318">
        <v>844</v>
      </c>
      <c r="B852" s="397" t="s">
        <v>3080</v>
      </c>
      <c r="C852" s="467" t="s">
        <v>522</v>
      </c>
      <c r="D852" s="454">
        <v>10000</v>
      </c>
      <c r="E852" s="425" t="s">
        <v>3094</v>
      </c>
      <c r="F852" s="397" t="s">
        <v>3095</v>
      </c>
      <c r="G852" s="397" t="s">
        <v>3096</v>
      </c>
      <c r="H852" s="397" t="s">
        <v>520</v>
      </c>
      <c r="I852" s="435"/>
      <c r="J852" s="436"/>
      <c r="K852" s="437"/>
      <c r="L852" s="311"/>
    </row>
    <row r="853" spans="1:12" ht="27">
      <c r="A853" s="318">
        <v>845</v>
      </c>
      <c r="B853" s="397" t="s">
        <v>3080</v>
      </c>
      <c r="C853" s="467" t="s">
        <v>522</v>
      </c>
      <c r="D853" s="454">
        <v>46300</v>
      </c>
      <c r="E853" s="425" t="s">
        <v>3097</v>
      </c>
      <c r="F853" s="397" t="s">
        <v>3098</v>
      </c>
      <c r="G853" s="397" t="s">
        <v>3099</v>
      </c>
      <c r="H853" s="397" t="s">
        <v>3100</v>
      </c>
      <c r="I853" s="435"/>
      <c r="J853" s="436"/>
      <c r="K853" s="437"/>
      <c r="L853" s="311"/>
    </row>
    <row r="854" spans="1:12" ht="27">
      <c r="A854" s="318">
        <v>846</v>
      </c>
      <c r="B854" s="397" t="s">
        <v>3101</v>
      </c>
      <c r="C854" s="467" t="s">
        <v>522</v>
      </c>
      <c r="D854" s="454">
        <v>5000</v>
      </c>
      <c r="E854" s="425" t="s">
        <v>3102</v>
      </c>
      <c r="F854" s="397" t="s">
        <v>3103</v>
      </c>
      <c r="G854" s="397" t="s">
        <v>3104</v>
      </c>
      <c r="H854" s="397" t="s">
        <v>526</v>
      </c>
      <c r="I854" s="435"/>
      <c r="J854" s="436"/>
      <c r="K854" s="437"/>
      <c r="L854" s="311"/>
    </row>
    <row r="855" spans="1:12" ht="27">
      <c r="A855" s="318">
        <v>847</v>
      </c>
      <c r="B855" s="397" t="s">
        <v>3101</v>
      </c>
      <c r="C855" s="467" t="s">
        <v>522</v>
      </c>
      <c r="D855" s="454">
        <v>5000</v>
      </c>
      <c r="E855" s="425" t="s">
        <v>3105</v>
      </c>
      <c r="F855" s="397" t="s">
        <v>3106</v>
      </c>
      <c r="G855" s="397" t="s">
        <v>3107</v>
      </c>
      <c r="H855" s="397" t="s">
        <v>526</v>
      </c>
      <c r="I855" s="435"/>
      <c r="J855" s="436"/>
      <c r="K855" s="437"/>
      <c r="L855" s="311"/>
    </row>
    <row r="856" spans="1:12" ht="27">
      <c r="A856" s="318">
        <v>848</v>
      </c>
      <c r="B856" s="397" t="s">
        <v>3101</v>
      </c>
      <c r="C856" s="467" t="s">
        <v>522</v>
      </c>
      <c r="D856" s="454">
        <v>5000</v>
      </c>
      <c r="E856" s="425" t="s">
        <v>3108</v>
      </c>
      <c r="F856" s="397" t="s">
        <v>3109</v>
      </c>
      <c r="G856" s="397" t="s">
        <v>3110</v>
      </c>
      <c r="H856" s="397" t="s">
        <v>526</v>
      </c>
      <c r="I856" s="435"/>
      <c r="J856" s="436"/>
      <c r="K856" s="437"/>
      <c r="L856" s="311"/>
    </row>
    <row r="857" spans="1:12" ht="27">
      <c r="A857" s="318">
        <v>849</v>
      </c>
      <c r="B857" s="397" t="s">
        <v>3101</v>
      </c>
      <c r="C857" s="467" t="s">
        <v>522</v>
      </c>
      <c r="D857" s="454">
        <v>640</v>
      </c>
      <c r="E857" s="425" t="s">
        <v>3111</v>
      </c>
      <c r="F857" s="397" t="s">
        <v>3112</v>
      </c>
      <c r="G857" s="397" t="s">
        <v>3113</v>
      </c>
      <c r="H857" s="397" t="s">
        <v>526</v>
      </c>
      <c r="I857" s="435"/>
      <c r="J857" s="436"/>
      <c r="K857" s="437"/>
      <c r="L857" s="311"/>
    </row>
    <row r="858" spans="1:12" ht="27">
      <c r="A858" s="318">
        <v>850</v>
      </c>
      <c r="B858" s="397" t="s">
        <v>3101</v>
      </c>
      <c r="C858" s="467" t="s">
        <v>522</v>
      </c>
      <c r="D858" s="454">
        <v>480</v>
      </c>
      <c r="E858" s="425" t="s">
        <v>3114</v>
      </c>
      <c r="F858" s="397" t="s">
        <v>3115</v>
      </c>
      <c r="G858" s="397" t="s">
        <v>3116</v>
      </c>
      <c r="H858" s="397" t="s">
        <v>526</v>
      </c>
      <c r="I858" s="435"/>
      <c r="J858" s="436"/>
      <c r="K858" s="437"/>
      <c r="L858" s="311"/>
    </row>
    <row r="859" spans="1:12" ht="27">
      <c r="A859" s="318">
        <v>851</v>
      </c>
      <c r="B859" s="397" t="s">
        <v>3101</v>
      </c>
      <c r="C859" s="467" t="s">
        <v>522</v>
      </c>
      <c r="D859" s="454">
        <v>50000</v>
      </c>
      <c r="E859" s="425" t="s">
        <v>3117</v>
      </c>
      <c r="F859" s="397" t="s">
        <v>3118</v>
      </c>
      <c r="G859" s="397" t="s">
        <v>3119</v>
      </c>
      <c r="H859" s="397" t="s">
        <v>526</v>
      </c>
      <c r="I859" s="435"/>
      <c r="J859" s="436"/>
      <c r="K859" s="437"/>
      <c r="L859" s="311"/>
    </row>
    <row r="860" spans="1:12" ht="27">
      <c r="A860" s="318">
        <v>852</v>
      </c>
      <c r="B860" s="397" t="s">
        <v>3120</v>
      </c>
      <c r="C860" s="467" t="s">
        <v>522</v>
      </c>
      <c r="D860" s="454">
        <v>25000</v>
      </c>
      <c r="E860" s="425" t="s">
        <v>3121</v>
      </c>
      <c r="F860" s="397" t="s">
        <v>3122</v>
      </c>
      <c r="G860" s="397" t="s">
        <v>3123</v>
      </c>
      <c r="H860" s="397" t="s">
        <v>526</v>
      </c>
      <c r="I860" s="435"/>
      <c r="J860" s="436"/>
      <c r="K860" s="437"/>
      <c r="L860" s="311"/>
    </row>
    <row r="861" spans="1:12" ht="27">
      <c r="A861" s="318">
        <v>853</v>
      </c>
      <c r="B861" s="397" t="s">
        <v>3120</v>
      </c>
      <c r="C861" s="467" t="s">
        <v>522</v>
      </c>
      <c r="D861" s="454">
        <v>500</v>
      </c>
      <c r="E861" s="425" t="s">
        <v>2433</v>
      </c>
      <c r="F861" s="397" t="s">
        <v>2434</v>
      </c>
      <c r="G861" s="397" t="s">
        <v>2435</v>
      </c>
      <c r="H861" s="397" t="s">
        <v>526</v>
      </c>
      <c r="I861" s="435"/>
      <c r="J861" s="436"/>
      <c r="K861" s="437"/>
      <c r="L861" s="311"/>
    </row>
    <row r="862" spans="1:12" ht="27">
      <c r="A862" s="318">
        <v>854</v>
      </c>
      <c r="B862" s="397" t="s">
        <v>3120</v>
      </c>
      <c r="C862" s="467" t="s">
        <v>522</v>
      </c>
      <c r="D862" s="454">
        <v>55000</v>
      </c>
      <c r="E862" s="425" t="s">
        <v>3124</v>
      </c>
      <c r="F862" s="397" t="s">
        <v>3125</v>
      </c>
      <c r="G862" s="397" t="s">
        <v>3126</v>
      </c>
      <c r="H862" s="397" t="s">
        <v>526</v>
      </c>
      <c r="I862" s="435"/>
      <c r="J862" s="436"/>
      <c r="K862" s="437"/>
      <c r="L862" s="311"/>
    </row>
    <row r="863" spans="1:12" ht="27">
      <c r="A863" s="318">
        <v>855</v>
      </c>
      <c r="B863" s="397" t="s">
        <v>3127</v>
      </c>
      <c r="C863" s="467" t="s">
        <v>522</v>
      </c>
      <c r="D863" s="454">
        <v>10555</v>
      </c>
      <c r="E863" s="425" t="s">
        <v>2433</v>
      </c>
      <c r="F863" s="397" t="s">
        <v>2434</v>
      </c>
      <c r="G863" s="397" t="s">
        <v>2435</v>
      </c>
      <c r="H863" s="397" t="s">
        <v>526</v>
      </c>
      <c r="I863" s="435"/>
      <c r="J863" s="436"/>
      <c r="K863" s="437"/>
      <c r="L863" s="311"/>
    </row>
    <row r="864" spans="1:12" ht="121.5">
      <c r="A864" s="318">
        <v>856</v>
      </c>
      <c r="B864" s="397" t="s">
        <v>3120</v>
      </c>
      <c r="C864" s="467" t="s">
        <v>527</v>
      </c>
      <c r="D864" s="454">
        <v>5000</v>
      </c>
      <c r="E864" s="425" t="s">
        <v>3128</v>
      </c>
      <c r="F864" s="397" t="s">
        <v>3129</v>
      </c>
      <c r="G864" s="397"/>
      <c r="H864" s="397"/>
      <c r="I864" s="397" t="s">
        <v>3130</v>
      </c>
      <c r="J864" s="436"/>
      <c r="K864" s="437"/>
      <c r="L864" s="311"/>
    </row>
    <row r="865" spans="1:12" ht="30">
      <c r="A865" s="318">
        <v>857</v>
      </c>
      <c r="B865" s="474" t="s">
        <v>2909</v>
      </c>
      <c r="C865" s="467" t="s">
        <v>522</v>
      </c>
      <c r="D865" s="457">
        <v>81025</v>
      </c>
      <c r="E865" s="468" t="s">
        <v>3131</v>
      </c>
      <c r="F865" s="471" t="s">
        <v>3132</v>
      </c>
      <c r="G865" s="468" t="s">
        <v>3133</v>
      </c>
      <c r="H865" s="472" t="s">
        <v>526</v>
      </c>
      <c r="I865" s="435"/>
      <c r="J865" s="436"/>
      <c r="K865" s="437"/>
      <c r="L865" s="311"/>
    </row>
    <row r="866" spans="1:12" ht="30">
      <c r="A866" s="318">
        <v>858</v>
      </c>
      <c r="B866" s="474" t="s">
        <v>2909</v>
      </c>
      <c r="C866" s="467" t="s">
        <v>522</v>
      </c>
      <c r="D866" s="457">
        <v>120000</v>
      </c>
      <c r="E866" s="468" t="s">
        <v>3134</v>
      </c>
      <c r="F866" s="471" t="s">
        <v>3135</v>
      </c>
      <c r="G866" s="468" t="s">
        <v>3136</v>
      </c>
      <c r="H866" s="472" t="s">
        <v>3084</v>
      </c>
      <c r="I866" s="435"/>
      <c r="J866" s="436"/>
      <c r="K866" s="437"/>
      <c r="L866" s="311"/>
    </row>
    <row r="867" spans="1:12" ht="30">
      <c r="A867" s="318">
        <v>859</v>
      </c>
      <c r="B867" s="456" t="s">
        <v>2909</v>
      </c>
      <c r="C867" s="467" t="s">
        <v>522</v>
      </c>
      <c r="D867" s="457">
        <v>120000</v>
      </c>
      <c r="E867" s="443" t="s">
        <v>3137</v>
      </c>
      <c r="F867" s="444" t="s">
        <v>3138</v>
      </c>
      <c r="G867" s="468" t="s">
        <v>3139</v>
      </c>
      <c r="H867" s="472" t="s">
        <v>526</v>
      </c>
      <c r="I867" s="435"/>
      <c r="J867" s="436"/>
      <c r="K867" s="437"/>
      <c r="L867" s="311"/>
    </row>
    <row r="868" spans="1:12" ht="30">
      <c r="A868" s="318">
        <v>860</v>
      </c>
      <c r="B868" s="456" t="s">
        <v>2951</v>
      </c>
      <c r="C868" s="467" t="s">
        <v>522</v>
      </c>
      <c r="D868" s="457">
        <v>50000</v>
      </c>
      <c r="E868" s="443" t="s">
        <v>3140</v>
      </c>
      <c r="F868" s="444" t="s">
        <v>3141</v>
      </c>
      <c r="G868" s="468" t="s">
        <v>3142</v>
      </c>
      <c r="H868" s="445" t="s">
        <v>520</v>
      </c>
      <c r="I868" s="435"/>
      <c r="J868" s="436"/>
      <c r="K868" s="437"/>
      <c r="L868" s="311"/>
    </row>
    <row r="869" spans="1:12" ht="30">
      <c r="A869" s="318">
        <v>861</v>
      </c>
      <c r="B869" s="474" t="s">
        <v>2951</v>
      </c>
      <c r="C869" s="467" t="s">
        <v>522</v>
      </c>
      <c r="D869" s="457">
        <v>50000</v>
      </c>
      <c r="E869" s="468" t="s">
        <v>3143</v>
      </c>
      <c r="F869" s="471" t="s">
        <v>3144</v>
      </c>
      <c r="G869" s="468" t="s">
        <v>3145</v>
      </c>
      <c r="H869" s="445" t="s">
        <v>520</v>
      </c>
      <c r="I869" s="435"/>
      <c r="J869" s="436"/>
      <c r="K869" s="437"/>
      <c r="L869" s="311"/>
    </row>
    <row r="870" spans="1:12" ht="30">
      <c r="A870" s="318">
        <v>862</v>
      </c>
      <c r="B870" s="474" t="s">
        <v>2951</v>
      </c>
      <c r="C870" s="467" t="s">
        <v>522</v>
      </c>
      <c r="D870" s="457">
        <v>60000</v>
      </c>
      <c r="E870" s="468" t="s">
        <v>3146</v>
      </c>
      <c r="F870" s="471" t="s">
        <v>3147</v>
      </c>
      <c r="G870" s="468" t="s">
        <v>3148</v>
      </c>
      <c r="H870" s="472" t="s">
        <v>3149</v>
      </c>
      <c r="I870" s="435"/>
      <c r="J870" s="436"/>
      <c r="K870" s="437"/>
      <c r="L870" s="311"/>
    </row>
    <row r="871" spans="1:12" ht="30">
      <c r="A871" s="318">
        <v>863</v>
      </c>
      <c r="B871" s="474" t="s">
        <v>3023</v>
      </c>
      <c r="C871" s="467" t="s">
        <v>522</v>
      </c>
      <c r="D871" s="457">
        <v>110000</v>
      </c>
      <c r="E871" s="468" t="s">
        <v>3150</v>
      </c>
      <c r="F871" s="471" t="s">
        <v>3151</v>
      </c>
      <c r="G871" s="468" t="s">
        <v>3152</v>
      </c>
      <c r="H871" s="472" t="s">
        <v>1758</v>
      </c>
      <c r="I871" s="435"/>
      <c r="J871" s="436"/>
      <c r="K871" s="437"/>
      <c r="L871" s="311"/>
    </row>
    <row r="872" spans="1:12" ht="30">
      <c r="A872" s="318">
        <v>864</v>
      </c>
      <c r="B872" s="474" t="s">
        <v>3023</v>
      </c>
      <c r="C872" s="467" t="s">
        <v>522</v>
      </c>
      <c r="D872" s="457">
        <v>100000</v>
      </c>
      <c r="E872" s="468" t="s">
        <v>3153</v>
      </c>
      <c r="F872" s="471" t="s">
        <v>3154</v>
      </c>
      <c r="G872" s="468" t="s">
        <v>3155</v>
      </c>
      <c r="H872" s="472" t="s">
        <v>520</v>
      </c>
      <c r="I872" s="435"/>
      <c r="J872" s="436"/>
      <c r="K872" s="437"/>
      <c r="L872" s="311"/>
    </row>
    <row r="873" spans="1:12" ht="30">
      <c r="A873" s="318">
        <v>865</v>
      </c>
      <c r="B873" s="474" t="s">
        <v>3023</v>
      </c>
      <c r="C873" s="467" t="s">
        <v>522</v>
      </c>
      <c r="D873" s="457">
        <v>30000</v>
      </c>
      <c r="E873" s="468" t="s">
        <v>3156</v>
      </c>
      <c r="F873" s="471" t="s">
        <v>3157</v>
      </c>
      <c r="G873" s="468" t="s">
        <v>3158</v>
      </c>
      <c r="H873" s="472" t="s">
        <v>2223</v>
      </c>
      <c r="I873" s="435"/>
      <c r="J873" s="436"/>
      <c r="K873" s="437"/>
      <c r="L873" s="311"/>
    </row>
    <row r="874" spans="1:12" ht="30">
      <c r="A874" s="318">
        <v>866</v>
      </c>
      <c r="B874" s="474" t="s">
        <v>3023</v>
      </c>
      <c r="C874" s="467" t="s">
        <v>522</v>
      </c>
      <c r="D874" s="457">
        <v>120000</v>
      </c>
      <c r="E874" s="468" t="s">
        <v>3159</v>
      </c>
      <c r="F874" s="471" t="s">
        <v>3160</v>
      </c>
      <c r="G874" s="468" t="s">
        <v>3161</v>
      </c>
      <c r="H874" s="472" t="s">
        <v>2223</v>
      </c>
      <c r="I874" s="435"/>
      <c r="J874" s="436"/>
      <c r="K874" s="437"/>
      <c r="L874" s="311"/>
    </row>
    <row r="875" spans="1:12" ht="30">
      <c r="A875" s="318">
        <v>867</v>
      </c>
      <c r="B875" s="474" t="s">
        <v>3080</v>
      </c>
      <c r="C875" s="467" t="s">
        <v>522</v>
      </c>
      <c r="D875" s="457">
        <v>10000</v>
      </c>
      <c r="E875" s="468" t="s">
        <v>3162</v>
      </c>
      <c r="F875" s="471" t="s">
        <v>3163</v>
      </c>
      <c r="G875" s="468" t="s">
        <v>3164</v>
      </c>
      <c r="H875" s="472" t="s">
        <v>2223</v>
      </c>
      <c r="I875" s="435"/>
      <c r="J875" s="436"/>
      <c r="K875" s="437"/>
      <c r="L875" s="311"/>
    </row>
    <row r="876" spans="1:12" ht="30">
      <c r="A876" s="318">
        <v>868</v>
      </c>
      <c r="B876" s="474" t="s">
        <v>3080</v>
      </c>
      <c r="C876" s="467" t="s">
        <v>522</v>
      </c>
      <c r="D876" s="457">
        <v>60000</v>
      </c>
      <c r="E876" s="468" t="s">
        <v>3165</v>
      </c>
      <c r="F876" s="471" t="s">
        <v>3166</v>
      </c>
      <c r="G876" s="468" t="s">
        <v>3167</v>
      </c>
      <c r="H876" s="472" t="s">
        <v>520</v>
      </c>
      <c r="I876" s="435"/>
      <c r="J876" s="436"/>
      <c r="K876" s="437"/>
      <c r="L876" s="311"/>
    </row>
    <row r="877" spans="1:12" ht="30">
      <c r="A877" s="318">
        <v>869</v>
      </c>
      <c r="B877" s="474" t="s">
        <v>3080</v>
      </c>
      <c r="C877" s="467" t="s">
        <v>522</v>
      </c>
      <c r="D877" s="457">
        <v>1</v>
      </c>
      <c r="E877" s="468" t="s">
        <v>3165</v>
      </c>
      <c r="F877" s="471" t="s">
        <v>3166</v>
      </c>
      <c r="G877" s="468" t="s">
        <v>3167</v>
      </c>
      <c r="H877" s="472" t="s">
        <v>520</v>
      </c>
      <c r="I877" s="435"/>
      <c r="J877" s="436"/>
      <c r="K877" s="437"/>
      <c r="L877" s="311"/>
    </row>
    <row r="878" spans="1:12" ht="30">
      <c r="A878" s="318">
        <v>870</v>
      </c>
      <c r="B878" s="474" t="s">
        <v>3080</v>
      </c>
      <c r="C878" s="467" t="s">
        <v>522</v>
      </c>
      <c r="D878" s="457">
        <v>5000</v>
      </c>
      <c r="E878" s="468" t="s">
        <v>3168</v>
      </c>
      <c r="F878" s="471" t="s">
        <v>3169</v>
      </c>
      <c r="G878" s="468" t="s">
        <v>3170</v>
      </c>
      <c r="H878" s="472" t="s">
        <v>2223</v>
      </c>
      <c r="I878" s="435"/>
      <c r="J878" s="436"/>
      <c r="K878" s="437"/>
      <c r="L878" s="311"/>
    </row>
    <row r="879" spans="1:12" ht="30">
      <c r="A879" s="318">
        <v>871</v>
      </c>
      <c r="B879" s="474" t="s">
        <v>3101</v>
      </c>
      <c r="C879" s="467" t="s">
        <v>522</v>
      </c>
      <c r="D879" s="457">
        <v>20000</v>
      </c>
      <c r="E879" s="468" t="s">
        <v>3171</v>
      </c>
      <c r="F879" s="471" t="s">
        <v>3172</v>
      </c>
      <c r="G879" s="468" t="s">
        <v>3173</v>
      </c>
      <c r="H879" s="472" t="s">
        <v>1758</v>
      </c>
      <c r="I879" s="435"/>
      <c r="J879" s="436"/>
      <c r="K879" s="437"/>
      <c r="L879" s="311"/>
    </row>
    <row r="880" spans="1:12" ht="30">
      <c r="A880" s="318">
        <v>872</v>
      </c>
      <c r="B880" s="397" t="s">
        <v>3127</v>
      </c>
      <c r="C880" s="467" t="s">
        <v>522</v>
      </c>
      <c r="D880" s="457">
        <v>1000</v>
      </c>
      <c r="E880" s="468" t="s">
        <v>3174</v>
      </c>
      <c r="F880" s="471" t="s">
        <v>3175</v>
      </c>
      <c r="G880" s="468" t="s">
        <v>3176</v>
      </c>
      <c r="H880" s="472" t="s">
        <v>520</v>
      </c>
      <c r="I880" s="435"/>
      <c r="J880" s="436"/>
      <c r="K880" s="437"/>
      <c r="L880" s="311"/>
    </row>
    <row r="881" spans="1:12" ht="153">
      <c r="A881" s="318">
        <v>873</v>
      </c>
      <c r="B881" s="480" t="s">
        <v>3023</v>
      </c>
      <c r="C881" s="467" t="s">
        <v>527</v>
      </c>
      <c r="D881" s="454">
        <v>1000</v>
      </c>
      <c r="E881" s="476" t="s">
        <v>2906</v>
      </c>
      <c r="F881" s="471" t="s">
        <v>2907</v>
      </c>
      <c r="G881" s="397"/>
      <c r="H881" s="397"/>
      <c r="I881" s="435"/>
      <c r="J881" s="479" t="s">
        <v>3177</v>
      </c>
      <c r="K881" s="437"/>
      <c r="L881" s="311"/>
    </row>
    <row r="882" spans="1:12" ht="27">
      <c r="A882" s="318">
        <v>874</v>
      </c>
      <c r="B882" s="397" t="s">
        <v>3178</v>
      </c>
      <c r="C882" s="467" t="s">
        <v>522</v>
      </c>
      <c r="D882" s="481">
        <v>40000</v>
      </c>
      <c r="E882" s="482" t="s">
        <v>3179</v>
      </c>
      <c r="F882" s="397" t="s">
        <v>3180</v>
      </c>
      <c r="G882" s="397" t="s">
        <v>3181</v>
      </c>
      <c r="H882" s="397" t="s">
        <v>526</v>
      </c>
      <c r="I882" s="483"/>
      <c r="J882" s="483"/>
      <c r="K882" s="437"/>
      <c r="L882" s="311"/>
    </row>
    <row r="883" spans="1:12" ht="27">
      <c r="A883" s="318">
        <v>875</v>
      </c>
      <c r="B883" s="397" t="s">
        <v>3178</v>
      </c>
      <c r="C883" s="467" t="s">
        <v>522</v>
      </c>
      <c r="D883" s="481">
        <v>25000</v>
      </c>
      <c r="E883" s="482" t="s">
        <v>3182</v>
      </c>
      <c r="F883" s="397" t="s">
        <v>3183</v>
      </c>
      <c r="G883" s="397" t="s">
        <v>3184</v>
      </c>
      <c r="H883" s="397" t="s">
        <v>526</v>
      </c>
      <c r="I883" s="483"/>
      <c r="J883" s="483"/>
      <c r="K883" s="437"/>
      <c r="L883" s="311"/>
    </row>
    <row r="884" spans="1:12" ht="27">
      <c r="A884" s="318">
        <v>876</v>
      </c>
      <c r="B884" s="397" t="s">
        <v>3178</v>
      </c>
      <c r="C884" s="467" t="s">
        <v>522</v>
      </c>
      <c r="D884" s="481">
        <v>1600</v>
      </c>
      <c r="E884" s="482" t="s">
        <v>3185</v>
      </c>
      <c r="F884" s="397" t="s">
        <v>3186</v>
      </c>
      <c r="G884" s="397" t="s">
        <v>3187</v>
      </c>
      <c r="H884" s="397" t="s">
        <v>526</v>
      </c>
      <c r="I884" s="483"/>
      <c r="J884" s="483"/>
      <c r="K884" s="437"/>
      <c r="L884" s="311"/>
    </row>
    <row r="885" spans="1:12" ht="27">
      <c r="A885" s="318">
        <v>877</v>
      </c>
      <c r="B885" s="397" t="s">
        <v>3178</v>
      </c>
      <c r="C885" s="467" t="s">
        <v>522</v>
      </c>
      <c r="D885" s="481">
        <v>1600</v>
      </c>
      <c r="E885" s="482" t="s">
        <v>3188</v>
      </c>
      <c r="F885" s="397" t="s">
        <v>3189</v>
      </c>
      <c r="G885" s="397" t="s">
        <v>3190</v>
      </c>
      <c r="H885" s="397" t="s">
        <v>526</v>
      </c>
      <c r="I885" s="483"/>
      <c r="J885" s="483"/>
      <c r="K885" s="437"/>
      <c r="L885" s="311"/>
    </row>
    <row r="886" spans="1:12" ht="27">
      <c r="A886" s="318">
        <v>878</v>
      </c>
      <c r="B886" s="397" t="s">
        <v>3178</v>
      </c>
      <c r="C886" s="467" t="s">
        <v>522</v>
      </c>
      <c r="D886" s="481">
        <v>1600</v>
      </c>
      <c r="E886" s="482" t="s">
        <v>3191</v>
      </c>
      <c r="F886" s="397" t="s">
        <v>3192</v>
      </c>
      <c r="G886" s="397" t="s">
        <v>3193</v>
      </c>
      <c r="H886" s="397" t="s">
        <v>526</v>
      </c>
      <c r="I886" s="483"/>
      <c r="J886" s="483"/>
      <c r="K886" s="437"/>
      <c r="L886" s="311"/>
    </row>
    <row r="887" spans="1:12" ht="27">
      <c r="A887" s="318">
        <v>879</v>
      </c>
      <c r="B887" s="397" t="s">
        <v>3194</v>
      </c>
      <c r="C887" s="467" t="s">
        <v>522</v>
      </c>
      <c r="D887" s="481">
        <v>15000</v>
      </c>
      <c r="E887" s="482" t="s">
        <v>3195</v>
      </c>
      <c r="F887" s="397" t="s">
        <v>3196</v>
      </c>
      <c r="G887" s="397" t="s">
        <v>3197</v>
      </c>
      <c r="H887" s="397" t="s">
        <v>526</v>
      </c>
      <c r="I887" s="483"/>
      <c r="J887" s="483"/>
      <c r="K887" s="437"/>
      <c r="L887" s="311"/>
    </row>
    <row r="888" spans="1:12" ht="27">
      <c r="A888" s="318">
        <v>880</v>
      </c>
      <c r="B888" s="397" t="s">
        <v>3194</v>
      </c>
      <c r="C888" s="467" t="s">
        <v>522</v>
      </c>
      <c r="D888" s="481">
        <v>15000</v>
      </c>
      <c r="E888" s="482" t="s">
        <v>3198</v>
      </c>
      <c r="F888" s="397" t="s">
        <v>3199</v>
      </c>
      <c r="G888" s="397" t="s">
        <v>3200</v>
      </c>
      <c r="H888" s="397" t="s">
        <v>526</v>
      </c>
      <c r="I888" s="483"/>
      <c r="J888" s="483"/>
      <c r="K888" s="437"/>
      <c r="L888" s="311"/>
    </row>
    <row r="889" spans="1:12" ht="27">
      <c r="A889" s="318">
        <v>881</v>
      </c>
      <c r="B889" s="397" t="s">
        <v>3194</v>
      </c>
      <c r="C889" s="467" t="s">
        <v>522</v>
      </c>
      <c r="D889" s="481">
        <v>60000</v>
      </c>
      <c r="E889" s="482" t="s">
        <v>3201</v>
      </c>
      <c r="F889" s="397" t="s">
        <v>3202</v>
      </c>
      <c r="G889" s="397" t="s">
        <v>3203</v>
      </c>
      <c r="H889" s="397" t="s">
        <v>526</v>
      </c>
      <c r="I889" s="483"/>
      <c r="J889" s="483"/>
      <c r="K889" s="437"/>
      <c r="L889" s="311"/>
    </row>
    <row r="890" spans="1:12" ht="27">
      <c r="A890" s="318">
        <v>882</v>
      </c>
      <c r="B890" s="397" t="s">
        <v>3194</v>
      </c>
      <c r="C890" s="467" t="s">
        <v>522</v>
      </c>
      <c r="D890" s="481">
        <v>2533</v>
      </c>
      <c r="E890" s="482" t="s">
        <v>3204</v>
      </c>
      <c r="F890" s="397" t="s">
        <v>3205</v>
      </c>
      <c r="G890" s="397" t="s">
        <v>3206</v>
      </c>
      <c r="H890" s="397" t="s">
        <v>526</v>
      </c>
      <c r="I890" s="483"/>
      <c r="J890" s="483"/>
      <c r="K890" s="437"/>
      <c r="L890" s="311"/>
    </row>
    <row r="891" spans="1:12" ht="27">
      <c r="A891" s="318">
        <v>883</v>
      </c>
      <c r="B891" s="397" t="s">
        <v>3194</v>
      </c>
      <c r="C891" s="467" t="s">
        <v>522</v>
      </c>
      <c r="D891" s="481">
        <v>40000</v>
      </c>
      <c r="E891" s="482" t="s">
        <v>3207</v>
      </c>
      <c r="F891" s="397" t="s">
        <v>3208</v>
      </c>
      <c r="G891" s="397" t="s">
        <v>3209</v>
      </c>
      <c r="H891" s="397" t="s">
        <v>526</v>
      </c>
      <c r="I891" s="483"/>
      <c r="J891" s="483"/>
      <c r="K891" s="437"/>
      <c r="L891" s="311"/>
    </row>
    <row r="892" spans="1:12" ht="27">
      <c r="A892" s="318">
        <v>884</v>
      </c>
      <c r="B892" s="397" t="s">
        <v>3194</v>
      </c>
      <c r="C892" s="467" t="s">
        <v>522</v>
      </c>
      <c r="D892" s="481">
        <v>40000</v>
      </c>
      <c r="E892" s="482" t="s">
        <v>3210</v>
      </c>
      <c r="F892" s="397" t="s">
        <v>3211</v>
      </c>
      <c r="G892" s="397" t="s">
        <v>3212</v>
      </c>
      <c r="H892" s="397" t="s">
        <v>526</v>
      </c>
      <c r="I892" s="483"/>
      <c r="J892" s="483"/>
      <c r="K892" s="437"/>
      <c r="L892" s="311"/>
    </row>
    <row r="893" spans="1:12" ht="27">
      <c r="A893" s="318">
        <v>885</v>
      </c>
      <c r="B893" s="397" t="s">
        <v>3194</v>
      </c>
      <c r="C893" s="467" t="s">
        <v>522</v>
      </c>
      <c r="D893" s="481">
        <v>55000</v>
      </c>
      <c r="E893" s="482" t="s">
        <v>3213</v>
      </c>
      <c r="F893" s="397" t="s">
        <v>3214</v>
      </c>
      <c r="G893" s="397" t="s">
        <v>3215</v>
      </c>
      <c r="H893" s="397" t="s">
        <v>526</v>
      </c>
      <c r="I893" s="483"/>
      <c r="J893" s="483"/>
      <c r="K893" s="437"/>
      <c r="L893" s="311"/>
    </row>
    <row r="894" spans="1:12" ht="27">
      <c r="A894" s="318">
        <v>886</v>
      </c>
      <c r="B894" s="397" t="s">
        <v>3194</v>
      </c>
      <c r="C894" s="467" t="s">
        <v>522</v>
      </c>
      <c r="D894" s="481">
        <v>25000</v>
      </c>
      <c r="E894" s="482" t="s">
        <v>3216</v>
      </c>
      <c r="F894" s="397" t="s">
        <v>3217</v>
      </c>
      <c r="G894" s="397" t="s">
        <v>3218</v>
      </c>
      <c r="H894" s="397" t="s">
        <v>526</v>
      </c>
      <c r="I894" s="483"/>
      <c r="J894" s="483"/>
      <c r="K894" s="437"/>
      <c r="L894" s="311"/>
    </row>
    <row r="895" spans="1:12" ht="27">
      <c r="A895" s="318">
        <v>887</v>
      </c>
      <c r="B895" s="397" t="s">
        <v>3194</v>
      </c>
      <c r="C895" s="467" t="s">
        <v>522</v>
      </c>
      <c r="D895" s="481">
        <v>25000</v>
      </c>
      <c r="E895" s="482" t="s">
        <v>3219</v>
      </c>
      <c r="F895" s="397" t="s">
        <v>3220</v>
      </c>
      <c r="G895" s="397" t="s">
        <v>3221</v>
      </c>
      <c r="H895" s="397" t="s">
        <v>526</v>
      </c>
      <c r="I895" s="483"/>
      <c r="J895" s="483"/>
      <c r="K895" s="437"/>
      <c r="L895" s="311"/>
    </row>
    <row r="896" spans="1:12" ht="27">
      <c r="A896" s="318">
        <v>888</v>
      </c>
      <c r="B896" s="397" t="s">
        <v>3194</v>
      </c>
      <c r="C896" s="467" t="s">
        <v>522</v>
      </c>
      <c r="D896" s="481">
        <v>60000</v>
      </c>
      <c r="E896" s="482" t="s">
        <v>3222</v>
      </c>
      <c r="F896" s="397" t="s">
        <v>3223</v>
      </c>
      <c r="G896" s="397" t="s">
        <v>3224</v>
      </c>
      <c r="H896" s="397" t="s">
        <v>526</v>
      </c>
      <c r="I896" s="483"/>
      <c r="J896" s="483"/>
      <c r="K896" s="437"/>
      <c r="L896" s="311"/>
    </row>
    <row r="897" spans="1:12" ht="27">
      <c r="A897" s="318">
        <v>889</v>
      </c>
      <c r="B897" s="397" t="s">
        <v>3194</v>
      </c>
      <c r="C897" s="467" t="s">
        <v>522</v>
      </c>
      <c r="D897" s="481">
        <v>60000</v>
      </c>
      <c r="E897" s="482" t="s">
        <v>3225</v>
      </c>
      <c r="F897" s="397" t="s">
        <v>3226</v>
      </c>
      <c r="G897" s="397" t="s">
        <v>3227</v>
      </c>
      <c r="H897" s="397" t="s">
        <v>526</v>
      </c>
      <c r="I897" s="483"/>
      <c r="J897" s="483"/>
      <c r="K897" s="437"/>
      <c r="L897" s="311"/>
    </row>
    <row r="898" spans="1:12" ht="27">
      <c r="A898" s="318">
        <v>890</v>
      </c>
      <c r="B898" s="397" t="s">
        <v>3194</v>
      </c>
      <c r="C898" s="467" t="s">
        <v>522</v>
      </c>
      <c r="D898" s="481">
        <v>60000</v>
      </c>
      <c r="E898" s="482" t="s">
        <v>3228</v>
      </c>
      <c r="F898" s="397" t="s">
        <v>3229</v>
      </c>
      <c r="G898" s="397" t="s">
        <v>3230</v>
      </c>
      <c r="H898" s="397" t="s">
        <v>526</v>
      </c>
      <c r="I898" s="483"/>
      <c r="J898" s="483"/>
      <c r="K898" s="437"/>
      <c r="L898" s="311"/>
    </row>
    <row r="899" spans="1:12" ht="27">
      <c r="A899" s="318">
        <v>891</v>
      </c>
      <c r="B899" s="397" t="s">
        <v>3194</v>
      </c>
      <c r="C899" s="467" t="s">
        <v>522</v>
      </c>
      <c r="D899" s="481">
        <v>60000</v>
      </c>
      <c r="E899" s="482" t="s">
        <v>3231</v>
      </c>
      <c r="F899" s="397" t="s">
        <v>3232</v>
      </c>
      <c r="G899" s="397" t="s">
        <v>3233</v>
      </c>
      <c r="H899" s="397" t="s">
        <v>526</v>
      </c>
      <c r="I899" s="483"/>
      <c r="J899" s="483"/>
      <c r="K899" s="437"/>
      <c r="L899" s="311"/>
    </row>
    <row r="900" spans="1:12" ht="27">
      <c r="A900" s="318">
        <v>892</v>
      </c>
      <c r="B900" s="397" t="s">
        <v>3234</v>
      </c>
      <c r="C900" s="467" t="s">
        <v>522</v>
      </c>
      <c r="D900" s="481">
        <v>100</v>
      </c>
      <c r="E900" s="482" t="s">
        <v>3235</v>
      </c>
      <c r="F900" s="397" t="s">
        <v>3236</v>
      </c>
      <c r="G900" s="397" t="s">
        <v>3237</v>
      </c>
      <c r="H900" s="397" t="s">
        <v>526</v>
      </c>
      <c r="I900" s="483"/>
      <c r="J900" s="483"/>
      <c r="K900" s="437"/>
      <c r="L900" s="311"/>
    </row>
    <row r="901" spans="1:12" ht="27">
      <c r="A901" s="318">
        <v>893</v>
      </c>
      <c r="B901" s="397" t="s">
        <v>3234</v>
      </c>
      <c r="C901" s="467" t="s">
        <v>522</v>
      </c>
      <c r="D901" s="481">
        <v>20000</v>
      </c>
      <c r="E901" s="482" t="s">
        <v>3238</v>
      </c>
      <c r="F901" s="397" t="s">
        <v>3239</v>
      </c>
      <c r="G901" s="397" t="s">
        <v>3240</v>
      </c>
      <c r="H901" s="397" t="s">
        <v>526</v>
      </c>
      <c r="I901" s="483"/>
      <c r="J901" s="483"/>
      <c r="K901" s="437"/>
      <c r="L901" s="311"/>
    </row>
    <row r="902" spans="1:12" ht="27">
      <c r="A902" s="318">
        <v>894</v>
      </c>
      <c r="B902" s="397" t="s">
        <v>3234</v>
      </c>
      <c r="C902" s="467" t="s">
        <v>522</v>
      </c>
      <c r="D902" s="481">
        <v>50000</v>
      </c>
      <c r="E902" s="482" t="s">
        <v>539</v>
      </c>
      <c r="F902" s="397" t="s">
        <v>540</v>
      </c>
      <c r="G902" s="397" t="s">
        <v>541</v>
      </c>
      <c r="H902" s="397" t="s">
        <v>526</v>
      </c>
      <c r="I902" s="483"/>
      <c r="J902" s="483"/>
      <c r="K902" s="437"/>
      <c r="L902" s="311"/>
    </row>
    <row r="903" spans="1:12" ht="27">
      <c r="A903" s="318">
        <v>895</v>
      </c>
      <c r="B903" s="397" t="s">
        <v>3234</v>
      </c>
      <c r="C903" s="467" t="s">
        <v>522</v>
      </c>
      <c r="D903" s="481">
        <v>7000</v>
      </c>
      <c r="E903" s="482" t="s">
        <v>2682</v>
      </c>
      <c r="F903" s="397" t="s">
        <v>2683</v>
      </c>
      <c r="G903" s="397" t="s">
        <v>2684</v>
      </c>
      <c r="H903" s="397" t="s">
        <v>526</v>
      </c>
      <c r="I903" s="483"/>
      <c r="J903" s="483"/>
      <c r="K903" s="437"/>
      <c r="L903" s="311"/>
    </row>
    <row r="904" spans="1:12" ht="27">
      <c r="A904" s="318">
        <v>896</v>
      </c>
      <c r="B904" s="397" t="s">
        <v>3241</v>
      </c>
      <c r="C904" s="467" t="s">
        <v>522</v>
      </c>
      <c r="D904" s="481">
        <v>5000</v>
      </c>
      <c r="E904" s="482" t="s">
        <v>3242</v>
      </c>
      <c r="F904" s="397" t="s">
        <v>3243</v>
      </c>
      <c r="G904" s="397" t="s">
        <v>3244</v>
      </c>
      <c r="H904" s="397" t="s">
        <v>526</v>
      </c>
      <c r="I904" s="483"/>
      <c r="J904" s="483"/>
      <c r="K904" s="437"/>
      <c r="L904" s="311"/>
    </row>
    <row r="905" spans="1:12" ht="27">
      <c r="A905" s="318">
        <v>897</v>
      </c>
      <c r="B905" s="397" t="s">
        <v>3241</v>
      </c>
      <c r="C905" s="467" t="s">
        <v>522</v>
      </c>
      <c r="D905" s="481">
        <v>40000</v>
      </c>
      <c r="E905" s="482" t="s">
        <v>3245</v>
      </c>
      <c r="F905" s="397" t="s">
        <v>3246</v>
      </c>
      <c r="G905" s="397" t="s">
        <v>3247</v>
      </c>
      <c r="H905" s="397" t="s">
        <v>526</v>
      </c>
      <c r="I905" s="483"/>
      <c r="J905" s="483"/>
      <c r="K905" s="437"/>
      <c r="L905" s="311"/>
    </row>
    <row r="906" spans="1:12" ht="27">
      <c r="A906" s="318">
        <v>898</v>
      </c>
      <c r="B906" s="397" t="s">
        <v>3241</v>
      </c>
      <c r="C906" s="467" t="s">
        <v>522</v>
      </c>
      <c r="D906" s="481">
        <v>50000</v>
      </c>
      <c r="E906" s="482" t="s">
        <v>3248</v>
      </c>
      <c r="F906" s="397" t="s">
        <v>3249</v>
      </c>
      <c r="G906" s="397" t="s">
        <v>3250</v>
      </c>
      <c r="H906" s="397" t="s">
        <v>526</v>
      </c>
      <c r="I906" s="483"/>
      <c r="J906" s="483"/>
      <c r="K906" s="437"/>
      <c r="L906" s="311"/>
    </row>
    <row r="907" spans="1:12" ht="27">
      <c r="A907" s="318">
        <v>899</v>
      </c>
      <c r="B907" s="397" t="s">
        <v>3241</v>
      </c>
      <c r="C907" s="467" t="s">
        <v>522</v>
      </c>
      <c r="D907" s="481">
        <v>10000</v>
      </c>
      <c r="E907" s="482" t="s">
        <v>3251</v>
      </c>
      <c r="F907" s="397" t="s">
        <v>3252</v>
      </c>
      <c r="G907" s="397" t="s">
        <v>3253</v>
      </c>
      <c r="H907" s="397" t="s">
        <v>526</v>
      </c>
      <c r="I907" s="483"/>
      <c r="J907" s="483"/>
      <c r="K907" s="437"/>
      <c r="L907" s="311"/>
    </row>
    <row r="908" spans="1:12" ht="27">
      <c r="A908" s="318">
        <v>900</v>
      </c>
      <c r="B908" s="397" t="s">
        <v>3241</v>
      </c>
      <c r="C908" s="467" t="s">
        <v>522</v>
      </c>
      <c r="D908" s="481">
        <v>15000</v>
      </c>
      <c r="E908" s="482" t="s">
        <v>3254</v>
      </c>
      <c r="F908" s="397" t="s">
        <v>3255</v>
      </c>
      <c r="G908" s="397" t="s">
        <v>3256</v>
      </c>
      <c r="H908" s="397" t="s">
        <v>526</v>
      </c>
      <c r="I908" s="483"/>
      <c r="J908" s="483"/>
      <c r="K908" s="437"/>
      <c r="L908" s="311"/>
    </row>
    <row r="909" spans="1:12" ht="27">
      <c r="A909" s="318">
        <v>901</v>
      </c>
      <c r="B909" s="397" t="s">
        <v>3241</v>
      </c>
      <c r="C909" s="467" t="s">
        <v>522</v>
      </c>
      <c r="D909" s="481">
        <v>35000</v>
      </c>
      <c r="E909" s="482" t="s">
        <v>3257</v>
      </c>
      <c r="F909" s="397" t="s">
        <v>3258</v>
      </c>
      <c r="G909" s="397" t="s">
        <v>3259</v>
      </c>
      <c r="H909" s="397" t="s">
        <v>526</v>
      </c>
      <c r="I909" s="483"/>
      <c r="J909" s="483"/>
      <c r="K909" s="437"/>
      <c r="L909" s="311"/>
    </row>
    <row r="910" spans="1:12" ht="27">
      <c r="A910" s="318">
        <v>902</v>
      </c>
      <c r="B910" s="397" t="s">
        <v>3241</v>
      </c>
      <c r="C910" s="467" t="s">
        <v>522</v>
      </c>
      <c r="D910" s="481">
        <v>35000</v>
      </c>
      <c r="E910" s="482" t="s">
        <v>3260</v>
      </c>
      <c r="F910" s="397" t="s">
        <v>3261</v>
      </c>
      <c r="G910" s="397" t="s">
        <v>3262</v>
      </c>
      <c r="H910" s="397" t="s">
        <v>526</v>
      </c>
      <c r="I910" s="483"/>
      <c r="J910" s="483"/>
      <c r="K910" s="437"/>
      <c r="L910" s="311"/>
    </row>
    <row r="911" spans="1:12" ht="27">
      <c r="A911" s="318">
        <v>903</v>
      </c>
      <c r="B911" s="397" t="s">
        <v>3241</v>
      </c>
      <c r="C911" s="467" t="s">
        <v>522</v>
      </c>
      <c r="D911" s="481">
        <v>1250</v>
      </c>
      <c r="E911" s="482" t="s">
        <v>3263</v>
      </c>
      <c r="F911" s="397" t="s">
        <v>3264</v>
      </c>
      <c r="G911" s="397" t="s">
        <v>3265</v>
      </c>
      <c r="H911" s="397" t="s">
        <v>526</v>
      </c>
      <c r="I911" s="483"/>
      <c r="J911" s="483"/>
      <c r="K911" s="437"/>
      <c r="L911" s="311"/>
    </row>
    <row r="912" spans="1:12" ht="27">
      <c r="A912" s="318">
        <v>904</v>
      </c>
      <c r="B912" s="397" t="s">
        <v>3266</v>
      </c>
      <c r="C912" s="467" t="s">
        <v>522</v>
      </c>
      <c r="D912" s="481">
        <v>10000</v>
      </c>
      <c r="E912" s="425" t="s">
        <v>3267</v>
      </c>
      <c r="F912" s="397" t="s">
        <v>3268</v>
      </c>
      <c r="G912" s="397" t="s">
        <v>3269</v>
      </c>
      <c r="H912" s="397" t="s">
        <v>1758</v>
      </c>
      <c r="I912" s="483"/>
      <c r="J912" s="483"/>
      <c r="K912" s="437"/>
      <c r="L912" s="311"/>
    </row>
    <row r="913" spans="1:12" ht="27">
      <c r="A913" s="318">
        <v>905</v>
      </c>
      <c r="B913" s="397" t="s">
        <v>3266</v>
      </c>
      <c r="C913" s="467" t="s">
        <v>522</v>
      </c>
      <c r="D913" s="481">
        <v>4000</v>
      </c>
      <c r="E913" s="425" t="s">
        <v>3270</v>
      </c>
      <c r="F913" s="397" t="s">
        <v>3271</v>
      </c>
      <c r="G913" s="397" t="s">
        <v>3272</v>
      </c>
      <c r="H913" s="397" t="s">
        <v>1758</v>
      </c>
      <c r="I913" s="483"/>
      <c r="J913" s="483"/>
      <c r="K913" s="437"/>
      <c r="L913" s="311"/>
    </row>
    <row r="914" spans="1:12" ht="27">
      <c r="A914" s="318">
        <v>906</v>
      </c>
      <c r="B914" s="397" t="s">
        <v>3266</v>
      </c>
      <c r="C914" s="467" t="s">
        <v>522</v>
      </c>
      <c r="D914" s="481">
        <v>11000</v>
      </c>
      <c r="E914" s="425" t="s">
        <v>3273</v>
      </c>
      <c r="F914" s="397" t="s">
        <v>3274</v>
      </c>
      <c r="G914" s="397" t="s">
        <v>3275</v>
      </c>
      <c r="H914" s="397" t="s">
        <v>1758</v>
      </c>
      <c r="I914" s="483"/>
      <c r="J914" s="483"/>
      <c r="K914" s="437"/>
      <c r="L914" s="311"/>
    </row>
    <row r="915" spans="1:12" ht="30">
      <c r="A915" s="318">
        <v>907</v>
      </c>
      <c r="B915" s="397" t="s">
        <v>3194</v>
      </c>
      <c r="C915" s="467" t="s">
        <v>522</v>
      </c>
      <c r="D915" s="457">
        <v>100000</v>
      </c>
      <c r="E915" s="468" t="s">
        <v>3276</v>
      </c>
      <c r="F915" s="471" t="s">
        <v>3277</v>
      </c>
      <c r="G915" s="468" t="s">
        <v>3278</v>
      </c>
      <c r="H915" s="472" t="s">
        <v>3084</v>
      </c>
      <c r="I915" s="483"/>
      <c r="J915" s="483"/>
      <c r="K915" s="437"/>
      <c r="L915" s="311"/>
    </row>
    <row r="916" spans="1:12" ht="30">
      <c r="A916" s="318">
        <v>908</v>
      </c>
      <c r="B916" s="397" t="s">
        <v>3194</v>
      </c>
      <c r="C916" s="467" t="s">
        <v>522</v>
      </c>
      <c r="D916" s="457">
        <v>120000</v>
      </c>
      <c r="E916" s="468" t="s">
        <v>3279</v>
      </c>
      <c r="F916" s="471" t="s">
        <v>3280</v>
      </c>
      <c r="G916" s="468" t="s">
        <v>3281</v>
      </c>
      <c r="H916" s="472" t="s">
        <v>520</v>
      </c>
      <c r="I916" s="483"/>
      <c r="J916" s="483"/>
      <c r="K916" s="437"/>
      <c r="L916" s="311"/>
    </row>
    <row r="917" spans="1:12" ht="30">
      <c r="A917" s="318">
        <v>909</v>
      </c>
      <c r="B917" s="397" t="s">
        <v>3194</v>
      </c>
      <c r="C917" s="467" t="s">
        <v>522</v>
      </c>
      <c r="D917" s="457">
        <v>60000</v>
      </c>
      <c r="E917" s="468" t="s">
        <v>3282</v>
      </c>
      <c r="F917" s="471" t="s">
        <v>3283</v>
      </c>
      <c r="G917" s="468" t="s">
        <v>3284</v>
      </c>
      <c r="H917" s="472" t="s">
        <v>526</v>
      </c>
      <c r="I917" s="483"/>
      <c r="J917" s="483"/>
      <c r="K917" s="437"/>
      <c r="L917" s="311"/>
    </row>
    <row r="918" spans="1:12" ht="30">
      <c r="A918" s="318">
        <v>910</v>
      </c>
      <c r="B918" s="397" t="s">
        <v>3241</v>
      </c>
      <c r="C918" s="467" t="s">
        <v>522</v>
      </c>
      <c r="D918" s="457">
        <v>100000</v>
      </c>
      <c r="E918" s="468" t="s">
        <v>3285</v>
      </c>
      <c r="F918" s="471" t="s">
        <v>3286</v>
      </c>
      <c r="G918" s="468" t="s">
        <v>3287</v>
      </c>
      <c r="H918" s="472" t="s">
        <v>526</v>
      </c>
      <c r="I918" s="483"/>
      <c r="J918" s="483"/>
      <c r="K918" s="437"/>
      <c r="L918" s="311"/>
    </row>
    <row r="919" spans="1:12" ht="27">
      <c r="A919" s="318">
        <v>911</v>
      </c>
      <c r="B919" s="397" t="s">
        <v>3288</v>
      </c>
      <c r="C919" s="467" t="s">
        <v>522</v>
      </c>
      <c r="D919" s="430">
        <v>40000</v>
      </c>
      <c r="E919" s="425" t="s">
        <v>3289</v>
      </c>
      <c r="F919" s="397" t="s">
        <v>3290</v>
      </c>
      <c r="G919" s="397" t="s">
        <v>3291</v>
      </c>
      <c r="H919" s="472" t="s">
        <v>526</v>
      </c>
      <c r="I919" s="483"/>
      <c r="J919" s="483"/>
      <c r="K919" s="437"/>
      <c r="L919" s="311"/>
    </row>
    <row r="920" spans="1:12" ht="27">
      <c r="A920" s="318">
        <v>912</v>
      </c>
      <c r="B920" s="397" t="s">
        <v>3292</v>
      </c>
      <c r="C920" s="467" t="s">
        <v>522</v>
      </c>
      <c r="D920" s="430">
        <v>30000</v>
      </c>
      <c r="E920" s="425" t="s">
        <v>3293</v>
      </c>
      <c r="F920" s="397" t="s">
        <v>3294</v>
      </c>
      <c r="G920" s="397" t="s">
        <v>3295</v>
      </c>
      <c r="H920" s="397" t="s">
        <v>526</v>
      </c>
      <c r="I920" s="483"/>
      <c r="J920" s="483"/>
      <c r="K920" s="437"/>
      <c r="L920" s="311"/>
    </row>
    <row r="921" spans="1:12" ht="27">
      <c r="A921" s="318">
        <v>913</v>
      </c>
      <c r="B921" s="397" t="s">
        <v>3292</v>
      </c>
      <c r="C921" s="467" t="s">
        <v>522</v>
      </c>
      <c r="D921" s="430">
        <v>40000</v>
      </c>
      <c r="E921" s="425" t="s">
        <v>3296</v>
      </c>
      <c r="F921" s="397" t="s">
        <v>3297</v>
      </c>
      <c r="G921" s="397" t="s">
        <v>3298</v>
      </c>
      <c r="H921" s="397" t="s">
        <v>526</v>
      </c>
      <c r="I921" s="483"/>
      <c r="J921" s="483"/>
      <c r="K921" s="437"/>
      <c r="L921" s="311"/>
    </row>
    <row r="922" spans="1:12" ht="27">
      <c r="A922" s="318">
        <v>914</v>
      </c>
      <c r="B922" s="397" t="s">
        <v>3292</v>
      </c>
      <c r="C922" s="467" t="s">
        <v>522</v>
      </c>
      <c r="D922" s="430">
        <v>40000</v>
      </c>
      <c r="E922" s="425" t="s">
        <v>3299</v>
      </c>
      <c r="F922" s="397" t="s">
        <v>3300</v>
      </c>
      <c r="G922" s="397" t="s">
        <v>3301</v>
      </c>
      <c r="H922" s="397" t="s">
        <v>526</v>
      </c>
      <c r="I922" s="483"/>
      <c r="J922" s="483"/>
      <c r="K922" s="437"/>
      <c r="L922" s="311"/>
    </row>
    <row r="923" spans="1:12" ht="27">
      <c r="A923" s="318">
        <v>915</v>
      </c>
      <c r="B923" s="397" t="s">
        <v>3292</v>
      </c>
      <c r="C923" s="467" t="s">
        <v>522</v>
      </c>
      <c r="D923" s="430">
        <v>50000</v>
      </c>
      <c r="E923" s="425" t="s">
        <v>3302</v>
      </c>
      <c r="F923" s="397" t="s">
        <v>3303</v>
      </c>
      <c r="G923" s="397" t="s">
        <v>3304</v>
      </c>
      <c r="H923" s="397" t="s">
        <v>526</v>
      </c>
      <c r="I923" s="483"/>
      <c r="J923" s="483"/>
      <c r="K923" s="437"/>
      <c r="L923" s="311"/>
    </row>
    <row r="924" spans="1:12" ht="27">
      <c r="A924" s="318">
        <v>916</v>
      </c>
      <c r="B924" s="397" t="s">
        <v>3292</v>
      </c>
      <c r="C924" s="467" t="s">
        <v>522</v>
      </c>
      <c r="D924" s="430">
        <v>60000</v>
      </c>
      <c r="E924" s="425" t="s">
        <v>3305</v>
      </c>
      <c r="F924" s="397" t="s">
        <v>3306</v>
      </c>
      <c r="G924" s="397" t="s">
        <v>3307</v>
      </c>
      <c r="H924" s="397" t="s">
        <v>526</v>
      </c>
      <c r="I924" s="483"/>
      <c r="J924" s="483"/>
      <c r="K924" s="437"/>
      <c r="L924" s="311"/>
    </row>
    <row r="925" spans="1:12" ht="27">
      <c r="A925" s="318">
        <v>917</v>
      </c>
      <c r="B925" s="397" t="s">
        <v>3292</v>
      </c>
      <c r="C925" s="467" t="s">
        <v>522</v>
      </c>
      <c r="D925" s="430">
        <v>15000</v>
      </c>
      <c r="E925" s="425" t="s">
        <v>3308</v>
      </c>
      <c r="F925" s="397" t="s">
        <v>3309</v>
      </c>
      <c r="G925" s="397" t="s">
        <v>3310</v>
      </c>
      <c r="H925" s="397" t="s">
        <v>526</v>
      </c>
      <c r="I925" s="483"/>
      <c r="J925" s="483"/>
      <c r="K925" s="437"/>
      <c r="L925" s="311"/>
    </row>
    <row r="926" spans="1:12" ht="27">
      <c r="A926" s="318">
        <v>918</v>
      </c>
      <c r="B926" s="397" t="s">
        <v>3292</v>
      </c>
      <c r="C926" s="467" t="s">
        <v>522</v>
      </c>
      <c r="D926" s="430">
        <v>50000</v>
      </c>
      <c r="E926" s="425" t="s">
        <v>3311</v>
      </c>
      <c r="F926" s="397" t="s">
        <v>3312</v>
      </c>
      <c r="G926" s="397" t="s">
        <v>3313</v>
      </c>
      <c r="H926" s="397" t="s">
        <v>526</v>
      </c>
      <c r="I926" s="483"/>
      <c r="J926" s="483"/>
      <c r="K926" s="437"/>
      <c r="L926" s="311"/>
    </row>
    <row r="927" spans="1:12" ht="27">
      <c r="A927" s="318">
        <v>919</v>
      </c>
      <c r="B927" s="397" t="s">
        <v>3292</v>
      </c>
      <c r="C927" s="467" t="s">
        <v>522</v>
      </c>
      <c r="D927" s="430">
        <v>40000</v>
      </c>
      <c r="E927" s="425" t="s">
        <v>3314</v>
      </c>
      <c r="F927" s="397" t="s">
        <v>3315</v>
      </c>
      <c r="G927" s="397" t="s">
        <v>3316</v>
      </c>
      <c r="H927" s="397" t="s">
        <v>526</v>
      </c>
      <c r="I927" s="483"/>
      <c r="J927" s="483"/>
      <c r="K927" s="437"/>
      <c r="L927" s="311"/>
    </row>
    <row r="928" spans="1:12" ht="27">
      <c r="A928" s="318">
        <v>920</v>
      </c>
      <c r="B928" s="397" t="s">
        <v>3292</v>
      </c>
      <c r="C928" s="467" t="s">
        <v>522</v>
      </c>
      <c r="D928" s="430">
        <v>60000</v>
      </c>
      <c r="E928" s="425" t="s">
        <v>3317</v>
      </c>
      <c r="F928" s="397" t="s">
        <v>3318</v>
      </c>
      <c r="G928" s="397" t="s">
        <v>3319</v>
      </c>
      <c r="H928" s="397" t="s">
        <v>526</v>
      </c>
      <c r="I928" s="483"/>
      <c r="J928" s="483"/>
      <c r="K928" s="437"/>
      <c r="L928" s="311"/>
    </row>
    <row r="929" spans="1:12" ht="27">
      <c r="A929" s="318">
        <v>921</v>
      </c>
      <c r="B929" s="397" t="s">
        <v>3292</v>
      </c>
      <c r="C929" s="467" t="s">
        <v>522</v>
      </c>
      <c r="D929" s="430">
        <v>60000</v>
      </c>
      <c r="E929" s="425" t="s">
        <v>3320</v>
      </c>
      <c r="F929" s="397" t="s">
        <v>3321</v>
      </c>
      <c r="G929" s="397" t="s">
        <v>3322</v>
      </c>
      <c r="H929" s="397" t="s">
        <v>526</v>
      </c>
      <c r="I929" s="483"/>
      <c r="J929" s="483"/>
      <c r="K929" s="437"/>
      <c r="L929" s="311"/>
    </row>
    <row r="930" spans="1:12" ht="27">
      <c r="A930" s="318">
        <v>922</v>
      </c>
      <c r="B930" s="397" t="s">
        <v>3292</v>
      </c>
      <c r="C930" s="467" t="s">
        <v>522</v>
      </c>
      <c r="D930" s="430">
        <v>30000</v>
      </c>
      <c r="E930" s="425" t="s">
        <v>3323</v>
      </c>
      <c r="F930" s="397" t="s">
        <v>3324</v>
      </c>
      <c r="G930" s="397" t="s">
        <v>3325</v>
      </c>
      <c r="H930" s="397" t="s">
        <v>526</v>
      </c>
      <c r="I930" s="483"/>
      <c r="J930" s="483"/>
      <c r="K930" s="437"/>
      <c r="L930" s="311"/>
    </row>
    <row r="931" spans="1:12" ht="27">
      <c r="A931" s="318">
        <v>923</v>
      </c>
      <c r="B931" s="397" t="s">
        <v>3292</v>
      </c>
      <c r="C931" s="467" t="s">
        <v>522</v>
      </c>
      <c r="D931" s="430">
        <v>30000</v>
      </c>
      <c r="E931" s="425" t="s">
        <v>3326</v>
      </c>
      <c r="F931" s="397" t="s">
        <v>3327</v>
      </c>
      <c r="G931" s="397" t="s">
        <v>3328</v>
      </c>
      <c r="H931" s="397" t="s">
        <v>526</v>
      </c>
      <c r="I931" s="483"/>
      <c r="J931" s="483"/>
      <c r="K931" s="437"/>
      <c r="L931" s="311"/>
    </row>
    <row r="932" spans="1:12" ht="27">
      <c r="A932" s="318">
        <v>924</v>
      </c>
      <c r="B932" s="397" t="s">
        <v>3292</v>
      </c>
      <c r="C932" s="467" t="s">
        <v>522</v>
      </c>
      <c r="D932" s="430">
        <v>60000</v>
      </c>
      <c r="E932" s="425" t="s">
        <v>3329</v>
      </c>
      <c r="F932" s="397" t="s">
        <v>3330</v>
      </c>
      <c r="G932" s="397" t="s">
        <v>3331</v>
      </c>
      <c r="H932" s="397" t="s">
        <v>526</v>
      </c>
      <c r="I932" s="483"/>
      <c r="J932" s="483"/>
      <c r="K932" s="437"/>
      <c r="L932" s="311"/>
    </row>
    <row r="933" spans="1:12" ht="27">
      <c r="A933" s="318">
        <v>925</v>
      </c>
      <c r="B933" s="397" t="s">
        <v>3292</v>
      </c>
      <c r="C933" s="467" t="s">
        <v>522</v>
      </c>
      <c r="D933" s="430">
        <v>20000</v>
      </c>
      <c r="E933" s="425" t="s">
        <v>3332</v>
      </c>
      <c r="F933" s="397" t="s">
        <v>3333</v>
      </c>
      <c r="G933" s="397" t="s">
        <v>3334</v>
      </c>
      <c r="H933" s="397" t="s">
        <v>526</v>
      </c>
      <c r="I933" s="483"/>
      <c r="J933" s="483"/>
      <c r="K933" s="437"/>
      <c r="L933" s="311"/>
    </row>
    <row r="934" spans="1:12" ht="27">
      <c r="A934" s="318">
        <v>926</v>
      </c>
      <c r="B934" s="397" t="s">
        <v>3292</v>
      </c>
      <c r="C934" s="467" t="s">
        <v>522</v>
      </c>
      <c r="D934" s="430">
        <v>30000</v>
      </c>
      <c r="E934" s="425" t="s">
        <v>2870</v>
      </c>
      <c r="F934" s="397" t="s">
        <v>3335</v>
      </c>
      <c r="G934" s="397" t="s">
        <v>3336</v>
      </c>
      <c r="H934" s="397" t="s">
        <v>526</v>
      </c>
      <c r="I934" s="483"/>
      <c r="J934" s="483"/>
      <c r="K934" s="437"/>
      <c r="L934" s="311"/>
    </row>
    <row r="935" spans="1:12" ht="27">
      <c r="A935" s="318">
        <v>927</v>
      </c>
      <c r="B935" s="397" t="s">
        <v>3292</v>
      </c>
      <c r="C935" s="467" t="s">
        <v>522</v>
      </c>
      <c r="D935" s="430">
        <v>25000</v>
      </c>
      <c r="E935" s="425" t="s">
        <v>3337</v>
      </c>
      <c r="F935" s="397" t="s">
        <v>3338</v>
      </c>
      <c r="G935" s="397" t="s">
        <v>3339</v>
      </c>
      <c r="H935" s="397" t="s">
        <v>526</v>
      </c>
      <c r="I935" s="483"/>
      <c r="J935" s="483"/>
      <c r="K935" s="437"/>
      <c r="L935" s="311"/>
    </row>
    <row r="936" spans="1:12" ht="27">
      <c r="A936" s="318">
        <v>928</v>
      </c>
      <c r="B936" s="397" t="s">
        <v>3292</v>
      </c>
      <c r="C936" s="467" t="s">
        <v>522</v>
      </c>
      <c r="D936" s="430">
        <v>30000</v>
      </c>
      <c r="E936" s="425" t="s">
        <v>3340</v>
      </c>
      <c r="F936" s="397" t="s">
        <v>3341</v>
      </c>
      <c r="G936" s="397" t="s">
        <v>3342</v>
      </c>
      <c r="H936" s="397" t="s">
        <v>526</v>
      </c>
      <c r="I936" s="483"/>
      <c r="J936" s="483"/>
      <c r="K936" s="437"/>
      <c r="L936" s="311"/>
    </row>
    <row r="937" spans="1:12" ht="27">
      <c r="A937" s="318">
        <v>929</v>
      </c>
      <c r="B937" s="397" t="s">
        <v>3292</v>
      </c>
      <c r="C937" s="467" t="s">
        <v>522</v>
      </c>
      <c r="D937" s="430">
        <v>20000</v>
      </c>
      <c r="E937" s="425" t="s">
        <v>3343</v>
      </c>
      <c r="F937" s="397" t="s">
        <v>3344</v>
      </c>
      <c r="G937" s="397" t="s">
        <v>3345</v>
      </c>
      <c r="H937" s="397" t="s">
        <v>526</v>
      </c>
      <c r="I937" s="483"/>
      <c r="J937" s="483"/>
      <c r="K937" s="437"/>
      <c r="L937" s="311"/>
    </row>
    <row r="938" spans="1:12" ht="27">
      <c r="A938" s="318">
        <v>930</v>
      </c>
      <c r="B938" s="397" t="s">
        <v>3346</v>
      </c>
      <c r="C938" s="467" t="s">
        <v>522</v>
      </c>
      <c r="D938" s="430">
        <v>950</v>
      </c>
      <c r="E938" s="425" t="s">
        <v>3204</v>
      </c>
      <c r="F938" s="397" t="s">
        <v>3205</v>
      </c>
      <c r="G938" s="397" t="s">
        <v>3347</v>
      </c>
      <c r="H938" s="397" t="s">
        <v>1758</v>
      </c>
      <c r="I938" s="483"/>
      <c r="J938" s="483"/>
      <c r="K938" s="437"/>
      <c r="L938" s="311"/>
    </row>
    <row r="939" spans="1:12" ht="27">
      <c r="A939" s="318">
        <v>931</v>
      </c>
      <c r="B939" s="397" t="s">
        <v>3348</v>
      </c>
      <c r="C939" s="467" t="s">
        <v>522</v>
      </c>
      <c r="D939" s="430">
        <v>30000</v>
      </c>
      <c r="E939" s="425" t="s">
        <v>3349</v>
      </c>
      <c r="F939" s="397" t="s">
        <v>3350</v>
      </c>
      <c r="G939" s="397" t="s">
        <v>3351</v>
      </c>
      <c r="H939" s="397" t="s">
        <v>526</v>
      </c>
      <c r="I939" s="483"/>
      <c r="J939" s="483"/>
      <c r="K939" s="437"/>
      <c r="L939" s="311"/>
    </row>
    <row r="940" spans="1:12" ht="27">
      <c r="A940" s="318">
        <v>932</v>
      </c>
      <c r="B940" s="397" t="s">
        <v>3348</v>
      </c>
      <c r="C940" s="467" t="s">
        <v>522</v>
      </c>
      <c r="D940" s="430">
        <v>50000</v>
      </c>
      <c r="E940" s="425" t="s">
        <v>3352</v>
      </c>
      <c r="F940" s="397" t="s">
        <v>3353</v>
      </c>
      <c r="G940" s="397" t="s">
        <v>3354</v>
      </c>
      <c r="H940" s="397" t="s">
        <v>526</v>
      </c>
      <c r="I940" s="483"/>
      <c r="J940" s="483"/>
      <c r="K940" s="437"/>
      <c r="L940" s="311"/>
    </row>
    <row r="941" spans="1:12" ht="27">
      <c r="A941" s="318">
        <v>933</v>
      </c>
      <c r="B941" s="397" t="s">
        <v>3348</v>
      </c>
      <c r="C941" s="467" t="s">
        <v>522</v>
      </c>
      <c r="D941" s="430">
        <v>30000</v>
      </c>
      <c r="E941" s="425" t="s">
        <v>3355</v>
      </c>
      <c r="F941" s="397" t="s">
        <v>3356</v>
      </c>
      <c r="G941" s="397" t="s">
        <v>3357</v>
      </c>
      <c r="H941" s="397" t="s">
        <v>526</v>
      </c>
      <c r="I941" s="483"/>
      <c r="J941" s="483"/>
      <c r="K941" s="437"/>
      <c r="L941" s="311"/>
    </row>
    <row r="942" spans="1:12" ht="27">
      <c r="A942" s="318">
        <v>934</v>
      </c>
      <c r="B942" s="397" t="s">
        <v>3348</v>
      </c>
      <c r="C942" s="467" t="s">
        <v>522</v>
      </c>
      <c r="D942" s="430">
        <v>50000</v>
      </c>
      <c r="E942" s="425" t="s">
        <v>3358</v>
      </c>
      <c r="F942" s="397" t="s">
        <v>3359</v>
      </c>
      <c r="G942" s="397" t="s">
        <v>3360</v>
      </c>
      <c r="H942" s="397" t="s">
        <v>526</v>
      </c>
      <c r="I942" s="483"/>
      <c r="J942" s="483"/>
      <c r="K942" s="437"/>
      <c r="L942" s="311"/>
    </row>
    <row r="943" spans="1:12" ht="27">
      <c r="A943" s="318">
        <v>935</v>
      </c>
      <c r="B943" s="397" t="s">
        <v>3348</v>
      </c>
      <c r="C943" s="467" t="s">
        <v>522</v>
      </c>
      <c r="D943" s="430">
        <v>60000</v>
      </c>
      <c r="E943" s="425" t="s">
        <v>3361</v>
      </c>
      <c r="F943" s="397" t="s">
        <v>3362</v>
      </c>
      <c r="G943" s="397" t="s">
        <v>3363</v>
      </c>
      <c r="H943" s="397" t="s">
        <v>526</v>
      </c>
      <c r="I943" s="483"/>
      <c r="J943" s="483"/>
      <c r="K943" s="437"/>
      <c r="L943" s="311"/>
    </row>
    <row r="944" spans="1:12" ht="27">
      <c r="A944" s="318">
        <v>936</v>
      </c>
      <c r="B944" s="397" t="s">
        <v>3348</v>
      </c>
      <c r="C944" s="467" t="s">
        <v>522</v>
      </c>
      <c r="D944" s="430">
        <v>30000</v>
      </c>
      <c r="E944" s="425" t="s">
        <v>2531</v>
      </c>
      <c r="F944" s="397" t="s">
        <v>2532</v>
      </c>
      <c r="G944" s="397" t="s">
        <v>2533</v>
      </c>
      <c r="H944" s="397" t="s">
        <v>520</v>
      </c>
      <c r="I944" s="483"/>
      <c r="J944" s="483"/>
      <c r="K944" s="437"/>
      <c r="L944" s="311"/>
    </row>
    <row r="945" spans="1:12" ht="27">
      <c r="A945" s="318">
        <v>937</v>
      </c>
      <c r="B945" s="397" t="s">
        <v>3348</v>
      </c>
      <c r="C945" s="467" t="s">
        <v>522</v>
      </c>
      <c r="D945" s="430">
        <v>800</v>
      </c>
      <c r="E945" s="425" t="s">
        <v>2706</v>
      </c>
      <c r="F945" s="397" t="s">
        <v>2707</v>
      </c>
      <c r="G945" s="397" t="s">
        <v>2708</v>
      </c>
      <c r="H945" s="397" t="s">
        <v>526</v>
      </c>
      <c r="I945" s="483"/>
      <c r="J945" s="483"/>
      <c r="K945" s="437"/>
      <c r="L945" s="311"/>
    </row>
    <row r="946" spans="1:12" ht="27">
      <c r="A946" s="318">
        <v>938</v>
      </c>
      <c r="B946" s="397" t="s">
        <v>3364</v>
      </c>
      <c r="C946" s="467" t="s">
        <v>522</v>
      </c>
      <c r="D946" s="430">
        <v>55000</v>
      </c>
      <c r="E946" s="425" t="s">
        <v>3365</v>
      </c>
      <c r="F946" s="397" t="s">
        <v>3366</v>
      </c>
      <c r="G946" s="397" t="s">
        <v>3367</v>
      </c>
      <c r="H946" s="397" t="s">
        <v>526</v>
      </c>
      <c r="I946" s="483"/>
      <c r="J946" s="483"/>
      <c r="K946" s="437"/>
      <c r="L946" s="311"/>
    </row>
    <row r="947" spans="1:12" ht="27">
      <c r="A947" s="318">
        <v>939</v>
      </c>
      <c r="B947" s="397" t="s">
        <v>3368</v>
      </c>
      <c r="C947" s="467" t="s">
        <v>231</v>
      </c>
      <c r="D947" s="430">
        <v>20</v>
      </c>
      <c r="E947" s="425" t="s">
        <v>558</v>
      </c>
      <c r="F947" s="397" t="s">
        <v>518</v>
      </c>
      <c r="G947" s="397" t="s">
        <v>519</v>
      </c>
      <c r="H947" s="397" t="s">
        <v>520</v>
      </c>
      <c r="I947" s="483"/>
      <c r="J947" s="483"/>
      <c r="K947" s="437"/>
      <c r="L947" s="311"/>
    </row>
    <row r="948" spans="1:12" ht="30">
      <c r="A948" s="318">
        <v>940</v>
      </c>
      <c r="B948" s="397" t="s">
        <v>3292</v>
      </c>
      <c r="C948" s="467" t="s">
        <v>522</v>
      </c>
      <c r="D948" s="484">
        <v>30000</v>
      </c>
      <c r="E948" s="468" t="s">
        <v>3369</v>
      </c>
      <c r="F948" s="471" t="s">
        <v>3370</v>
      </c>
      <c r="G948" s="468" t="s">
        <v>3371</v>
      </c>
      <c r="H948" s="472" t="s">
        <v>526</v>
      </c>
      <c r="I948" s="483"/>
      <c r="J948" s="483"/>
      <c r="K948" s="437"/>
      <c r="L948" s="311"/>
    </row>
    <row r="949" spans="1:12" ht="30">
      <c r="A949" s="318">
        <v>941</v>
      </c>
      <c r="B949" s="485" t="s">
        <v>3368</v>
      </c>
      <c r="C949" s="467" t="s">
        <v>522</v>
      </c>
      <c r="D949" s="484">
        <v>50000</v>
      </c>
      <c r="E949" s="468" t="s">
        <v>3372</v>
      </c>
      <c r="F949" s="471" t="s">
        <v>3373</v>
      </c>
      <c r="G949" s="468" t="s">
        <v>3374</v>
      </c>
      <c r="H949" s="472" t="s">
        <v>1758</v>
      </c>
      <c r="I949" s="483"/>
      <c r="J949" s="483"/>
      <c r="K949" s="437"/>
      <c r="L949" s="311"/>
    </row>
    <row r="950" spans="1:12" ht="30">
      <c r="A950" s="318">
        <v>942</v>
      </c>
      <c r="B950" s="485" t="s">
        <v>3368</v>
      </c>
      <c r="C950" s="467" t="s">
        <v>522</v>
      </c>
      <c r="D950" s="484">
        <v>55000</v>
      </c>
      <c r="E950" s="468" t="s">
        <v>3375</v>
      </c>
      <c r="F950" s="471" t="s">
        <v>3376</v>
      </c>
      <c r="G950" s="468" t="s">
        <v>3377</v>
      </c>
      <c r="H950" s="472" t="s">
        <v>526</v>
      </c>
      <c r="I950" s="483"/>
      <c r="J950" s="483"/>
      <c r="K950" s="437"/>
      <c r="L950" s="311"/>
    </row>
    <row r="951" spans="1:12" ht="30">
      <c r="A951" s="318">
        <v>943</v>
      </c>
      <c r="B951" s="485" t="s">
        <v>3368</v>
      </c>
      <c r="C951" s="467" t="s">
        <v>522</v>
      </c>
      <c r="D951" s="484">
        <v>120000</v>
      </c>
      <c r="E951" s="468" t="s">
        <v>3378</v>
      </c>
      <c r="F951" s="471" t="s">
        <v>3379</v>
      </c>
      <c r="G951" s="468" t="s">
        <v>3380</v>
      </c>
      <c r="H951" s="472" t="s">
        <v>1758</v>
      </c>
      <c r="I951" s="483"/>
      <c r="J951" s="483"/>
      <c r="K951" s="437"/>
      <c r="L951" s="311"/>
    </row>
    <row r="952" spans="1:12" ht="30">
      <c r="A952" s="318">
        <v>944</v>
      </c>
      <c r="B952" s="485" t="s">
        <v>3368</v>
      </c>
      <c r="C952" s="467" t="s">
        <v>522</v>
      </c>
      <c r="D952" s="484">
        <v>85000</v>
      </c>
      <c r="E952" s="468" t="s">
        <v>3381</v>
      </c>
      <c r="F952" s="471" t="s">
        <v>3382</v>
      </c>
      <c r="G952" s="468" t="s">
        <v>3383</v>
      </c>
      <c r="H952" s="472" t="s">
        <v>526</v>
      </c>
      <c r="I952" s="483"/>
      <c r="J952" s="483"/>
      <c r="K952" s="437"/>
      <c r="L952" s="311"/>
    </row>
    <row r="953" spans="1:12" ht="30">
      <c r="A953" s="318">
        <v>945</v>
      </c>
      <c r="B953" s="485" t="s">
        <v>3348</v>
      </c>
      <c r="C953" s="467" t="s">
        <v>522</v>
      </c>
      <c r="D953" s="484">
        <v>40000</v>
      </c>
      <c r="E953" s="468" t="s">
        <v>3384</v>
      </c>
      <c r="F953" s="471" t="s">
        <v>3385</v>
      </c>
      <c r="G953" s="468" t="s">
        <v>3386</v>
      </c>
      <c r="H953" s="472" t="s">
        <v>1758</v>
      </c>
      <c r="I953" s="483"/>
      <c r="J953" s="483"/>
      <c r="K953" s="437"/>
      <c r="L953" s="311"/>
    </row>
    <row r="954" spans="1:12" ht="30">
      <c r="A954" s="318">
        <v>946</v>
      </c>
      <c r="B954" s="485" t="s">
        <v>3364</v>
      </c>
      <c r="C954" s="467" t="s">
        <v>522</v>
      </c>
      <c r="D954" s="484">
        <v>60000</v>
      </c>
      <c r="E954" s="468" t="s">
        <v>3387</v>
      </c>
      <c r="F954" s="471" t="s">
        <v>3388</v>
      </c>
      <c r="G954" s="468" t="s">
        <v>3389</v>
      </c>
      <c r="H954" s="472" t="s">
        <v>520</v>
      </c>
      <c r="I954" s="483"/>
      <c r="J954" s="483"/>
      <c r="K954" s="437"/>
      <c r="L954" s="311"/>
    </row>
    <row r="955" spans="1:12" ht="30">
      <c r="A955" s="318">
        <v>947</v>
      </c>
      <c r="B955" s="485" t="s">
        <v>3364</v>
      </c>
      <c r="C955" s="467" t="s">
        <v>522</v>
      </c>
      <c r="D955" s="484">
        <v>60000</v>
      </c>
      <c r="E955" s="468" t="s">
        <v>3390</v>
      </c>
      <c r="F955" s="471" t="s">
        <v>3391</v>
      </c>
      <c r="G955" s="468" t="s">
        <v>3392</v>
      </c>
      <c r="H955" s="472" t="s">
        <v>1758</v>
      </c>
      <c r="I955" s="483"/>
      <c r="J955" s="483"/>
      <c r="K955" s="437"/>
      <c r="L955" s="311"/>
    </row>
    <row r="956" spans="1:12" ht="30">
      <c r="A956" s="318">
        <v>948</v>
      </c>
      <c r="B956" s="485" t="s">
        <v>3364</v>
      </c>
      <c r="C956" s="467" t="s">
        <v>522</v>
      </c>
      <c r="D956" s="484">
        <v>60000</v>
      </c>
      <c r="E956" s="468" t="s">
        <v>3393</v>
      </c>
      <c r="F956" s="471" t="s">
        <v>3394</v>
      </c>
      <c r="G956" s="468" t="s">
        <v>3395</v>
      </c>
      <c r="H956" s="472" t="s">
        <v>3396</v>
      </c>
      <c r="I956" s="483"/>
      <c r="J956" s="483"/>
      <c r="K956" s="437"/>
      <c r="L956" s="311"/>
    </row>
    <row r="957" spans="1:12" ht="27">
      <c r="A957" s="318">
        <v>949</v>
      </c>
      <c r="B957" s="397" t="s">
        <v>3397</v>
      </c>
      <c r="C957" s="467" t="s">
        <v>522</v>
      </c>
      <c r="D957" s="430">
        <v>50000</v>
      </c>
      <c r="E957" s="425" t="s">
        <v>3398</v>
      </c>
      <c r="F957" s="397" t="s">
        <v>3399</v>
      </c>
      <c r="G957" s="397" t="s">
        <v>3400</v>
      </c>
      <c r="H957" s="397" t="s">
        <v>526</v>
      </c>
      <c r="I957" s="483"/>
      <c r="J957" s="483"/>
      <c r="K957" s="437"/>
      <c r="L957" s="311"/>
    </row>
    <row r="958" spans="1:12" ht="27">
      <c r="A958" s="318">
        <v>950</v>
      </c>
      <c r="B958" s="397" t="s">
        <v>3401</v>
      </c>
      <c r="C958" s="467" t="s">
        <v>522</v>
      </c>
      <c r="D958" s="430">
        <v>3260</v>
      </c>
      <c r="E958" s="425" t="s">
        <v>3402</v>
      </c>
      <c r="F958" s="397" t="s">
        <v>3403</v>
      </c>
      <c r="G958" s="397" t="s">
        <v>3404</v>
      </c>
      <c r="H958" s="397" t="s">
        <v>526</v>
      </c>
      <c r="I958" s="483"/>
      <c r="J958" s="483"/>
      <c r="K958" s="437"/>
      <c r="L958" s="311"/>
    </row>
    <row r="959" spans="1:12" ht="27">
      <c r="A959" s="318">
        <v>951</v>
      </c>
      <c r="B959" s="397" t="s">
        <v>3401</v>
      </c>
      <c r="C959" s="467" t="s">
        <v>522</v>
      </c>
      <c r="D959" s="430">
        <v>25000</v>
      </c>
      <c r="E959" s="425" t="s">
        <v>3121</v>
      </c>
      <c r="F959" s="397" t="s">
        <v>3122</v>
      </c>
      <c r="G959" s="397" t="s">
        <v>3123</v>
      </c>
      <c r="H959" s="397" t="s">
        <v>526</v>
      </c>
      <c r="I959" s="483"/>
      <c r="J959" s="483"/>
      <c r="K959" s="437"/>
      <c r="L959" s="311"/>
    </row>
    <row r="960" spans="1:12" ht="45">
      <c r="A960" s="318">
        <v>952</v>
      </c>
      <c r="B960" s="397" t="s">
        <v>3397</v>
      </c>
      <c r="C960" s="467" t="s">
        <v>522</v>
      </c>
      <c r="D960" s="484">
        <v>110000</v>
      </c>
      <c r="E960" s="468" t="s">
        <v>3405</v>
      </c>
      <c r="F960" s="471" t="s">
        <v>3406</v>
      </c>
      <c r="G960" s="468" t="s">
        <v>3407</v>
      </c>
      <c r="H960" s="472" t="s">
        <v>1758</v>
      </c>
      <c r="I960" s="483"/>
      <c r="J960" s="483"/>
      <c r="K960" s="437"/>
      <c r="L960" s="311"/>
    </row>
    <row r="961" spans="1:12" ht="27">
      <c r="A961" s="318">
        <v>953</v>
      </c>
      <c r="B961" s="397" t="s">
        <v>3408</v>
      </c>
      <c r="C961" s="458" t="s">
        <v>522</v>
      </c>
      <c r="D961" s="430">
        <v>30000</v>
      </c>
      <c r="E961" s="432" t="s">
        <v>3409</v>
      </c>
      <c r="F961" s="397" t="s">
        <v>3410</v>
      </c>
      <c r="G961" s="397" t="s">
        <v>3411</v>
      </c>
      <c r="H961" s="397" t="s">
        <v>526</v>
      </c>
      <c r="I961" s="483"/>
      <c r="J961" s="483"/>
      <c r="K961" s="437"/>
      <c r="L961" s="311"/>
    </row>
    <row r="962" spans="1:12" ht="27">
      <c r="A962" s="318">
        <v>954</v>
      </c>
      <c r="B962" s="397" t="s">
        <v>3408</v>
      </c>
      <c r="C962" s="458" t="s">
        <v>522</v>
      </c>
      <c r="D962" s="430">
        <v>30000</v>
      </c>
      <c r="E962" s="432" t="s">
        <v>3412</v>
      </c>
      <c r="F962" s="397" t="s">
        <v>3413</v>
      </c>
      <c r="G962" s="397" t="s">
        <v>3414</v>
      </c>
      <c r="H962" s="397" t="s">
        <v>526</v>
      </c>
      <c r="I962" s="483"/>
      <c r="J962" s="483"/>
      <c r="K962" s="437"/>
      <c r="L962" s="311"/>
    </row>
    <row r="963" spans="1:12" ht="27">
      <c r="A963" s="318">
        <v>955</v>
      </c>
      <c r="B963" s="397" t="s">
        <v>3408</v>
      </c>
      <c r="C963" s="458" t="s">
        <v>522</v>
      </c>
      <c r="D963" s="430">
        <v>30000</v>
      </c>
      <c r="E963" s="432" t="s">
        <v>3415</v>
      </c>
      <c r="F963" s="397" t="s">
        <v>3416</v>
      </c>
      <c r="G963" s="397" t="s">
        <v>3417</v>
      </c>
      <c r="H963" s="397" t="s">
        <v>526</v>
      </c>
      <c r="I963" s="483"/>
      <c r="J963" s="483"/>
      <c r="K963" s="437"/>
      <c r="L963" s="311"/>
    </row>
    <row r="964" spans="1:12" ht="27">
      <c r="A964" s="318">
        <v>956</v>
      </c>
      <c r="B964" s="397" t="s">
        <v>3408</v>
      </c>
      <c r="C964" s="458" t="s">
        <v>522</v>
      </c>
      <c r="D964" s="430">
        <v>40000</v>
      </c>
      <c r="E964" s="432" t="s">
        <v>3418</v>
      </c>
      <c r="F964" s="397" t="s">
        <v>3419</v>
      </c>
      <c r="G964" s="397" t="s">
        <v>3420</v>
      </c>
      <c r="H964" s="397" t="s">
        <v>526</v>
      </c>
      <c r="I964" s="483"/>
      <c r="J964" s="483"/>
      <c r="K964" s="437"/>
      <c r="L964" s="311"/>
    </row>
    <row r="965" spans="1:12" ht="27">
      <c r="A965" s="318">
        <v>957</v>
      </c>
      <c r="B965" s="432" t="s">
        <v>3421</v>
      </c>
      <c r="C965" s="458" t="s">
        <v>522</v>
      </c>
      <c r="D965" s="430">
        <v>30000</v>
      </c>
      <c r="E965" s="425" t="s">
        <v>3422</v>
      </c>
      <c r="F965" s="397" t="s">
        <v>3423</v>
      </c>
      <c r="G965" s="397" t="s">
        <v>3424</v>
      </c>
      <c r="H965" s="397" t="s">
        <v>526</v>
      </c>
      <c r="I965" s="483"/>
      <c r="J965" s="483"/>
      <c r="K965" s="437"/>
      <c r="L965" s="311"/>
    </row>
    <row r="966" spans="1:12" ht="27">
      <c r="A966" s="318">
        <v>958</v>
      </c>
      <c r="B966" s="432" t="s">
        <v>3425</v>
      </c>
      <c r="C966" s="458" t="s">
        <v>231</v>
      </c>
      <c r="D966" s="454">
        <v>20</v>
      </c>
      <c r="E966" s="432" t="s">
        <v>558</v>
      </c>
      <c r="F966" s="397" t="s">
        <v>518</v>
      </c>
      <c r="G966" s="397" t="s">
        <v>519</v>
      </c>
      <c r="H966" s="397" t="s">
        <v>520</v>
      </c>
      <c r="I966" s="483"/>
      <c r="J966" s="483"/>
      <c r="K966" s="437"/>
      <c r="L966" s="311"/>
    </row>
    <row r="967" spans="1:12" ht="40.5">
      <c r="A967" s="318">
        <v>959</v>
      </c>
      <c r="B967" s="432" t="s">
        <v>3426</v>
      </c>
      <c r="C967" s="458" t="s">
        <v>522</v>
      </c>
      <c r="D967" s="454">
        <v>50000</v>
      </c>
      <c r="E967" s="432" t="s">
        <v>3427</v>
      </c>
      <c r="F967" s="397" t="s">
        <v>3428</v>
      </c>
      <c r="G967" s="397" t="s">
        <v>3429</v>
      </c>
      <c r="H967" s="397" t="s">
        <v>3430</v>
      </c>
      <c r="I967" s="483"/>
      <c r="J967" s="483"/>
      <c r="K967" s="437"/>
      <c r="L967" s="311"/>
    </row>
    <row r="968" spans="1:12" ht="27">
      <c r="A968" s="318">
        <v>960</v>
      </c>
      <c r="B968" s="432" t="s">
        <v>3431</v>
      </c>
      <c r="C968" s="432" t="s">
        <v>522</v>
      </c>
      <c r="D968" s="746">
        <v>50000</v>
      </c>
      <c r="E968" s="432" t="s">
        <v>3432</v>
      </c>
      <c r="F968" s="432" t="s">
        <v>3433</v>
      </c>
      <c r="G968" s="432" t="s">
        <v>3434</v>
      </c>
      <c r="H968" s="432" t="s">
        <v>526</v>
      </c>
      <c r="I968" s="314"/>
      <c r="J968" s="313"/>
      <c r="K968" s="312"/>
      <c r="L968" s="311"/>
    </row>
    <row r="969" spans="1:12" ht="27">
      <c r="A969" s="318">
        <v>961</v>
      </c>
      <c r="B969" s="432" t="s">
        <v>3431</v>
      </c>
      <c r="C969" s="432" t="s">
        <v>522</v>
      </c>
      <c r="D969" s="746">
        <v>5000</v>
      </c>
      <c r="E969" s="432" t="s">
        <v>3435</v>
      </c>
      <c r="F969" s="432" t="s">
        <v>3436</v>
      </c>
      <c r="G969" s="432" t="s">
        <v>3437</v>
      </c>
      <c r="H969" s="432" t="s">
        <v>526</v>
      </c>
      <c r="I969" s="314"/>
      <c r="J969" s="313"/>
      <c r="K969" s="312"/>
      <c r="L969" s="311"/>
    </row>
    <row r="970" spans="1:12" ht="27">
      <c r="A970" s="318">
        <v>962</v>
      </c>
      <c r="B970" s="432" t="s">
        <v>3431</v>
      </c>
      <c r="C970" s="432" t="s">
        <v>522</v>
      </c>
      <c r="D970" s="746">
        <v>40000</v>
      </c>
      <c r="E970" s="432" t="s">
        <v>3438</v>
      </c>
      <c r="F970" s="432" t="s">
        <v>3439</v>
      </c>
      <c r="G970" s="432" t="s">
        <v>3440</v>
      </c>
      <c r="H970" s="432" t="s">
        <v>526</v>
      </c>
      <c r="I970" s="314"/>
      <c r="J970" s="313"/>
      <c r="K970" s="312"/>
      <c r="L970" s="311"/>
    </row>
    <row r="971" spans="1:12" ht="27">
      <c r="A971" s="318">
        <v>963</v>
      </c>
      <c r="B971" s="432" t="s">
        <v>3431</v>
      </c>
      <c r="C971" s="432" t="s">
        <v>522</v>
      </c>
      <c r="D971" s="746">
        <v>50000</v>
      </c>
      <c r="E971" s="432" t="s">
        <v>3441</v>
      </c>
      <c r="F971" s="432" t="s">
        <v>3442</v>
      </c>
      <c r="G971" s="432" t="s">
        <v>3443</v>
      </c>
      <c r="H971" s="432" t="s">
        <v>526</v>
      </c>
      <c r="I971" s="314"/>
      <c r="J971" s="313"/>
      <c r="K971" s="312"/>
      <c r="L971" s="311"/>
    </row>
    <row r="972" spans="1:12" ht="27">
      <c r="A972" s="318">
        <v>964</v>
      </c>
      <c r="B972" s="432" t="s">
        <v>3431</v>
      </c>
      <c r="C972" s="432" t="s">
        <v>522</v>
      </c>
      <c r="D972" s="746">
        <v>50000</v>
      </c>
      <c r="E972" s="432" t="s">
        <v>3444</v>
      </c>
      <c r="F972" s="432" t="s">
        <v>3445</v>
      </c>
      <c r="G972" s="432" t="s">
        <v>3446</v>
      </c>
      <c r="H972" s="432" t="s">
        <v>526</v>
      </c>
      <c r="I972" s="314"/>
      <c r="J972" s="313"/>
      <c r="K972" s="312"/>
      <c r="L972" s="311"/>
    </row>
    <row r="973" spans="1:12" ht="27">
      <c r="A973" s="318">
        <v>965</v>
      </c>
      <c r="B973" s="432" t="s">
        <v>3447</v>
      </c>
      <c r="C973" s="432" t="s">
        <v>522</v>
      </c>
      <c r="D973" s="746">
        <v>45000</v>
      </c>
      <c r="E973" s="432" t="s">
        <v>3448</v>
      </c>
      <c r="F973" s="432" t="s">
        <v>3449</v>
      </c>
      <c r="G973" s="432" t="s">
        <v>3450</v>
      </c>
      <c r="H973" s="432" t="s">
        <v>526</v>
      </c>
      <c r="I973" s="314"/>
      <c r="J973" s="313"/>
      <c r="K973" s="312"/>
      <c r="L973" s="311"/>
    </row>
    <row r="974" spans="1:12" ht="27">
      <c r="A974" s="318">
        <v>966</v>
      </c>
      <c r="B974" s="432" t="s">
        <v>3447</v>
      </c>
      <c r="C974" s="432" t="s">
        <v>522</v>
      </c>
      <c r="D974" s="746">
        <v>4000</v>
      </c>
      <c r="E974" s="432" t="s">
        <v>3451</v>
      </c>
      <c r="F974" s="432" t="s">
        <v>3452</v>
      </c>
      <c r="G974" s="432" t="s">
        <v>3453</v>
      </c>
      <c r="H974" s="432" t="s">
        <v>526</v>
      </c>
      <c r="I974" s="314"/>
      <c r="J974" s="313"/>
      <c r="K974" s="312"/>
      <c r="L974" s="311"/>
    </row>
    <row r="975" spans="1:12" ht="27">
      <c r="A975" s="318">
        <v>967</v>
      </c>
      <c r="B975" s="432" t="s">
        <v>3447</v>
      </c>
      <c r="C975" s="432" t="s">
        <v>522</v>
      </c>
      <c r="D975" s="746">
        <v>6000</v>
      </c>
      <c r="E975" s="432" t="s">
        <v>3454</v>
      </c>
      <c r="F975" s="432" t="s">
        <v>3455</v>
      </c>
      <c r="G975" s="432" t="s">
        <v>3456</v>
      </c>
      <c r="H975" s="432" t="s">
        <v>526</v>
      </c>
      <c r="I975" s="314"/>
      <c r="J975" s="313"/>
      <c r="K975" s="312"/>
      <c r="L975" s="311"/>
    </row>
    <row r="976" spans="1:12" ht="27">
      <c r="A976" s="318">
        <v>968</v>
      </c>
      <c r="B976" s="432" t="s">
        <v>3447</v>
      </c>
      <c r="C976" s="432" t="s">
        <v>522</v>
      </c>
      <c r="D976" s="746">
        <v>3000</v>
      </c>
      <c r="E976" s="432" t="s">
        <v>3457</v>
      </c>
      <c r="F976" s="432" t="s">
        <v>3458</v>
      </c>
      <c r="G976" s="432" t="s">
        <v>3459</v>
      </c>
      <c r="H976" s="432" t="s">
        <v>526</v>
      </c>
      <c r="I976" s="314"/>
      <c r="J976" s="313"/>
      <c r="K976" s="312"/>
      <c r="L976" s="311"/>
    </row>
    <row r="977" spans="1:12" ht="27">
      <c r="A977" s="318">
        <v>969</v>
      </c>
      <c r="B977" s="432" t="s">
        <v>3447</v>
      </c>
      <c r="C977" s="432" t="s">
        <v>522</v>
      </c>
      <c r="D977" s="746">
        <v>5000</v>
      </c>
      <c r="E977" s="432" t="s">
        <v>3460</v>
      </c>
      <c r="F977" s="432" t="s">
        <v>3461</v>
      </c>
      <c r="G977" s="432" t="s">
        <v>3462</v>
      </c>
      <c r="H977" s="432" t="s">
        <v>526</v>
      </c>
      <c r="I977" s="314"/>
      <c r="J977" s="313"/>
      <c r="K977" s="312"/>
      <c r="L977" s="311"/>
    </row>
    <row r="978" spans="1:12" ht="27">
      <c r="A978" s="318">
        <v>970</v>
      </c>
      <c r="B978" s="432" t="s">
        <v>3447</v>
      </c>
      <c r="C978" s="432" t="s">
        <v>522</v>
      </c>
      <c r="D978" s="746">
        <v>3000</v>
      </c>
      <c r="E978" s="432" t="s">
        <v>3463</v>
      </c>
      <c r="F978" s="432" t="s">
        <v>3464</v>
      </c>
      <c r="G978" s="432" t="s">
        <v>3465</v>
      </c>
      <c r="H978" s="432" t="s">
        <v>526</v>
      </c>
      <c r="I978" s="314"/>
      <c r="J978" s="313"/>
      <c r="K978" s="312"/>
      <c r="L978" s="311"/>
    </row>
    <row r="979" spans="1:12" ht="27">
      <c r="A979" s="318">
        <v>971</v>
      </c>
      <c r="B979" s="432" t="s">
        <v>3466</v>
      </c>
      <c r="C979" s="432" t="s">
        <v>522</v>
      </c>
      <c r="D979" s="746">
        <v>3000</v>
      </c>
      <c r="E979" s="432" t="s">
        <v>3467</v>
      </c>
      <c r="F979" s="432" t="s">
        <v>3468</v>
      </c>
      <c r="G979" s="432" t="s">
        <v>3469</v>
      </c>
      <c r="H979" s="432" t="s">
        <v>526</v>
      </c>
      <c r="I979" s="314"/>
      <c r="J979" s="313"/>
      <c r="K979" s="312"/>
      <c r="L979" s="311"/>
    </row>
    <row r="980" spans="1:12" ht="27">
      <c r="A980" s="318">
        <v>972</v>
      </c>
      <c r="B980" s="432" t="s">
        <v>3466</v>
      </c>
      <c r="C980" s="432" t="s">
        <v>522</v>
      </c>
      <c r="D980" s="746">
        <v>3000</v>
      </c>
      <c r="E980" s="432" t="s">
        <v>3470</v>
      </c>
      <c r="F980" s="432" t="s">
        <v>3471</v>
      </c>
      <c r="G980" s="432" t="s">
        <v>3472</v>
      </c>
      <c r="H980" s="432" t="s">
        <v>526</v>
      </c>
      <c r="I980" s="314"/>
      <c r="J980" s="313"/>
      <c r="K980" s="312"/>
      <c r="L980" s="311"/>
    </row>
    <row r="981" spans="1:12" ht="27">
      <c r="A981" s="318">
        <v>973</v>
      </c>
      <c r="B981" s="432" t="s">
        <v>3466</v>
      </c>
      <c r="C981" s="432" t="s">
        <v>522</v>
      </c>
      <c r="D981" s="746">
        <v>3000</v>
      </c>
      <c r="E981" s="432" t="s">
        <v>3473</v>
      </c>
      <c r="F981" s="432" t="s">
        <v>3474</v>
      </c>
      <c r="G981" s="432" t="s">
        <v>3475</v>
      </c>
      <c r="H981" s="432" t="s">
        <v>526</v>
      </c>
      <c r="I981" s="314"/>
      <c r="J981" s="313"/>
      <c r="K981" s="312"/>
      <c r="L981" s="311"/>
    </row>
    <row r="982" spans="1:12" ht="27">
      <c r="A982" s="318">
        <v>974</v>
      </c>
      <c r="B982" s="432" t="s">
        <v>3466</v>
      </c>
      <c r="C982" s="432" t="s">
        <v>522</v>
      </c>
      <c r="D982" s="746">
        <v>3000</v>
      </c>
      <c r="E982" s="432" t="s">
        <v>3476</v>
      </c>
      <c r="F982" s="432" t="s">
        <v>3477</v>
      </c>
      <c r="G982" s="432" t="s">
        <v>3478</v>
      </c>
      <c r="H982" s="432" t="s">
        <v>526</v>
      </c>
      <c r="I982" s="314"/>
      <c r="J982" s="313"/>
      <c r="K982" s="312"/>
      <c r="L982" s="311"/>
    </row>
    <row r="983" spans="1:12" ht="27">
      <c r="A983" s="318">
        <v>975</v>
      </c>
      <c r="B983" s="432" t="s">
        <v>3466</v>
      </c>
      <c r="C983" s="432" t="s">
        <v>522</v>
      </c>
      <c r="D983" s="746">
        <v>10000</v>
      </c>
      <c r="E983" s="432" t="s">
        <v>3479</v>
      </c>
      <c r="F983" s="432" t="s">
        <v>3480</v>
      </c>
      <c r="G983" s="432" t="s">
        <v>3481</v>
      </c>
      <c r="H983" s="432" t="s">
        <v>526</v>
      </c>
      <c r="I983" s="314"/>
      <c r="J983" s="313"/>
      <c r="K983" s="312"/>
      <c r="L983" s="311"/>
    </row>
    <row r="984" spans="1:12" ht="27">
      <c r="A984" s="318">
        <v>976</v>
      </c>
      <c r="B984" s="432" t="s">
        <v>3466</v>
      </c>
      <c r="C984" s="432" t="s">
        <v>522</v>
      </c>
      <c r="D984" s="746">
        <v>5000</v>
      </c>
      <c r="E984" s="432" t="s">
        <v>3482</v>
      </c>
      <c r="F984" s="432" t="s">
        <v>3483</v>
      </c>
      <c r="G984" s="432" t="s">
        <v>3484</v>
      </c>
      <c r="H984" s="432" t="s">
        <v>526</v>
      </c>
      <c r="I984" s="314"/>
      <c r="J984" s="313"/>
      <c r="K984" s="312"/>
      <c r="L984" s="311"/>
    </row>
    <row r="985" spans="1:12" ht="27">
      <c r="A985" s="318">
        <v>977</v>
      </c>
      <c r="B985" s="432" t="s">
        <v>3466</v>
      </c>
      <c r="C985" s="432" t="s">
        <v>522</v>
      </c>
      <c r="D985" s="746">
        <v>5000</v>
      </c>
      <c r="E985" s="432" t="s">
        <v>3485</v>
      </c>
      <c r="F985" s="432" t="s">
        <v>3486</v>
      </c>
      <c r="G985" s="432" t="s">
        <v>3487</v>
      </c>
      <c r="H985" s="432" t="s">
        <v>526</v>
      </c>
      <c r="I985" s="314"/>
      <c r="J985" s="313"/>
      <c r="K985" s="312"/>
      <c r="L985" s="311"/>
    </row>
    <row r="986" spans="1:12" ht="27">
      <c r="A986" s="318">
        <v>978</v>
      </c>
      <c r="B986" s="432" t="s">
        <v>3488</v>
      </c>
      <c r="C986" s="432" t="s">
        <v>522</v>
      </c>
      <c r="D986" s="746">
        <v>4000</v>
      </c>
      <c r="E986" s="432" t="s">
        <v>3489</v>
      </c>
      <c r="F986" s="432" t="s">
        <v>3490</v>
      </c>
      <c r="G986" s="432" t="s">
        <v>3491</v>
      </c>
      <c r="H986" s="432" t="s">
        <v>526</v>
      </c>
      <c r="I986" s="314"/>
      <c r="J986" s="313"/>
      <c r="K986" s="312"/>
      <c r="L986" s="311"/>
    </row>
    <row r="987" spans="1:12" ht="27">
      <c r="A987" s="318">
        <v>979</v>
      </c>
      <c r="B987" s="432" t="s">
        <v>3488</v>
      </c>
      <c r="C987" s="432" t="s">
        <v>522</v>
      </c>
      <c r="D987" s="746">
        <v>4000</v>
      </c>
      <c r="E987" s="432" t="s">
        <v>3492</v>
      </c>
      <c r="F987" s="432" t="s">
        <v>3493</v>
      </c>
      <c r="G987" s="432" t="s">
        <v>3494</v>
      </c>
      <c r="H987" s="432" t="s">
        <v>526</v>
      </c>
      <c r="I987" s="314"/>
      <c r="J987" s="313"/>
      <c r="K987" s="312"/>
      <c r="L987" s="311"/>
    </row>
    <row r="988" spans="1:12" ht="27">
      <c r="A988" s="318">
        <v>980</v>
      </c>
      <c r="B988" s="432" t="s">
        <v>3488</v>
      </c>
      <c r="C988" s="432" t="s">
        <v>522</v>
      </c>
      <c r="D988" s="746">
        <v>4000</v>
      </c>
      <c r="E988" s="432" t="s">
        <v>3495</v>
      </c>
      <c r="F988" s="432" t="s">
        <v>3496</v>
      </c>
      <c r="G988" s="432" t="s">
        <v>3497</v>
      </c>
      <c r="H988" s="432" t="s">
        <v>526</v>
      </c>
      <c r="I988" s="314"/>
      <c r="J988" s="313"/>
      <c r="K988" s="312"/>
      <c r="L988" s="311"/>
    </row>
    <row r="989" spans="1:12" ht="27">
      <c r="A989" s="318">
        <v>981</v>
      </c>
      <c r="B989" s="432" t="s">
        <v>3498</v>
      </c>
      <c r="C989" s="432" t="s">
        <v>522</v>
      </c>
      <c r="D989" s="746">
        <v>5000</v>
      </c>
      <c r="E989" s="432" t="s">
        <v>3499</v>
      </c>
      <c r="F989" s="432" t="s">
        <v>3500</v>
      </c>
      <c r="G989" s="432" t="s">
        <v>3501</v>
      </c>
      <c r="H989" s="432" t="s">
        <v>526</v>
      </c>
      <c r="I989" s="314"/>
      <c r="J989" s="313"/>
      <c r="K989" s="312"/>
      <c r="L989" s="311"/>
    </row>
    <row r="990" spans="1:12" ht="27">
      <c r="A990" s="318">
        <v>982</v>
      </c>
      <c r="B990" s="432" t="s">
        <v>3498</v>
      </c>
      <c r="C990" s="432" t="s">
        <v>522</v>
      </c>
      <c r="D990" s="746">
        <v>5000</v>
      </c>
      <c r="E990" s="432" t="s">
        <v>3502</v>
      </c>
      <c r="F990" s="432" t="s">
        <v>3503</v>
      </c>
      <c r="G990" s="432" t="s">
        <v>3504</v>
      </c>
      <c r="H990" s="432" t="s">
        <v>526</v>
      </c>
      <c r="I990" s="314"/>
      <c r="J990" s="313"/>
      <c r="K990" s="312"/>
      <c r="L990" s="311"/>
    </row>
    <row r="991" spans="1:12" ht="27">
      <c r="A991" s="318">
        <v>983</v>
      </c>
      <c r="B991" s="432" t="s">
        <v>3498</v>
      </c>
      <c r="C991" s="432" t="s">
        <v>522</v>
      </c>
      <c r="D991" s="746">
        <v>4000</v>
      </c>
      <c r="E991" s="432" t="s">
        <v>3505</v>
      </c>
      <c r="F991" s="432" t="s">
        <v>3506</v>
      </c>
      <c r="G991" s="432" t="s">
        <v>3507</v>
      </c>
      <c r="H991" s="432" t="s">
        <v>526</v>
      </c>
      <c r="I991" s="314"/>
      <c r="J991" s="313"/>
      <c r="K991" s="312"/>
      <c r="L991" s="311"/>
    </row>
    <row r="992" spans="1:12" ht="27">
      <c r="A992" s="318">
        <v>984</v>
      </c>
      <c r="B992" s="432" t="s">
        <v>3498</v>
      </c>
      <c r="C992" s="432" t="s">
        <v>522</v>
      </c>
      <c r="D992" s="746">
        <v>3000</v>
      </c>
      <c r="E992" s="432" t="s">
        <v>3508</v>
      </c>
      <c r="F992" s="432" t="s">
        <v>3509</v>
      </c>
      <c r="G992" s="432" t="s">
        <v>3510</v>
      </c>
      <c r="H992" s="432" t="s">
        <v>526</v>
      </c>
      <c r="I992" s="314"/>
      <c r="J992" s="313"/>
      <c r="K992" s="312"/>
      <c r="L992" s="311"/>
    </row>
    <row r="993" spans="1:12" ht="27">
      <c r="A993" s="318">
        <v>985</v>
      </c>
      <c r="B993" s="432" t="s">
        <v>3498</v>
      </c>
      <c r="C993" s="432" t="s">
        <v>522</v>
      </c>
      <c r="D993" s="746">
        <v>30000</v>
      </c>
      <c r="E993" s="432" t="s">
        <v>3511</v>
      </c>
      <c r="F993" s="432" t="s">
        <v>3512</v>
      </c>
      <c r="G993" s="432" t="s">
        <v>3513</v>
      </c>
      <c r="H993" s="432" t="s">
        <v>526</v>
      </c>
      <c r="I993" s="314"/>
      <c r="J993" s="313"/>
      <c r="K993" s="312"/>
      <c r="L993" s="311"/>
    </row>
    <row r="994" spans="1:12" ht="27">
      <c r="A994" s="318">
        <v>986</v>
      </c>
      <c r="B994" s="432" t="s">
        <v>3514</v>
      </c>
      <c r="C994" s="432" t="s">
        <v>522</v>
      </c>
      <c r="D994" s="746">
        <v>3000</v>
      </c>
      <c r="E994" s="432" t="s">
        <v>3515</v>
      </c>
      <c r="F994" s="432" t="s">
        <v>3516</v>
      </c>
      <c r="G994" s="432" t="s">
        <v>3517</v>
      </c>
      <c r="H994" s="432" t="s">
        <v>526</v>
      </c>
      <c r="I994" s="314"/>
      <c r="J994" s="313"/>
      <c r="K994" s="312"/>
      <c r="L994" s="311"/>
    </row>
    <row r="995" spans="1:12" ht="27">
      <c r="A995" s="318">
        <v>987</v>
      </c>
      <c r="B995" s="432" t="s">
        <v>3514</v>
      </c>
      <c r="C995" s="432" t="s">
        <v>522</v>
      </c>
      <c r="D995" s="746">
        <v>5000</v>
      </c>
      <c r="E995" s="432" t="s">
        <v>3518</v>
      </c>
      <c r="F995" s="432" t="s">
        <v>3519</v>
      </c>
      <c r="G995" s="432" t="s">
        <v>3520</v>
      </c>
      <c r="H995" s="432" t="s">
        <v>526</v>
      </c>
      <c r="I995" s="314"/>
      <c r="J995" s="313"/>
      <c r="K995" s="312"/>
      <c r="L995" s="311"/>
    </row>
    <row r="996" spans="1:12" ht="27">
      <c r="A996" s="318">
        <v>988</v>
      </c>
      <c r="B996" s="432" t="s">
        <v>3514</v>
      </c>
      <c r="C996" s="432" t="s">
        <v>522</v>
      </c>
      <c r="D996" s="746">
        <v>7000</v>
      </c>
      <c r="E996" s="432" t="s">
        <v>3521</v>
      </c>
      <c r="F996" s="432" t="s">
        <v>3522</v>
      </c>
      <c r="G996" s="432" t="s">
        <v>3523</v>
      </c>
      <c r="H996" s="432" t="s">
        <v>526</v>
      </c>
      <c r="I996" s="314"/>
      <c r="J996" s="313"/>
      <c r="K996" s="312"/>
      <c r="L996" s="311"/>
    </row>
    <row r="997" spans="1:12" ht="27">
      <c r="A997" s="318">
        <v>989</v>
      </c>
      <c r="B997" s="432" t="s">
        <v>3514</v>
      </c>
      <c r="C997" s="432" t="s">
        <v>522</v>
      </c>
      <c r="D997" s="746">
        <v>4000</v>
      </c>
      <c r="E997" s="432" t="s">
        <v>3524</v>
      </c>
      <c r="F997" s="432" t="s">
        <v>3525</v>
      </c>
      <c r="G997" s="432" t="s">
        <v>3526</v>
      </c>
      <c r="H997" s="432" t="s">
        <v>526</v>
      </c>
      <c r="I997" s="314"/>
      <c r="J997" s="313"/>
      <c r="K997" s="312"/>
      <c r="L997" s="311"/>
    </row>
    <row r="998" spans="1:12" ht="27">
      <c r="A998" s="318">
        <v>990</v>
      </c>
      <c r="B998" s="432" t="s">
        <v>3514</v>
      </c>
      <c r="C998" s="432" t="s">
        <v>522</v>
      </c>
      <c r="D998" s="746">
        <v>6000</v>
      </c>
      <c r="E998" s="432" t="s">
        <v>3527</v>
      </c>
      <c r="F998" s="432" t="s">
        <v>3528</v>
      </c>
      <c r="G998" s="432" t="s">
        <v>3529</v>
      </c>
      <c r="H998" s="432" t="s">
        <v>526</v>
      </c>
      <c r="I998" s="314"/>
      <c r="J998" s="313"/>
      <c r="K998" s="312"/>
      <c r="L998" s="311"/>
    </row>
    <row r="999" spans="1:12" ht="27">
      <c r="A999" s="318">
        <v>991</v>
      </c>
      <c r="B999" s="432" t="s">
        <v>3530</v>
      </c>
      <c r="C999" s="432" t="s">
        <v>522</v>
      </c>
      <c r="D999" s="746">
        <v>50000</v>
      </c>
      <c r="E999" s="432" t="s">
        <v>3531</v>
      </c>
      <c r="F999" s="432" t="s">
        <v>3532</v>
      </c>
      <c r="G999" s="432" t="s">
        <v>3533</v>
      </c>
      <c r="H999" s="432" t="s">
        <v>526</v>
      </c>
      <c r="I999" s="314"/>
      <c r="J999" s="313"/>
      <c r="K999" s="312"/>
      <c r="L999" s="311"/>
    </row>
    <row r="1000" spans="1:12" ht="27">
      <c r="A1000" s="318">
        <v>992</v>
      </c>
      <c r="B1000" s="432" t="s">
        <v>3530</v>
      </c>
      <c r="C1000" s="432" t="s">
        <v>522</v>
      </c>
      <c r="D1000" s="746">
        <v>50000</v>
      </c>
      <c r="E1000" s="432" t="s">
        <v>3534</v>
      </c>
      <c r="F1000" s="432" t="s">
        <v>3535</v>
      </c>
      <c r="G1000" s="432" t="s">
        <v>3536</v>
      </c>
      <c r="H1000" s="432" t="s">
        <v>526</v>
      </c>
      <c r="I1000" s="314"/>
      <c r="J1000" s="313"/>
      <c r="K1000" s="312"/>
      <c r="L1000" s="311"/>
    </row>
    <row r="1001" spans="1:12" ht="27">
      <c r="A1001" s="318">
        <v>993</v>
      </c>
      <c r="B1001" s="432" t="s">
        <v>3530</v>
      </c>
      <c r="C1001" s="432" t="s">
        <v>522</v>
      </c>
      <c r="D1001" s="746">
        <v>50000</v>
      </c>
      <c r="E1001" s="432" t="s">
        <v>3537</v>
      </c>
      <c r="F1001" s="432" t="s">
        <v>3538</v>
      </c>
      <c r="G1001" s="432" t="s">
        <v>3539</v>
      </c>
      <c r="H1001" s="432" t="s">
        <v>526</v>
      </c>
      <c r="I1001" s="314"/>
      <c r="J1001" s="313"/>
      <c r="K1001" s="312"/>
      <c r="L1001" s="311"/>
    </row>
    <row r="1002" spans="1:12" ht="27">
      <c r="A1002" s="318">
        <v>994</v>
      </c>
      <c r="B1002" s="432" t="s">
        <v>3530</v>
      </c>
      <c r="C1002" s="432" t="s">
        <v>522</v>
      </c>
      <c r="D1002" s="746">
        <v>45000</v>
      </c>
      <c r="E1002" s="432" t="s">
        <v>3540</v>
      </c>
      <c r="F1002" s="432" t="s">
        <v>3541</v>
      </c>
      <c r="G1002" s="432" t="s">
        <v>3542</v>
      </c>
      <c r="H1002" s="432" t="s">
        <v>526</v>
      </c>
      <c r="I1002" s="314"/>
      <c r="J1002" s="313"/>
      <c r="K1002" s="312"/>
      <c r="L1002" s="311"/>
    </row>
    <row r="1003" spans="1:12" ht="27">
      <c r="A1003" s="318">
        <v>995</v>
      </c>
      <c r="B1003" s="432" t="s">
        <v>3530</v>
      </c>
      <c r="C1003" s="432" t="s">
        <v>522</v>
      </c>
      <c r="D1003" s="746">
        <v>35000</v>
      </c>
      <c r="E1003" s="432" t="s">
        <v>3543</v>
      </c>
      <c r="F1003" s="432" t="s">
        <v>3544</v>
      </c>
      <c r="G1003" s="432" t="s">
        <v>3545</v>
      </c>
      <c r="H1003" s="432" t="s">
        <v>526</v>
      </c>
      <c r="I1003" s="314"/>
      <c r="J1003" s="313"/>
      <c r="K1003" s="312"/>
      <c r="L1003" s="311"/>
    </row>
    <row r="1004" spans="1:12" ht="27">
      <c r="A1004" s="318">
        <v>996</v>
      </c>
      <c r="B1004" s="432" t="s">
        <v>3530</v>
      </c>
      <c r="C1004" s="432" t="s">
        <v>522</v>
      </c>
      <c r="D1004" s="746">
        <v>35000</v>
      </c>
      <c r="E1004" s="432" t="s">
        <v>3546</v>
      </c>
      <c r="F1004" s="432" t="s">
        <v>3547</v>
      </c>
      <c r="G1004" s="432" t="s">
        <v>3548</v>
      </c>
      <c r="H1004" s="432" t="s">
        <v>526</v>
      </c>
      <c r="I1004" s="314"/>
      <c r="J1004" s="313"/>
      <c r="K1004" s="312"/>
      <c r="L1004" s="311"/>
    </row>
    <row r="1005" spans="1:12" ht="27">
      <c r="A1005" s="318">
        <v>997</v>
      </c>
      <c r="B1005" s="432" t="s">
        <v>3530</v>
      </c>
      <c r="C1005" s="432" t="s">
        <v>522</v>
      </c>
      <c r="D1005" s="746">
        <v>60000</v>
      </c>
      <c r="E1005" s="432" t="s">
        <v>3549</v>
      </c>
      <c r="F1005" s="432" t="s">
        <v>3550</v>
      </c>
      <c r="G1005" s="432" t="s">
        <v>3551</v>
      </c>
      <c r="H1005" s="432" t="s">
        <v>526</v>
      </c>
      <c r="I1005" s="314"/>
      <c r="J1005" s="313"/>
      <c r="K1005" s="312"/>
      <c r="L1005" s="311"/>
    </row>
    <row r="1006" spans="1:12" ht="27">
      <c r="A1006" s="318">
        <v>998</v>
      </c>
      <c r="B1006" s="432" t="s">
        <v>3530</v>
      </c>
      <c r="C1006" s="432" t="s">
        <v>522</v>
      </c>
      <c r="D1006" s="746">
        <v>50000</v>
      </c>
      <c r="E1006" s="432" t="s">
        <v>3552</v>
      </c>
      <c r="F1006" s="432" t="s">
        <v>3553</v>
      </c>
      <c r="G1006" s="432" t="s">
        <v>3554</v>
      </c>
      <c r="H1006" s="432" t="s">
        <v>526</v>
      </c>
      <c r="I1006" s="314"/>
      <c r="J1006" s="313"/>
      <c r="K1006" s="312"/>
      <c r="L1006" s="311"/>
    </row>
    <row r="1007" spans="1:12" ht="27">
      <c r="A1007" s="318">
        <v>999</v>
      </c>
      <c r="B1007" s="432" t="s">
        <v>3555</v>
      </c>
      <c r="C1007" s="432" t="s">
        <v>522</v>
      </c>
      <c r="D1007" s="746">
        <v>50000</v>
      </c>
      <c r="E1007" s="432" t="s">
        <v>3556</v>
      </c>
      <c r="F1007" s="432" t="s">
        <v>3557</v>
      </c>
      <c r="G1007" s="432" t="s">
        <v>3558</v>
      </c>
      <c r="H1007" s="432" t="s">
        <v>526</v>
      </c>
      <c r="I1007" s="314"/>
      <c r="J1007" s="313"/>
      <c r="K1007" s="312"/>
      <c r="L1007" s="311"/>
    </row>
    <row r="1008" spans="1:12" ht="27">
      <c r="A1008" s="318">
        <v>1000</v>
      </c>
      <c r="B1008" s="432" t="s">
        <v>3555</v>
      </c>
      <c r="C1008" s="432" t="s">
        <v>522</v>
      </c>
      <c r="D1008" s="746">
        <v>20000</v>
      </c>
      <c r="E1008" s="432" t="s">
        <v>3559</v>
      </c>
      <c r="F1008" s="432" t="s">
        <v>3560</v>
      </c>
      <c r="G1008" s="432" t="s">
        <v>3561</v>
      </c>
      <c r="H1008" s="432" t="s">
        <v>526</v>
      </c>
      <c r="I1008" s="314"/>
      <c r="J1008" s="313"/>
      <c r="K1008" s="312"/>
      <c r="L1008" s="311"/>
    </row>
    <row r="1009" spans="1:12" ht="27">
      <c r="A1009" s="318">
        <v>1001</v>
      </c>
      <c r="B1009" s="432" t="s">
        <v>3555</v>
      </c>
      <c r="C1009" s="432" t="s">
        <v>522</v>
      </c>
      <c r="D1009" s="746">
        <v>30000</v>
      </c>
      <c r="E1009" s="432" t="s">
        <v>3562</v>
      </c>
      <c r="F1009" s="432" t="s">
        <v>3563</v>
      </c>
      <c r="G1009" s="432" t="s">
        <v>3564</v>
      </c>
      <c r="H1009" s="432" t="s">
        <v>526</v>
      </c>
      <c r="I1009" s="314"/>
      <c r="J1009" s="313"/>
      <c r="K1009" s="312"/>
      <c r="L1009" s="311"/>
    </row>
    <row r="1010" spans="1:12" ht="27">
      <c r="A1010" s="318">
        <v>1002</v>
      </c>
      <c r="B1010" s="432" t="s">
        <v>3555</v>
      </c>
      <c r="C1010" s="432" t="s">
        <v>522</v>
      </c>
      <c r="D1010" s="746">
        <v>20000</v>
      </c>
      <c r="E1010" s="432" t="s">
        <v>3565</v>
      </c>
      <c r="F1010" s="432" t="s">
        <v>3566</v>
      </c>
      <c r="G1010" s="432" t="s">
        <v>3567</v>
      </c>
      <c r="H1010" s="432" t="s">
        <v>526</v>
      </c>
      <c r="I1010" s="314"/>
      <c r="J1010" s="313"/>
      <c r="K1010" s="312"/>
      <c r="L1010" s="311"/>
    </row>
    <row r="1011" spans="1:12" ht="27">
      <c r="A1011" s="318">
        <v>1003</v>
      </c>
      <c r="B1011" s="432" t="s">
        <v>3568</v>
      </c>
      <c r="C1011" s="432" t="s">
        <v>522</v>
      </c>
      <c r="D1011" s="746">
        <v>20000</v>
      </c>
      <c r="E1011" s="432" t="s">
        <v>599</v>
      </c>
      <c r="F1011" s="432" t="s">
        <v>3569</v>
      </c>
      <c r="G1011" s="432" t="s">
        <v>3570</v>
      </c>
      <c r="H1011" s="432" t="s">
        <v>526</v>
      </c>
      <c r="I1011" s="314"/>
      <c r="J1011" s="313"/>
      <c r="K1011" s="312"/>
      <c r="L1011" s="311"/>
    </row>
    <row r="1012" spans="1:12" ht="27">
      <c r="A1012" s="318">
        <v>1004</v>
      </c>
      <c r="B1012" s="432" t="s">
        <v>3568</v>
      </c>
      <c r="C1012" s="432" t="s">
        <v>522</v>
      </c>
      <c r="D1012" s="746">
        <v>30000</v>
      </c>
      <c r="E1012" s="432" t="s">
        <v>3571</v>
      </c>
      <c r="F1012" s="432" t="s">
        <v>3572</v>
      </c>
      <c r="G1012" s="432" t="s">
        <v>3573</v>
      </c>
      <c r="H1012" s="432" t="s">
        <v>526</v>
      </c>
      <c r="I1012" s="314"/>
      <c r="J1012" s="313"/>
      <c r="K1012" s="312"/>
      <c r="L1012" s="311"/>
    </row>
    <row r="1013" spans="1:12" ht="27">
      <c r="A1013" s="318">
        <v>1005</v>
      </c>
      <c r="B1013" s="432" t="s">
        <v>3568</v>
      </c>
      <c r="C1013" s="432" t="s">
        <v>522</v>
      </c>
      <c r="D1013" s="746">
        <v>40000</v>
      </c>
      <c r="E1013" s="432" t="s">
        <v>3574</v>
      </c>
      <c r="F1013" s="432" t="s">
        <v>3575</v>
      </c>
      <c r="G1013" s="432" t="s">
        <v>3576</v>
      </c>
      <c r="H1013" s="432" t="s">
        <v>526</v>
      </c>
      <c r="I1013" s="314"/>
      <c r="J1013" s="313"/>
      <c r="K1013" s="312"/>
      <c r="L1013" s="311"/>
    </row>
    <row r="1014" spans="1:12" ht="27">
      <c r="A1014" s="318">
        <v>1006</v>
      </c>
      <c r="B1014" s="432" t="s">
        <v>3568</v>
      </c>
      <c r="C1014" s="432" t="s">
        <v>522</v>
      </c>
      <c r="D1014" s="746">
        <v>10000</v>
      </c>
      <c r="E1014" s="432" t="s">
        <v>3577</v>
      </c>
      <c r="F1014" s="432" t="s">
        <v>3578</v>
      </c>
      <c r="G1014" s="432" t="s">
        <v>3579</v>
      </c>
      <c r="H1014" s="432" t="s">
        <v>526</v>
      </c>
      <c r="I1014" s="314"/>
      <c r="J1014" s="313"/>
      <c r="K1014" s="312"/>
      <c r="L1014" s="311"/>
    </row>
    <row r="1015" spans="1:12" ht="27">
      <c r="A1015" s="318">
        <v>1007</v>
      </c>
      <c r="B1015" s="432" t="s">
        <v>3580</v>
      </c>
      <c r="C1015" s="432" t="s">
        <v>522</v>
      </c>
      <c r="D1015" s="746">
        <v>10000</v>
      </c>
      <c r="E1015" s="432" t="s">
        <v>3581</v>
      </c>
      <c r="F1015" s="432" t="s">
        <v>3582</v>
      </c>
      <c r="G1015" s="432" t="s">
        <v>3583</v>
      </c>
      <c r="H1015" s="432" t="s">
        <v>526</v>
      </c>
      <c r="I1015" s="314"/>
      <c r="J1015" s="313"/>
      <c r="K1015" s="312"/>
      <c r="L1015" s="311"/>
    </row>
    <row r="1016" spans="1:12" ht="27">
      <c r="A1016" s="318">
        <v>1008</v>
      </c>
      <c r="B1016" s="432" t="s">
        <v>3580</v>
      </c>
      <c r="C1016" s="432" t="s">
        <v>522</v>
      </c>
      <c r="D1016" s="746">
        <v>15000</v>
      </c>
      <c r="E1016" s="432" t="s">
        <v>3584</v>
      </c>
      <c r="F1016" s="432" t="s">
        <v>3585</v>
      </c>
      <c r="G1016" s="432" t="s">
        <v>3586</v>
      </c>
      <c r="H1016" s="432" t="s">
        <v>526</v>
      </c>
      <c r="I1016" s="314"/>
      <c r="J1016" s="313"/>
      <c r="K1016" s="312"/>
      <c r="L1016" s="311"/>
    </row>
    <row r="1017" spans="1:12" ht="27">
      <c r="A1017" s="318">
        <v>1009</v>
      </c>
      <c r="B1017" s="432" t="s">
        <v>3580</v>
      </c>
      <c r="C1017" s="432" t="s">
        <v>522</v>
      </c>
      <c r="D1017" s="746">
        <v>5000</v>
      </c>
      <c r="E1017" s="432" t="s">
        <v>3587</v>
      </c>
      <c r="F1017" s="432" t="s">
        <v>3588</v>
      </c>
      <c r="G1017" s="432" t="s">
        <v>3589</v>
      </c>
      <c r="H1017" s="432" t="s">
        <v>526</v>
      </c>
      <c r="I1017" s="314"/>
      <c r="J1017" s="313"/>
      <c r="K1017" s="312"/>
      <c r="L1017" s="311"/>
    </row>
    <row r="1018" spans="1:12" ht="27">
      <c r="A1018" s="318">
        <v>1010</v>
      </c>
      <c r="B1018" s="432" t="s">
        <v>3590</v>
      </c>
      <c r="C1018" s="432" t="s">
        <v>522</v>
      </c>
      <c r="D1018" s="746">
        <v>10000</v>
      </c>
      <c r="E1018" s="432" t="s">
        <v>3591</v>
      </c>
      <c r="F1018" s="432" t="s">
        <v>3592</v>
      </c>
      <c r="G1018" s="432" t="s">
        <v>3593</v>
      </c>
      <c r="H1018" s="432" t="s">
        <v>526</v>
      </c>
      <c r="I1018" s="314"/>
      <c r="J1018" s="313"/>
      <c r="K1018" s="312"/>
      <c r="L1018" s="311"/>
    </row>
    <row r="1019" spans="1:12" ht="27">
      <c r="A1019" s="318">
        <v>1011</v>
      </c>
      <c r="B1019" s="432" t="s">
        <v>3594</v>
      </c>
      <c r="C1019" s="432" t="s">
        <v>522</v>
      </c>
      <c r="D1019" s="746">
        <v>20000</v>
      </c>
      <c r="E1019" s="432" t="s">
        <v>3595</v>
      </c>
      <c r="F1019" s="432" t="s">
        <v>3596</v>
      </c>
      <c r="G1019" s="432" t="s">
        <v>3597</v>
      </c>
      <c r="H1019" s="432" t="s">
        <v>526</v>
      </c>
      <c r="I1019" s="314"/>
      <c r="J1019" s="313"/>
      <c r="K1019" s="312"/>
      <c r="L1019" s="311"/>
    </row>
    <row r="1020" spans="1:12" ht="27">
      <c r="A1020" s="318">
        <v>1012</v>
      </c>
      <c r="B1020" s="432" t="s">
        <v>3568</v>
      </c>
      <c r="C1020" s="432" t="s">
        <v>522</v>
      </c>
      <c r="D1020" s="746">
        <v>10000</v>
      </c>
      <c r="E1020" s="432" t="s">
        <v>3598</v>
      </c>
      <c r="F1020" s="432" t="s">
        <v>3599</v>
      </c>
      <c r="G1020" s="432" t="s">
        <v>3600</v>
      </c>
      <c r="H1020" s="432" t="s">
        <v>526</v>
      </c>
      <c r="I1020" s="314"/>
      <c r="J1020" s="313"/>
      <c r="K1020" s="312"/>
      <c r="L1020" s="311"/>
    </row>
    <row r="1021" spans="1:12" ht="27">
      <c r="A1021" s="318">
        <v>1013</v>
      </c>
      <c r="B1021" s="432" t="s">
        <v>3601</v>
      </c>
      <c r="C1021" s="432" t="s">
        <v>231</v>
      </c>
      <c r="D1021" s="746">
        <v>20</v>
      </c>
      <c r="E1021" s="432" t="s">
        <v>558</v>
      </c>
      <c r="F1021" s="432" t="s">
        <v>518</v>
      </c>
      <c r="G1021" s="432" t="s">
        <v>519</v>
      </c>
      <c r="H1021" s="432" t="s">
        <v>520</v>
      </c>
      <c r="I1021" s="314"/>
      <c r="J1021" s="313"/>
      <c r="K1021" s="312"/>
      <c r="L1021" s="311"/>
    </row>
    <row r="1022" spans="1:12" ht="27">
      <c r="A1022" s="318">
        <v>1014</v>
      </c>
      <c r="B1022" s="432" t="s">
        <v>3601</v>
      </c>
      <c r="C1022" s="432" t="s">
        <v>522</v>
      </c>
      <c r="D1022" s="746">
        <v>60000</v>
      </c>
      <c r="E1022" s="432" t="s">
        <v>3602</v>
      </c>
      <c r="F1022" s="432" t="s">
        <v>3603</v>
      </c>
      <c r="G1022" s="432" t="s">
        <v>3604</v>
      </c>
      <c r="H1022" s="432" t="s">
        <v>526</v>
      </c>
      <c r="I1022" s="314"/>
      <c r="J1022" s="313"/>
      <c r="K1022" s="312"/>
      <c r="L1022" s="311"/>
    </row>
    <row r="1023" spans="1:12" ht="27">
      <c r="A1023" s="318">
        <v>1015</v>
      </c>
      <c r="B1023" s="432" t="s">
        <v>3601</v>
      </c>
      <c r="C1023" s="432" t="s">
        <v>522</v>
      </c>
      <c r="D1023" s="746">
        <v>10000</v>
      </c>
      <c r="E1023" s="432" t="s">
        <v>3605</v>
      </c>
      <c r="F1023" s="432" t="s">
        <v>3606</v>
      </c>
      <c r="G1023" s="432" t="s">
        <v>3607</v>
      </c>
      <c r="H1023" s="432" t="s">
        <v>526</v>
      </c>
      <c r="I1023" s="314"/>
      <c r="J1023" s="313"/>
      <c r="K1023" s="312"/>
      <c r="L1023" s="311"/>
    </row>
    <row r="1024" spans="1:12" ht="27">
      <c r="A1024" s="318">
        <v>1016</v>
      </c>
      <c r="B1024" s="432" t="s">
        <v>3601</v>
      </c>
      <c r="C1024" s="432" t="s">
        <v>522</v>
      </c>
      <c r="D1024" s="746">
        <v>40000</v>
      </c>
      <c r="E1024" s="432" t="s">
        <v>3608</v>
      </c>
      <c r="F1024" s="432" t="s">
        <v>3609</v>
      </c>
      <c r="G1024" s="432" t="s">
        <v>3610</v>
      </c>
      <c r="H1024" s="432" t="s">
        <v>526</v>
      </c>
      <c r="I1024" s="314"/>
      <c r="J1024" s="313"/>
      <c r="K1024" s="312"/>
      <c r="L1024" s="311"/>
    </row>
    <row r="1025" spans="1:12" ht="27">
      <c r="A1025" s="318">
        <v>1017</v>
      </c>
      <c r="B1025" s="432" t="s">
        <v>3601</v>
      </c>
      <c r="C1025" s="432" t="s">
        <v>522</v>
      </c>
      <c r="D1025" s="746">
        <v>50000</v>
      </c>
      <c r="E1025" s="432" t="s">
        <v>3611</v>
      </c>
      <c r="F1025" s="432" t="s">
        <v>3612</v>
      </c>
      <c r="G1025" s="432" t="s">
        <v>3613</v>
      </c>
      <c r="H1025" s="432" t="s">
        <v>526</v>
      </c>
      <c r="I1025" s="314"/>
      <c r="J1025" s="313"/>
      <c r="K1025" s="312"/>
      <c r="L1025" s="311"/>
    </row>
    <row r="1026" spans="1:12" ht="27">
      <c r="A1026" s="318">
        <v>1018</v>
      </c>
      <c r="B1026" s="432" t="s">
        <v>3601</v>
      </c>
      <c r="C1026" s="432" t="s">
        <v>522</v>
      </c>
      <c r="D1026" s="746">
        <v>20000</v>
      </c>
      <c r="E1026" s="432" t="s">
        <v>3614</v>
      </c>
      <c r="F1026" s="432" t="s">
        <v>3615</v>
      </c>
      <c r="G1026" s="432" t="s">
        <v>3616</v>
      </c>
      <c r="H1026" s="432" t="s">
        <v>526</v>
      </c>
      <c r="I1026" s="314"/>
      <c r="J1026" s="313"/>
      <c r="K1026" s="312"/>
      <c r="L1026" s="311"/>
    </row>
    <row r="1027" spans="1:12" ht="27">
      <c r="A1027" s="318">
        <v>1019</v>
      </c>
      <c r="B1027" s="432" t="s">
        <v>3617</v>
      </c>
      <c r="C1027" s="432" t="s">
        <v>522</v>
      </c>
      <c r="D1027" s="746">
        <v>40000</v>
      </c>
      <c r="E1027" s="432" t="s">
        <v>3618</v>
      </c>
      <c r="F1027" s="432" t="s">
        <v>3619</v>
      </c>
      <c r="G1027" s="432" t="s">
        <v>3620</v>
      </c>
      <c r="H1027" s="432" t="s">
        <v>526</v>
      </c>
      <c r="I1027" s="314"/>
      <c r="J1027" s="313"/>
      <c r="K1027" s="312"/>
      <c r="L1027" s="311"/>
    </row>
    <row r="1028" spans="1:12" ht="27">
      <c r="A1028" s="318">
        <v>1020</v>
      </c>
      <c r="B1028" s="432" t="s">
        <v>3617</v>
      </c>
      <c r="C1028" s="432" t="s">
        <v>522</v>
      </c>
      <c r="D1028" s="746">
        <v>5000</v>
      </c>
      <c r="E1028" s="432" t="s">
        <v>3621</v>
      </c>
      <c r="F1028" s="432" t="s">
        <v>3622</v>
      </c>
      <c r="G1028" s="432" t="s">
        <v>3623</v>
      </c>
      <c r="H1028" s="432" t="s">
        <v>526</v>
      </c>
      <c r="I1028" s="314"/>
      <c r="J1028" s="313"/>
      <c r="K1028" s="312"/>
      <c r="L1028" s="311"/>
    </row>
    <row r="1029" spans="1:12" ht="27">
      <c r="A1029" s="318">
        <v>1021</v>
      </c>
      <c r="B1029" s="432" t="s">
        <v>3624</v>
      </c>
      <c r="C1029" s="432" t="s">
        <v>522</v>
      </c>
      <c r="D1029" s="746">
        <v>15000</v>
      </c>
      <c r="E1029" s="432" t="s">
        <v>3625</v>
      </c>
      <c r="F1029" s="432" t="s">
        <v>3626</v>
      </c>
      <c r="G1029" s="432" t="s">
        <v>3627</v>
      </c>
      <c r="H1029" s="432" t="s">
        <v>526</v>
      </c>
      <c r="I1029" s="314"/>
      <c r="J1029" s="313"/>
      <c r="K1029" s="312"/>
      <c r="L1029" s="311"/>
    </row>
    <row r="1030" spans="1:12" ht="27">
      <c r="A1030" s="318">
        <v>1022</v>
      </c>
      <c r="B1030" s="432" t="s">
        <v>3624</v>
      </c>
      <c r="C1030" s="432" t="s">
        <v>522</v>
      </c>
      <c r="D1030" s="746">
        <v>10000</v>
      </c>
      <c r="E1030" s="432" t="s">
        <v>3628</v>
      </c>
      <c r="F1030" s="432" t="s">
        <v>3629</v>
      </c>
      <c r="G1030" s="432" t="s">
        <v>3630</v>
      </c>
      <c r="H1030" s="432" t="s">
        <v>526</v>
      </c>
      <c r="I1030" s="314"/>
      <c r="J1030" s="313"/>
      <c r="K1030" s="312"/>
      <c r="L1030" s="311"/>
    </row>
    <row r="1031" spans="1:12" ht="27">
      <c r="A1031" s="318">
        <v>1023</v>
      </c>
      <c r="B1031" s="432" t="s">
        <v>3624</v>
      </c>
      <c r="C1031" s="432" t="s">
        <v>522</v>
      </c>
      <c r="D1031" s="746">
        <v>30000</v>
      </c>
      <c r="E1031" s="432" t="s">
        <v>677</v>
      </c>
      <c r="F1031" s="432" t="s">
        <v>678</v>
      </c>
      <c r="G1031" s="432" t="s">
        <v>3631</v>
      </c>
      <c r="H1031" s="432" t="s">
        <v>526</v>
      </c>
      <c r="I1031" s="314"/>
      <c r="J1031" s="313"/>
      <c r="K1031" s="312"/>
      <c r="L1031" s="311"/>
    </row>
    <row r="1032" spans="1:12" ht="27">
      <c r="A1032" s="318">
        <v>1024</v>
      </c>
      <c r="B1032" s="432" t="s">
        <v>3632</v>
      </c>
      <c r="C1032" s="432" t="s">
        <v>522</v>
      </c>
      <c r="D1032" s="746">
        <v>20000</v>
      </c>
      <c r="E1032" s="432" t="s">
        <v>3633</v>
      </c>
      <c r="F1032" s="432" t="s">
        <v>3634</v>
      </c>
      <c r="G1032" s="432" t="s">
        <v>3635</v>
      </c>
      <c r="H1032" s="432" t="s">
        <v>526</v>
      </c>
      <c r="I1032" s="314"/>
      <c r="J1032" s="313"/>
      <c r="K1032" s="312"/>
      <c r="L1032" s="311"/>
    </row>
    <row r="1033" spans="1:12" ht="27">
      <c r="A1033" s="318">
        <v>1025</v>
      </c>
      <c r="B1033" s="432" t="s">
        <v>3632</v>
      </c>
      <c r="C1033" s="432" t="s">
        <v>522</v>
      </c>
      <c r="D1033" s="746">
        <v>51000</v>
      </c>
      <c r="E1033" s="432" t="s">
        <v>3636</v>
      </c>
      <c r="F1033" s="432" t="s">
        <v>3637</v>
      </c>
      <c r="G1033" s="432" t="s">
        <v>3638</v>
      </c>
      <c r="H1033" s="432" t="s">
        <v>526</v>
      </c>
      <c r="I1033" s="314"/>
      <c r="J1033" s="313"/>
      <c r="K1033" s="312"/>
      <c r="L1033" s="311"/>
    </row>
    <row r="1034" spans="1:12" ht="27">
      <c r="A1034" s="318">
        <v>1026</v>
      </c>
      <c r="B1034" s="432" t="s">
        <v>3632</v>
      </c>
      <c r="C1034" s="432" t="s">
        <v>522</v>
      </c>
      <c r="D1034" s="746">
        <v>15000</v>
      </c>
      <c r="E1034" s="432" t="s">
        <v>3639</v>
      </c>
      <c r="F1034" s="432" t="s">
        <v>3640</v>
      </c>
      <c r="G1034" s="432" t="s">
        <v>3641</v>
      </c>
      <c r="H1034" s="432" t="s">
        <v>526</v>
      </c>
      <c r="I1034" s="314"/>
      <c r="J1034" s="313"/>
      <c r="K1034" s="312"/>
      <c r="L1034" s="311"/>
    </row>
    <row r="1035" spans="1:12" ht="27">
      <c r="A1035" s="318">
        <v>1027</v>
      </c>
      <c r="B1035" s="432" t="s">
        <v>3632</v>
      </c>
      <c r="C1035" s="432" t="s">
        <v>522</v>
      </c>
      <c r="D1035" s="746">
        <v>60000</v>
      </c>
      <c r="E1035" s="432" t="s">
        <v>3642</v>
      </c>
      <c r="F1035" s="432" t="s">
        <v>3643</v>
      </c>
      <c r="G1035" s="432" t="s">
        <v>3644</v>
      </c>
      <c r="H1035" s="432" t="s">
        <v>526</v>
      </c>
      <c r="I1035" s="314"/>
      <c r="J1035" s="313"/>
      <c r="K1035" s="312"/>
      <c r="L1035" s="311"/>
    </row>
    <row r="1036" spans="1:12" ht="27">
      <c r="A1036" s="318">
        <v>1028</v>
      </c>
      <c r="B1036" s="432" t="s">
        <v>3632</v>
      </c>
      <c r="C1036" s="432" t="s">
        <v>522</v>
      </c>
      <c r="D1036" s="746">
        <v>25000</v>
      </c>
      <c r="E1036" s="432" t="s">
        <v>3645</v>
      </c>
      <c r="F1036" s="432" t="s">
        <v>3646</v>
      </c>
      <c r="G1036" s="432" t="s">
        <v>3647</v>
      </c>
      <c r="H1036" s="432" t="s">
        <v>526</v>
      </c>
      <c r="I1036" s="314"/>
      <c r="J1036" s="313"/>
      <c r="K1036" s="312"/>
      <c r="L1036" s="311"/>
    </row>
    <row r="1037" spans="1:12" ht="27">
      <c r="A1037" s="318">
        <v>1029</v>
      </c>
      <c r="B1037" s="432" t="s">
        <v>3648</v>
      </c>
      <c r="C1037" s="432" t="s">
        <v>522</v>
      </c>
      <c r="D1037" s="746">
        <v>30000</v>
      </c>
      <c r="E1037" s="432" t="s">
        <v>3649</v>
      </c>
      <c r="F1037" s="432" t="s">
        <v>3650</v>
      </c>
      <c r="G1037" s="432" t="s">
        <v>3651</v>
      </c>
      <c r="H1037" s="432" t="s">
        <v>526</v>
      </c>
      <c r="I1037" s="314"/>
      <c r="J1037" s="313"/>
      <c r="K1037" s="312"/>
      <c r="L1037" s="311"/>
    </row>
    <row r="1038" spans="1:12" ht="27">
      <c r="A1038" s="318">
        <v>1030</v>
      </c>
      <c r="B1038" s="432" t="s">
        <v>3652</v>
      </c>
      <c r="C1038" s="432" t="s">
        <v>522</v>
      </c>
      <c r="D1038" s="746">
        <v>50000</v>
      </c>
      <c r="E1038" s="432" t="s">
        <v>3653</v>
      </c>
      <c r="F1038" s="432" t="s">
        <v>3654</v>
      </c>
      <c r="G1038" s="432" t="s">
        <v>3655</v>
      </c>
      <c r="H1038" s="432" t="s">
        <v>526</v>
      </c>
      <c r="I1038" s="314"/>
      <c r="J1038" s="313"/>
      <c r="K1038" s="312"/>
      <c r="L1038" s="311"/>
    </row>
    <row r="1039" spans="1:12" ht="27">
      <c r="A1039" s="318">
        <v>1031</v>
      </c>
      <c r="B1039" s="432" t="s">
        <v>3652</v>
      </c>
      <c r="C1039" s="432" t="s">
        <v>522</v>
      </c>
      <c r="D1039" s="746">
        <v>10000</v>
      </c>
      <c r="E1039" s="432" t="s">
        <v>3656</v>
      </c>
      <c r="F1039" s="432" t="s">
        <v>3657</v>
      </c>
      <c r="G1039" s="432" t="s">
        <v>3658</v>
      </c>
      <c r="H1039" s="432" t="s">
        <v>526</v>
      </c>
      <c r="I1039" s="314"/>
      <c r="J1039" s="313"/>
      <c r="K1039" s="312"/>
      <c r="L1039" s="311"/>
    </row>
    <row r="1040" spans="1:12" ht="27">
      <c r="A1040" s="318">
        <v>1032</v>
      </c>
      <c r="B1040" s="432" t="s">
        <v>3652</v>
      </c>
      <c r="C1040" s="432" t="s">
        <v>522</v>
      </c>
      <c r="D1040" s="746">
        <v>10000</v>
      </c>
      <c r="E1040" s="432" t="s">
        <v>3659</v>
      </c>
      <c r="F1040" s="432" t="s">
        <v>3660</v>
      </c>
      <c r="G1040" s="432" t="s">
        <v>3661</v>
      </c>
      <c r="H1040" s="432" t="s">
        <v>526</v>
      </c>
      <c r="I1040" s="314"/>
      <c r="J1040" s="313"/>
      <c r="K1040" s="312"/>
      <c r="L1040" s="311"/>
    </row>
    <row r="1041" spans="1:12" ht="27">
      <c r="A1041" s="318">
        <v>1033</v>
      </c>
      <c r="B1041" s="432" t="s">
        <v>3652</v>
      </c>
      <c r="C1041" s="432" t="s">
        <v>522</v>
      </c>
      <c r="D1041" s="746">
        <v>7000</v>
      </c>
      <c r="E1041" s="432" t="s">
        <v>3662</v>
      </c>
      <c r="F1041" s="432" t="s">
        <v>3663</v>
      </c>
      <c r="G1041" s="432" t="s">
        <v>3664</v>
      </c>
      <c r="H1041" s="432" t="s">
        <v>526</v>
      </c>
      <c r="I1041" s="314"/>
      <c r="J1041" s="313"/>
      <c r="K1041" s="312"/>
      <c r="L1041" s="311"/>
    </row>
    <row r="1042" spans="1:12" ht="27">
      <c r="A1042" s="318">
        <v>1034</v>
      </c>
      <c r="B1042" s="432" t="s">
        <v>3652</v>
      </c>
      <c r="C1042" s="432" t="s">
        <v>522</v>
      </c>
      <c r="D1042" s="746">
        <v>40000</v>
      </c>
      <c r="E1042" s="432" t="s">
        <v>3665</v>
      </c>
      <c r="F1042" s="432" t="s">
        <v>3666</v>
      </c>
      <c r="G1042" s="432" t="s">
        <v>3667</v>
      </c>
      <c r="H1042" s="432" t="s">
        <v>526</v>
      </c>
      <c r="I1042" s="314"/>
      <c r="J1042" s="313"/>
      <c r="K1042" s="312"/>
      <c r="L1042" s="311"/>
    </row>
    <row r="1043" spans="1:12" ht="27">
      <c r="A1043" s="318">
        <v>1035</v>
      </c>
      <c r="B1043" s="432" t="s">
        <v>3668</v>
      </c>
      <c r="C1043" s="432" t="s">
        <v>522</v>
      </c>
      <c r="D1043" s="746">
        <v>50000</v>
      </c>
      <c r="E1043" s="432" t="s">
        <v>3669</v>
      </c>
      <c r="F1043" s="432" t="s">
        <v>3670</v>
      </c>
      <c r="G1043" s="432" t="s">
        <v>3671</v>
      </c>
      <c r="H1043" s="432" t="s">
        <v>526</v>
      </c>
      <c r="I1043" s="314"/>
      <c r="J1043" s="313"/>
      <c r="K1043" s="312"/>
      <c r="L1043" s="311"/>
    </row>
    <row r="1044" spans="1:12" ht="27">
      <c r="A1044" s="318">
        <v>1036</v>
      </c>
      <c r="B1044" s="432" t="s">
        <v>3668</v>
      </c>
      <c r="C1044" s="432" t="s">
        <v>522</v>
      </c>
      <c r="D1044" s="746">
        <v>60000</v>
      </c>
      <c r="E1044" s="432" t="s">
        <v>3672</v>
      </c>
      <c r="F1044" s="432" t="s">
        <v>3673</v>
      </c>
      <c r="G1044" s="432" t="s">
        <v>3674</v>
      </c>
      <c r="H1044" s="432" t="s">
        <v>526</v>
      </c>
      <c r="I1044" s="314"/>
      <c r="J1044" s="313"/>
      <c r="K1044" s="312"/>
      <c r="L1044" s="311"/>
    </row>
    <row r="1045" spans="1:12" ht="27">
      <c r="A1045" s="318">
        <v>1037</v>
      </c>
      <c r="B1045" s="432" t="s">
        <v>3668</v>
      </c>
      <c r="C1045" s="432" t="s">
        <v>522</v>
      </c>
      <c r="D1045" s="746">
        <v>20000</v>
      </c>
      <c r="E1045" s="432" t="s">
        <v>3675</v>
      </c>
      <c r="F1045" s="432" t="s">
        <v>3676</v>
      </c>
      <c r="G1045" s="432" t="s">
        <v>3677</v>
      </c>
      <c r="H1045" s="432" t="s">
        <v>526</v>
      </c>
      <c r="I1045" s="314"/>
      <c r="J1045" s="313"/>
      <c r="K1045" s="312"/>
      <c r="L1045" s="311"/>
    </row>
    <row r="1046" spans="1:12" ht="27">
      <c r="A1046" s="318">
        <v>1038</v>
      </c>
      <c r="B1046" s="432" t="s">
        <v>3678</v>
      </c>
      <c r="C1046" s="432" t="s">
        <v>522</v>
      </c>
      <c r="D1046" s="746">
        <v>25000</v>
      </c>
      <c r="E1046" s="432" t="s">
        <v>3679</v>
      </c>
      <c r="F1046" s="432" t="s">
        <v>3680</v>
      </c>
      <c r="G1046" s="432" t="s">
        <v>3681</v>
      </c>
      <c r="H1046" s="432" t="s">
        <v>526</v>
      </c>
      <c r="I1046" s="314"/>
      <c r="J1046" s="313"/>
      <c r="K1046" s="312"/>
      <c r="L1046" s="311"/>
    </row>
    <row r="1047" spans="1:12" ht="27">
      <c r="A1047" s="318">
        <v>1039</v>
      </c>
      <c r="B1047" s="432" t="s">
        <v>3678</v>
      </c>
      <c r="C1047" s="432" t="s">
        <v>522</v>
      </c>
      <c r="D1047" s="746">
        <v>20000</v>
      </c>
      <c r="E1047" s="432" t="s">
        <v>3210</v>
      </c>
      <c r="F1047" s="432" t="s">
        <v>3211</v>
      </c>
      <c r="G1047" s="432" t="s">
        <v>3212</v>
      </c>
      <c r="H1047" s="432" t="s">
        <v>526</v>
      </c>
      <c r="I1047" s="314"/>
      <c r="J1047" s="313"/>
      <c r="K1047" s="312"/>
      <c r="L1047" s="311"/>
    </row>
    <row r="1048" spans="1:12" ht="27">
      <c r="A1048" s="318">
        <v>1040</v>
      </c>
      <c r="B1048" s="432" t="s">
        <v>3682</v>
      </c>
      <c r="C1048" s="432" t="s">
        <v>522</v>
      </c>
      <c r="D1048" s="746">
        <v>10000</v>
      </c>
      <c r="E1048" s="432" t="s">
        <v>3683</v>
      </c>
      <c r="F1048" s="432" t="s">
        <v>3684</v>
      </c>
      <c r="G1048" s="432" t="s">
        <v>3685</v>
      </c>
      <c r="H1048" s="432" t="s">
        <v>526</v>
      </c>
      <c r="I1048" s="314"/>
      <c r="J1048" s="313"/>
      <c r="K1048" s="312"/>
      <c r="L1048" s="311"/>
    </row>
    <row r="1049" spans="1:12" ht="27">
      <c r="A1049" s="318">
        <v>1041</v>
      </c>
      <c r="B1049" s="432" t="s">
        <v>3682</v>
      </c>
      <c r="C1049" s="432" t="s">
        <v>522</v>
      </c>
      <c r="D1049" s="746">
        <v>3000</v>
      </c>
      <c r="E1049" s="432" t="s">
        <v>3686</v>
      </c>
      <c r="F1049" s="432" t="s">
        <v>3687</v>
      </c>
      <c r="G1049" s="432" t="s">
        <v>3688</v>
      </c>
      <c r="H1049" s="432" t="s">
        <v>526</v>
      </c>
      <c r="I1049" s="314"/>
      <c r="J1049" s="313"/>
      <c r="K1049" s="312"/>
      <c r="L1049" s="311"/>
    </row>
    <row r="1050" spans="1:12" ht="27">
      <c r="A1050" s="318">
        <v>1042</v>
      </c>
      <c r="B1050" s="432" t="s">
        <v>3682</v>
      </c>
      <c r="C1050" s="432" t="s">
        <v>522</v>
      </c>
      <c r="D1050" s="746">
        <v>25000</v>
      </c>
      <c r="E1050" s="432" t="s">
        <v>3689</v>
      </c>
      <c r="F1050" s="432" t="s">
        <v>3690</v>
      </c>
      <c r="G1050" s="432" t="s">
        <v>3691</v>
      </c>
      <c r="H1050" s="432" t="s">
        <v>526</v>
      </c>
      <c r="I1050" s="314"/>
      <c r="J1050" s="313"/>
      <c r="K1050" s="312"/>
      <c r="L1050" s="311"/>
    </row>
    <row r="1051" spans="1:12" ht="27">
      <c r="A1051" s="318">
        <v>1043</v>
      </c>
      <c r="B1051" s="432" t="s">
        <v>3682</v>
      </c>
      <c r="C1051" s="432" t="s">
        <v>522</v>
      </c>
      <c r="D1051" s="746">
        <v>15000</v>
      </c>
      <c r="E1051" s="432" t="s">
        <v>3692</v>
      </c>
      <c r="F1051" s="432" t="s">
        <v>3693</v>
      </c>
      <c r="G1051" s="432" t="s">
        <v>3694</v>
      </c>
      <c r="H1051" s="432" t="s">
        <v>526</v>
      </c>
      <c r="I1051" s="314"/>
      <c r="J1051" s="313"/>
      <c r="K1051" s="312"/>
      <c r="L1051" s="311"/>
    </row>
    <row r="1052" spans="1:12" ht="27">
      <c r="A1052" s="318">
        <v>1044</v>
      </c>
      <c r="B1052" s="432" t="s">
        <v>3682</v>
      </c>
      <c r="C1052" s="432" t="s">
        <v>522</v>
      </c>
      <c r="D1052" s="746">
        <v>10000</v>
      </c>
      <c r="E1052" s="432" t="s">
        <v>3695</v>
      </c>
      <c r="F1052" s="432" t="s">
        <v>3696</v>
      </c>
      <c r="G1052" s="432" t="s">
        <v>3697</v>
      </c>
      <c r="H1052" s="432" t="s">
        <v>526</v>
      </c>
      <c r="I1052" s="314"/>
      <c r="J1052" s="313"/>
      <c r="K1052" s="312"/>
      <c r="L1052" s="311"/>
    </row>
    <row r="1053" spans="1:12" ht="40.5">
      <c r="A1053" s="318">
        <v>1045</v>
      </c>
      <c r="B1053" s="432" t="s">
        <v>3431</v>
      </c>
      <c r="C1053" s="432" t="s">
        <v>522</v>
      </c>
      <c r="D1053" s="746">
        <v>50000</v>
      </c>
      <c r="E1053" s="432" t="s">
        <v>3698</v>
      </c>
      <c r="F1053" s="432" t="s">
        <v>3699</v>
      </c>
      <c r="G1053" s="432" t="s">
        <v>3700</v>
      </c>
      <c r="H1053" s="432" t="s">
        <v>3701</v>
      </c>
      <c r="I1053" s="314"/>
      <c r="J1053" s="313"/>
      <c r="K1053" s="312"/>
      <c r="L1053" s="311"/>
    </row>
    <row r="1054" spans="1:12" ht="40.5">
      <c r="A1054" s="318">
        <v>1046</v>
      </c>
      <c r="B1054" s="432" t="s">
        <v>3530</v>
      </c>
      <c r="C1054" s="432" t="s">
        <v>522</v>
      </c>
      <c r="D1054" s="746">
        <v>50000</v>
      </c>
      <c r="E1054" s="432" t="s">
        <v>3702</v>
      </c>
      <c r="F1054" s="432" t="s">
        <v>3703</v>
      </c>
      <c r="G1054" s="432" t="s">
        <v>3704</v>
      </c>
      <c r="H1054" s="432" t="s">
        <v>3705</v>
      </c>
      <c r="I1054" s="314"/>
      <c r="J1054" s="313"/>
      <c r="K1054" s="312"/>
      <c r="L1054" s="311"/>
    </row>
    <row r="1055" spans="1:12" ht="40.5">
      <c r="A1055" s="318">
        <v>1047</v>
      </c>
      <c r="B1055" s="432" t="s">
        <v>3652</v>
      </c>
      <c r="C1055" s="432" t="s">
        <v>522</v>
      </c>
      <c r="D1055" s="746">
        <v>120000</v>
      </c>
      <c r="E1055" s="432" t="s">
        <v>3706</v>
      </c>
      <c r="F1055" s="432" t="s">
        <v>3707</v>
      </c>
      <c r="G1055" s="432" t="s">
        <v>3708</v>
      </c>
      <c r="H1055" s="432" t="s">
        <v>3430</v>
      </c>
      <c r="I1055" s="314"/>
      <c r="J1055" s="313"/>
      <c r="K1055" s="312"/>
      <c r="L1055" s="311"/>
    </row>
    <row r="1056" spans="1:12">
      <c r="A1056" s="318"/>
      <c r="B1056" s="432"/>
      <c r="C1056" s="432"/>
      <c r="D1056" s="432"/>
      <c r="E1056" s="432"/>
      <c r="F1056" s="432"/>
      <c r="G1056" s="432"/>
      <c r="H1056" s="432"/>
      <c r="I1056" s="314"/>
      <c r="J1056" s="313"/>
      <c r="K1056" s="312"/>
      <c r="L1056" s="311"/>
    </row>
    <row r="1057" spans="1:12">
      <c r="A1057" s="318"/>
      <c r="B1057" s="310"/>
      <c r="C1057" s="309"/>
      <c r="D1057" s="317"/>
      <c r="E1057" s="316"/>
      <c r="F1057" s="308"/>
      <c r="G1057" s="315"/>
      <c r="H1057" s="315"/>
      <c r="I1057" s="314"/>
      <c r="J1057" s="313"/>
      <c r="K1057" s="312"/>
      <c r="L1057" s="311"/>
    </row>
    <row r="1058" spans="1:12">
      <c r="A1058" s="318"/>
      <c r="B1058" s="310"/>
      <c r="C1058" s="309"/>
      <c r="D1058" s="317"/>
      <c r="E1058" s="316"/>
      <c r="F1058" s="308"/>
      <c r="G1058" s="315"/>
      <c r="H1058" s="315"/>
      <c r="I1058" s="314"/>
      <c r="J1058" s="313"/>
      <c r="K1058" s="312"/>
      <c r="L1058" s="311"/>
    </row>
    <row r="1059" spans="1:12">
      <c r="A1059" s="318"/>
      <c r="B1059" s="310"/>
      <c r="C1059" s="309"/>
      <c r="D1059" s="317"/>
      <c r="E1059" s="316"/>
      <c r="F1059" s="308"/>
      <c r="G1059" s="315"/>
      <c r="H1059" s="315"/>
      <c r="I1059" s="314"/>
      <c r="J1059" s="313"/>
      <c r="K1059" s="312"/>
      <c r="L1059" s="311"/>
    </row>
    <row r="1060" spans="1:12">
      <c r="A1060" s="318"/>
      <c r="B1060" s="310"/>
      <c r="C1060" s="309"/>
      <c r="D1060" s="317"/>
      <c r="E1060" s="316"/>
      <c r="F1060" s="308"/>
      <c r="G1060" s="315"/>
      <c r="H1060" s="315"/>
      <c r="I1060" s="314"/>
      <c r="J1060" s="313"/>
      <c r="K1060" s="312"/>
      <c r="L1060" s="311"/>
    </row>
    <row r="1061" spans="1:12" ht="15.75" thickBot="1">
      <c r="A1061" s="307" t="s">
        <v>276</v>
      </c>
      <c r="B1061" s="306"/>
      <c r="C1061" s="305"/>
      <c r="D1061" s="304"/>
      <c r="E1061" s="303"/>
      <c r="F1061" s="302"/>
      <c r="G1061" s="302"/>
      <c r="H1061" s="302"/>
      <c r="I1061" s="301"/>
      <c r="J1061" s="300"/>
      <c r="K1061" s="299"/>
      <c r="L1061" s="298"/>
    </row>
    <row r="1062" spans="1:12">
      <c r="A1062" s="288"/>
      <c r="B1062" s="289"/>
      <c r="C1062" s="288"/>
      <c r="D1062" s="289"/>
      <c r="E1062" s="288"/>
      <c r="F1062" s="289"/>
      <c r="G1062" s="288"/>
      <c r="H1062" s="289"/>
      <c r="I1062" s="288"/>
      <c r="J1062" s="289"/>
      <c r="K1062" s="288"/>
      <c r="L1062" s="289"/>
    </row>
    <row r="1063" spans="1:12">
      <c r="A1063" s="288"/>
      <c r="B1063" s="295"/>
      <c r="C1063" s="288"/>
      <c r="D1063" s="295"/>
      <c r="E1063" s="288"/>
      <c r="F1063" s="295"/>
      <c r="G1063" s="288"/>
      <c r="H1063" s="295"/>
      <c r="I1063" s="288"/>
      <c r="J1063" s="295"/>
      <c r="K1063" s="288"/>
      <c r="L1063" s="295"/>
    </row>
    <row r="1064" spans="1:12" s="296" customFormat="1">
      <c r="A1064" s="756" t="s">
        <v>433</v>
      </c>
      <c r="B1064" s="756"/>
      <c r="C1064" s="756"/>
      <c r="D1064" s="756"/>
      <c r="E1064" s="756"/>
      <c r="F1064" s="756"/>
      <c r="G1064" s="756"/>
      <c r="H1064" s="756"/>
      <c r="I1064" s="756"/>
      <c r="J1064" s="756"/>
      <c r="K1064" s="756"/>
      <c r="L1064" s="756"/>
    </row>
    <row r="1065" spans="1:12" s="297" customFormat="1" ht="12.75">
      <c r="A1065" s="756" t="s">
        <v>469</v>
      </c>
      <c r="B1065" s="756"/>
      <c r="C1065" s="756"/>
      <c r="D1065" s="756"/>
      <c r="E1065" s="756"/>
      <c r="F1065" s="756"/>
      <c r="G1065" s="756"/>
      <c r="H1065" s="756"/>
      <c r="I1065" s="756"/>
      <c r="J1065" s="756"/>
      <c r="K1065" s="756"/>
      <c r="L1065" s="756"/>
    </row>
    <row r="1066" spans="1:12" s="297" customFormat="1" ht="12.75">
      <c r="A1066" s="756"/>
      <c r="B1066" s="756"/>
      <c r="C1066" s="756"/>
      <c r="D1066" s="756"/>
      <c r="E1066" s="756"/>
      <c r="F1066" s="756"/>
      <c r="G1066" s="756"/>
      <c r="H1066" s="756"/>
      <c r="I1066" s="756"/>
      <c r="J1066" s="756"/>
      <c r="K1066" s="756"/>
      <c r="L1066" s="756"/>
    </row>
    <row r="1067" spans="1:12" s="296" customFormat="1">
      <c r="A1067" s="756" t="s">
        <v>468</v>
      </c>
      <c r="B1067" s="756"/>
      <c r="C1067" s="756"/>
      <c r="D1067" s="756"/>
      <c r="E1067" s="756"/>
      <c r="F1067" s="756"/>
      <c r="G1067" s="756"/>
      <c r="H1067" s="756"/>
      <c r="I1067" s="756"/>
      <c r="J1067" s="756"/>
      <c r="K1067" s="756"/>
      <c r="L1067" s="756"/>
    </row>
    <row r="1068" spans="1:12" s="296" customFormat="1">
      <c r="A1068" s="756"/>
      <c r="B1068" s="756"/>
      <c r="C1068" s="756"/>
      <c r="D1068" s="756"/>
      <c r="E1068" s="756"/>
      <c r="F1068" s="756"/>
      <c r="G1068" s="756"/>
      <c r="H1068" s="756"/>
      <c r="I1068" s="756"/>
      <c r="J1068" s="756"/>
      <c r="K1068" s="756"/>
      <c r="L1068" s="756"/>
    </row>
    <row r="1069" spans="1:12" s="296" customFormat="1">
      <c r="A1069" s="756" t="s">
        <v>467</v>
      </c>
      <c r="B1069" s="756"/>
      <c r="C1069" s="756"/>
      <c r="D1069" s="756"/>
      <c r="E1069" s="756"/>
      <c r="F1069" s="756"/>
      <c r="G1069" s="756"/>
      <c r="H1069" s="756"/>
      <c r="I1069" s="756"/>
      <c r="J1069" s="756"/>
      <c r="K1069" s="756"/>
      <c r="L1069" s="756"/>
    </row>
    <row r="1070" spans="1:12" s="296" customFormat="1">
      <c r="A1070" s="288"/>
      <c r="B1070" s="289"/>
      <c r="C1070" s="288"/>
      <c r="D1070" s="289"/>
      <c r="E1070" s="288"/>
      <c r="F1070" s="289"/>
      <c r="G1070" s="288"/>
      <c r="H1070" s="289"/>
      <c r="I1070" s="288"/>
      <c r="J1070" s="289"/>
      <c r="K1070" s="288"/>
      <c r="L1070" s="289"/>
    </row>
    <row r="1071" spans="1:12" s="296" customFormat="1">
      <c r="A1071" s="288"/>
      <c r="B1071" s="295"/>
      <c r="C1071" s="288"/>
      <c r="D1071" s="295"/>
      <c r="E1071" s="288"/>
      <c r="F1071" s="295"/>
      <c r="G1071" s="288"/>
      <c r="H1071" s="295"/>
      <c r="I1071" s="288"/>
      <c r="J1071" s="295"/>
      <c r="K1071" s="288"/>
      <c r="L1071" s="295"/>
    </row>
    <row r="1072" spans="1:12" s="296" customFormat="1">
      <c r="A1072" s="288"/>
      <c r="B1072" s="289"/>
      <c r="C1072" s="288"/>
      <c r="D1072" s="289"/>
      <c r="E1072" s="288"/>
      <c r="F1072" s="289"/>
      <c r="G1072" s="288"/>
      <c r="H1072" s="289"/>
      <c r="I1072" s="288"/>
      <c r="J1072" s="289"/>
      <c r="K1072" s="288"/>
      <c r="L1072" s="289"/>
    </row>
    <row r="1073" spans="1:12">
      <c r="A1073" s="288"/>
      <c r="B1073" s="295"/>
      <c r="C1073" s="288"/>
      <c r="D1073" s="295"/>
      <c r="E1073" s="288"/>
      <c r="F1073" s="295"/>
      <c r="G1073" s="288"/>
      <c r="H1073" s="295"/>
      <c r="I1073" s="288"/>
      <c r="J1073" s="295"/>
      <c r="K1073" s="288"/>
      <c r="L1073" s="295"/>
    </row>
    <row r="1074" spans="1:12" s="290" customFormat="1">
      <c r="A1074" s="762" t="s">
        <v>107</v>
      </c>
      <c r="B1074" s="762"/>
      <c r="C1074" s="289"/>
      <c r="D1074" s="288"/>
      <c r="E1074" s="289"/>
      <c r="F1074" s="289"/>
      <c r="G1074" s="288"/>
      <c r="H1074" s="289"/>
      <c r="I1074" s="289"/>
      <c r="J1074" s="288"/>
      <c r="K1074" s="289"/>
      <c r="L1074" s="288"/>
    </row>
    <row r="1075" spans="1:12" s="290" customFormat="1">
      <c r="A1075" s="289"/>
      <c r="B1075" s="288"/>
      <c r="C1075" s="293"/>
      <c r="D1075" s="294"/>
      <c r="E1075" s="293"/>
      <c r="F1075" s="289"/>
      <c r="G1075" s="288"/>
      <c r="H1075" s="292"/>
      <c r="I1075" s="289"/>
      <c r="J1075" s="288"/>
      <c r="K1075" s="289"/>
      <c r="L1075" s="288"/>
    </row>
    <row r="1076" spans="1:12" s="290" customFormat="1" ht="15" customHeight="1">
      <c r="A1076" s="289"/>
      <c r="B1076" s="288"/>
      <c r="C1076" s="755" t="s">
        <v>268</v>
      </c>
      <c r="D1076" s="755"/>
      <c r="E1076" s="755"/>
      <c r="F1076" s="289"/>
      <c r="G1076" s="288"/>
      <c r="H1076" s="760" t="s">
        <v>466</v>
      </c>
      <c r="I1076" s="291"/>
      <c r="J1076" s="288"/>
      <c r="K1076" s="289"/>
      <c r="L1076" s="288"/>
    </row>
    <row r="1077" spans="1:12" s="290" customFormat="1">
      <c r="A1077" s="289"/>
      <c r="B1077" s="288"/>
      <c r="C1077" s="289"/>
      <c r="D1077" s="288"/>
      <c r="E1077" s="289"/>
      <c r="F1077" s="289"/>
      <c r="G1077" s="288"/>
      <c r="H1077" s="761"/>
      <c r="I1077" s="291"/>
      <c r="J1077" s="288"/>
      <c r="K1077" s="289"/>
      <c r="L1077" s="288"/>
    </row>
    <row r="1078" spans="1:12" s="287" customFormat="1">
      <c r="A1078" s="289"/>
      <c r="B1078" s="288"/>
      <c r="C1078" s="755" t="s">
        <v>139</v>
      </c>
      <c r="D1078" s="755"/>
      <c r="E1078" s="755"/>
      <c r="F1078" s="289"/>
      <c r="G1078" s="288"/>
      <c r="H1078" s="289"/>
      <c r="I1078" s="289"/>
      <c r="J1078" s="288"/>
      <c r="K1078" s="289"/>
      <c r="L1078" s="288"/>
    </row>
    <row r="1079" spans="1:12" s="287" customFormat="1">
      <c r="E1079" s="285"/>
    </row>
    <row r="1080" spans="1:12" s="287" customFormat="1">
      <c r="E1080" s="285"/>
    </row>
    <row r="1081" spans="1:12" s="287" customFormat="1">
      <c r="E1081" s="285"/>
    </row>
    <row r="1082" spans="1:12" s="287" customFormat="1">
      <c r="E1082" s="285"/>
    </row>
    <row r="1083" spans="1:12" s="287" customFormat="1"/>
  </sheetData>
  <mergeCells count="10">
    <mergeCell ref="K2:L2"/>
    <mergeCell ref="C1078:E1078"/>
    <mergeCell ref="A1065:L1066"/>
    <mergeCell ref="A1067:L1068"/>
    <mergeCell ref="A1069:L1069"/>
    <mergeCell ref="I6:K6"/>
    <mergeCell ref="H1076:H1077"/>
    <mergeCell ref="A1074:B1074"/>
    <mergeCell ref="A1064:L1064"/>
    <mergeCell ref="C1076:E1076"/>
  </mergeCells>
  <dataValidations count="6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76:F977 F969:F974 G968:H1056 F979:F1043 F1045:F1061 F964:F967 F795:F812 F814:F864 F770:F785 F757:F768 F675:F709 F656:F673 F629:F654 F791:F793 F562:F626 F484:F510 F481:F482 F512:F560 F361:F409 F333:F359 F330:F331 F411:F479 F178:F328 F124:F176 F919:F947 F957:F959 F961:F962 F92:F122 F16:F21 F26:F90 F23:F24 F10:F11 G9:H12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06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604 B957:B1061 B629:B709 B791:B864 B612:B626 B919:B948 B880 B768:B788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65:B879 B605:B611 B721:B767 B627:B628 B789:B790 B881:B918 B949:B956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813 H960 H329 H769 H712:H756 H627:H628 H674 H786:H790 H605:H608 H561 H480 H410 H915:H919 H865:H880 H948:H95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საიდ.კოდის შევსების წესი" error="საიდენტიფიკაციო კოდი უნდა იყოს 9 ნიშნა" sqref="F813 F960 F786:F790 F769 F712:F756 F627:F628 F674 F561 F511 F480 F410 F360 F865:F918 F329 F948:F956">
      <formula1>9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showGridLines="0" view="pageBreakPreview" topLeftCell="D1" zoomScale="80" zoomScaleSheetLayoutView="80" workbookViewId="0">
      <selection activeCell="F1" sqref="F1:T1048576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0" style="21" hidden="1" customWidth="1"/>
    <col min="7" max="7" width="12.5703125" style="21" hidden="1" customWidth="1"/>
    <col min="8" max="8" width="12" style="21" hidden="1" customWidth="1"/>
    <col min="9" max="10" width="0" style="21" hidden="1" customWidth="1"/>
    <col min="11" max="11" width="10.85546875" style="21" hidden="1" customWidth="1"/>
    <col min="12" max="15" width="0" style="21" hidden="1" customWidth="1"/>
    <col min="16" max="16" width="13.7109375" style="21" hidden="1" customWidth="1"/>
    <col min="17" max="17" width="12.7109375" style="21" hidden="1" customWidth="1"/>
    <col min="18" max="20" width="0" style="21" hidden="1" customWidth="1"/>
    <col min="21" max="16384" width="9.140625" style="21"/>
  </cols>
  <sheetData>
    <row r="1" spans="1:20">
      <c r="A1" s="74" t="s">
        <v>302</v>
      </c>
      <c r="B1" s="114"/>
      <c r="C1" s="763" t="s">
        <v>109</v>
      </c>
      <c r="D1" s="763"/>
      <c r="E1" s="153"/>
      <c r="G1" s="21">
        <f>J:J+M:M+P:P+S:S</f>
        <v>0</v>
      </c>
      <c r="H1" s="21">
        <f>K:K+N:N+Q:Q+T:T</f>
        <v>0</v>
      </c>
    </row>
    <row r="2" spans="1:20">
      <c r="A2" s="76" t="s">
        <v>140</v>
      </c>
      <c r="B2" s="114"/>
      <c r="C2" s="753" t="s">
        <v>515</v>
      </c>
      <c r="D2" s="754"/>
      <c r="E2" s="153"/>
      <c r="G2" s="21">
        <f t="shared" ref="G2:G65" si="0">J:J+M:M+P:P+S:S</f>
        <v>0</v>
      </c>
      <c r="H2" s="21">
        <f t="shared" ref="H2:H65" si="1">K:K+N:N+Q:Q+T:T</f>
        <v>0</v>
      </c>
    </row>
    <row r="3" spans="1:20">
      <c r="A3" s="76"/>
      <c r="B3" s="114"/>
      <c r="C3" s="359"/>
      <c r="D3" s="359"/>
      <c r="E3" s="153"/>
      <c r="G3" s="21">
        <f t="shared" si="0"/>
        <v>0</v>
      </c>
      <c r="H3" s="21">
        <f t="shared" si="1"/>
        <v>0</v>
      </c>
    </row>
    <row r="4" spans="1:20" s="2" customFormat="1">
      <c r="A4" s="77" t="s">
        <v>274</v>
      </c>
      <c r="B4" s="77"/>
      <c r="C4" s="76"/>
      <c r="D4" s="76"/>
      <c r="E4" s="108"/>
      <c r="G4" s="21">
        <f t="shared" si="0"/>
        <v>0</v>
      </c>
      <c r="H4" s="21">
        <f t="shared" si="1"/>
        <v>0</v>
      </c>
      <c r="M4" s="21"/>
    </row>
    <row r="5" spans="1:20" s="2" customFormat="1">
      <c r="A5" s="119" t="str">
        <f>'ფორმა N1'!D4</f>
        <v>მ.პ.გ. ქართული ოცნება - დემოკრატიული საქართველო</v>
      </c>
      <c r="B5" s="111"/>
      <c r="C5" s="59"/>
      <c r="D5" s="59"/>
      <c r="E5" s="108"/>
      <c r="G5" s="21">
        <f t="shared" si="0"/>
        <v>0</v>
      </c>
      <c r="H5" s="21">
        <f t="shared" si="1"/>
        <v>24212275.800000001</v>
      </c>
      <c r="K5" s="532">
        <f>C9+'ფორმა N4'!C11</f>
        <v>24212275.800000001</v>
      </c>
      <c r="M5" s="532"/>
      <c r="P5" s="532"/>
    </row>
    <row r="6" spans="1:20" s="2" customFormat="1">
      <c r="A6" s="77"/>
      <c r="B6" s="77"/>
      <c r="C6" s="76"/>
      <c r="D6" s="76"/>
      <c r="E6" s="108"/>
      <c r="G6" s="21">
        <f t="shared" si="0"/>
        <v>0</v>
      </c>
      <c r="H6" s="21">
        <f t="shared" si="1"/>
        <v>0</v>
      </c>
    </row>
    <row r="7" spans="1:20" s="6" customFormat="1">
      <c r="A7" s="358"/>
      <c r="B7" s="358"/>
      <c r="C7" s="78"/>
      <c r="D7" s="78"/>
      <c r="E7" s="154"/>
      <c r="G7" s="21">
        <f t="shared" si="0"/>
        <v>0</v>
      </c>
      <c r="H7" s="21">
        <f t="shared" si="1"/>
        <v>0</v>
      </c>
    </row>
    <row r="8" spans="1:20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54"/>
      <c r="G8" s="21" t="e">
        <f t="shared" si="0"/>
        <v>#VALUE!</v>
      </c>
      <c r="H8" s="21">
        <f t="shared" si="1"/>
        <v>0</v>
      </c>
      <c r="J8" s="6" t="s">
        <v>3709</v>
      </c>
      <c r="M8" s="6" t="s">
        <v>3714</v>
      </c>
      <c r="P8" s="6" t="s">
        <v>3711</v>
      </c>
      <c r="S8" s="6" t="s">
        <v>3712</v>
      </c>
    </row>
    <row r="9" spans="1:20" s="9" customFormat="1" ht="18">
      <c r="A9" s="13">
        <v>1</v>
      </c>
      <c r="B9" s="13" t="s">
        <v>57</v>
      </c>
      <c r="C9" s="82">
        <f>SUM(C10,C13,C53,C56,C57,C58,C75)</f>
        <v>22479509.460000001</v>
      </c>
      <c r="D9" s="82">
        <f>SUM(D10,D13,D53,D56,D57,D58,D64,D71,D72)</f>
        <v>22633604.440000001</v>
      </c>
      <c r="E9" s="155"/>
      <c r="G9" s="21">
        <f t="shared" si="0"/>
        <v>22479509.120000001</v>
      </c>
      <c r="H9" s="21">
        <f t="shared" si="1"/>
        <v>22633607.549999997</v>
      </c>
      <c r="J9" s="82">
        <f>SUM(J10,J13,J53,J56,J57,J58,J75)</f>
        <v>55753</v>
      </c>
      <c r="K9" s="82">
        <f>SUM(K10,K13,K53,K56,K57,K58,K64,K71,K72)</f>
        <v>57961</v>
      </c>
      <c r="M9" s="82">
        <f>SUM(M10,M13,M53,M56,M57,M58,M75)</f>
        <v>86145.64</v>
      </c>
      <c r="N9" s="82">
        <f>SUM(N10,N13,N53,N56,N57,N58,N64,N71,N72)</f>
        <v>284162.59000000003</v>
      </c>
      <c r="P9" s="82">
        <f>SUM(P10,P13,P53,P56,P57,P58,P75)</f>
        <v>22337610.48</v>
      </c>
      <c r="Q9" s="82">
        <f>SUM(Q10,Q13,Q53,Q56,Q57,Q58,Q64,Q71,Q72)</f>
        <v>22291483.959999997</v>
      </c>
      <c r="S9" s="82">
        <f>SUM(S10,S13,S53,S56,S57,S58,S75)</f>
        <v>0</v>
      </c>
      <c r="T9" s="82">
        <f>SUM(T10,T13,T53,T56,T57,T58,T64,T71,T72)</f>
        <v>0</v>
      </c>
    </row>
    <row r="10" spans="1:20" s="9" customFormat="1" ht="18">
      <c r="A10" s="14">
        <v>1.1000000000000001</v>
      </c>
      <c r="B10" s="14" t="s">
        <v>58</v>
      </c>
      <c r="C10" s="84">
        <f>SUM(C11:C12)</f>
        <v>198875</v>
      </c>
      <c r="D10" s="84">
        <f>SUM(D11:D12)</f>
        <v>198875</v>
      </c>
      <c r="E10" s="155"/>
      <c r="G10" s="21">
        <f t="shared" si="0"/>
        <v>198875</v>
      </c>
      <c r="H10" s="21">
        <f t="shared" si="1"/>
        <v>198875</v>
      </c>
      <c r="J10" s="84">
        <f>SUM(J11:J12)</f>
        <v>0</v>
      </c>
      <c r="K10" s="84">
        <f>SUM(K11:K12)</f>
        <v>0</v>
      </c>
      <c r="M10" s="84">
        <f>SUM(M11:M12)</f>
        <v>0</v>
      </c>
      <c r="N10" s="84">
        <f>SUM(N11:N12)</f>
        <v>0</v>
      </c>
      <c r="P10" s="84">
        <f>SUM(P11:P12)</f>
        <v>198875</v>
      </c>
      <c r="Q10" s="84">
        <f>SUM(Q11:Q12)</f>
        <v>198875</v>
      </c>
      <c r="S10" s="84">
        <f>SUM(S11:S12)</f>
        <v>0</v>
      </c>
      <c r="T10" s="84">
        <f>SUM(T11:T12)</f>
        <v>0</v>
      </c>
    </row>
    <row r="11" spans="1:20" s="9" customFormat="1" ht="16.5" customHeight="1">
      <c r="A11" s="16" t="s">
        <v>30</v>
      </c>
      <c r="B11" s="16" t="s">
        <v>59</v>
      </c>
      <c r="C11" s="33">
        <v>198875</v>
      </c>
      <c r="D11" s="34">
        <v>198875</v>
      </c>
      <c r="E11" s="155"/>
      <c r="G11" s="21">
        <f t="shared" si="0"/>
        <v>198875</v>
      </c>
      <c r="H11" s="21">
        <f t="shared" si="1"/>
        <v>198875</v>
      </c>
      <c r="J11" s="33"/>
      <c r="K11" s="34"/>
      <c r="M11" s="33">
        <v>0</v>
      </c>
      <c r="N11" s="34"/>
      <c r="P11" s="33">
        <f>147500+51375</f>
        <v>198875</v>
      </c>
      <c r="Q11" s="34">
        <f>198625+250</f>
        <v>198875</v>
      </c>
      <c r="S11" s="33">
        <v>0</v>
      </c>
      <c r="T11" s="34"/>
    </row>
    <row r="12" spans="1:20" ht="16.5" customHeight="1">
      <c r="A12" s="16" t="s">
        <v>31</v>
      </c>
      <c r="B12" s="16" t="s">
        <v>0</v>
      </c>
      <c r="C12" s="33"/>
      <c r="D12" s="34"/>
      <c r="E12" s="153"/>
      <c r="G12" s="21">
        <f t="shared" si="0"/>
        <v>0</v>
      </c>
      <c r="H12" s="21">
        <f t="shared" si="1"/>
        <v>0</v>
      </c>
      <c r="J12" s="33"/>
      <c r="K12" s="34"/>
      <c r="M12" s="525"/>
      <c r="N12" s="34"/>
      <c r="P12" s="33"/>
      <c r="Q12" s="34"/>
      <c r="S12" s="525"/>
      <c r="T12" s="34"/>
    </row>
    <row r="13" spans="1:20">
      <c r="A13" s="14">
        <v>1.2</v>
      </c>
      <c r="B13" s="14" t="s">
        <v>60</v>
      </c>
      <c r="C13" s="84">
        <f>SUM(C14,C17,C29:C32,C35,C36,C43,C44,C45,C46,C47,C51,C52)</f>
        <v>21107232.039999999</v>
      </c>
      <c r="D13" s="84">
        <f>SUM(D14,D17,D29:D32,D35,D36,D43,D44,D45,D46,D47,D51,D52)</f>
        <v>21112253.75</v>
      </c>
      <c r="E13" s="153"/>
      <c r="G13" s="21">
        <f t="shared" si="0"/>
        <v>21107231.699999999</v>
      </c>
      <c r="H13" s="21">
        <f t="shared" si="1"/>
        <v>21112256.600000001</v>
      </c>
      <c r="J13" s="84">
        <f>SUM(J14,J17,J29:J32,J35,J36,J43,J44,J45,J46,J47,J51,J52)</f>
        <v>55753</v>
      </c>
      <c r="K13" s="84">
        <f>SUM(K14,K17,K29:K32,K35,K36,K43,K44,K45,K46,K47,K51,K52)</f>
        <v>57961</v>
      </c>
      <c r="M13" s="84">
        <f>SUM(M14,M17,M29:M32,M35,M36,M43,M44,M45,M46,M47,M51,M52)</f>
        <v>39634.25</v>
      </c>
      <c r="N13" s="84">
        <f>SUM(N14,N17,N29:N32,N35,N36,N43,N44,N45,N46,N47,N51,N52)</f>
        <v>39002.800000000003</v>
      </c>
      <c r="P13" s="84">
        <f>SUM(P14,P17,P29:P32,P35,P36,P43,P44,P45,P46,P47,P51,P52)</f>
        <v>21011844.449999999</v>
      </c>
      <c r="Q13" s="84">
        <f>SUM(Q14,Q17,Q29:Q32,Q35,Q36,Q43,Q44,Q45,Q46,Q47,Q51,Q52)</f>
        <v>21015292.800000001</v>
      </c>
      <c r="S13" s="84">
        <f>SUM(S14,S17,S29:S32,S35,S36,S43,S44,S45,S46,S47,S51,S52)</f>
        <v>0</v>
      </c>
      <c r="T13" s="84">
        <f>SUM(T14,T17,T29:T32,T35,T36,T43,T44,T45,T46,T47,T51,T52)</f>
        <v>0</v>
      </c>
    </row>
    <row r="14" spans="1:20">
      <c r="A14" s="16" t="s">
        <v>32</v>
      </c>
      <c r="B14" s="16" t="s">
        <v>1</v>
      </c>
      <c r="C14" s="83">
        <f>SUM(C15:C16)</f>
        <v>96794.64</v>
      </c>
      <c r="D14" s="83">
        <f>SUM(D15:D16)</f>
        <v>96794.6</v>
      </c>
      <c r="E14" s="153"/>
      <c r="G14" s="21">
        <f t="shared" si="0"/>
        <v>96794.64</v>
      </c>
      <c r="H14" s="21">
        <f t="shared" si="1"/>
        <v>96794.63</v>
      </c>
      <c r="J14" s="83">
        <f>SUM(J15:J16)</f>
        <v>0</v>
      </c>
      <c r="K14" s="83">
        <f>SUM(K15:K16)</f>
        <v>0</v>
      </c>
      <c r="M14" s="83">
        <f>SUM(M15:M16)</f>
        <v>0</v>
      </c>
      <c r="N14" s="83">
        <f>SUM(N15:N16)</f>
        <v>0</v>
      </c>
      <c r="P14" s="83">
        <f>SUM(P15:P16)</f>
        <v>96794.64</v>
      </c>
      <c r="Q14" s="83">
        <f>SUM(Q15:Q16)</f>
        <v>96794.63</v>
      </c>
      <c r="S14" s="83">
        <f>SUM(S15:S16)</f>
        <v>0</v>
      </c>
      <c r="T14" s="83">
        <f>SUM(T15:T16)</f>
        <v>0</v>
      </c>
    </row>
    <row r="15" spans="1:20" ht="17.25" customHeight="1">
      <c r="A15" s="17" t="s">
        <v>98</v>
      </c>
      <c r="B15" s="17" t="s">
        <v>61</v>
      </c>
      <c r="C15" s="35"/>
      <c r="D15" s="36"/>
      <c r="E15" s="153"/>
      <c r="G15" s="21">
        <f t="shared" si="0"/>
        <v>0</v>
      </c>
      <c r="H15" s="21">
        <f t="shared" si="1"/>
        <v>0</v>
      </c>
      <c r="J15" s="35"/>
      <c r="K15" s="36"/>
      <c r="M15" s="35"/>
      <c r="N15" s="36"/>
      <c r="P15" s="35"/>
      <c r="Q15" s="36"/>
      <c r="S15" s="35"/>
      <c r="T15" s="36"/>
    </row>
    <row r="16" spans="1:20" ht="17.25" customHeight="1">
      <c r="A16" s="17" t="s">
        <v>99</v>
      </c>
      <c r="B16" s="17" t="s">
        <v>62</v>
      </c>
      <c r="C16" s="35">
        <v>96794.64</v>
      </c>
      <c r="D16" s="36">
        <v>96794.6</v>
      </c>
      <c r="E16" s="153"/>
      <c r="G16" s="21">
        <f t="shared" si="0"/>
        <v>96794.64</v>
      </c>
      <c r="H16" s="21">
        <f t="shared" si="1"/>
        <v>96794.63</v>
      </c>
      <c r="J16" s="35"/>
      <c r="K16" s="36"/>
      <c r="M16" s="35"/>
      <c r="N16" s="36"/>
      <c r="P16" s="35">
        <v>96794.64</v>
      </c>
      <c r="Q16" s="528">
        <v>96794.63</v>
      </c>
      <c r="S16" s="35"/>
      <c r="T16" s="36"/>
    </row>
    <row r="17" spans="1:20">
      <c r="A17" s="16" t="s">
        <v>33</v>
      </c>
      <c r="B17" s="16" t="s">
        <v>2</v>
      </c>
      <c r="C17" s="83">
        <f>SUM(C18:C23,C28)</f>
        <v>272637.31</v>
      </c>
      <c r="D17" s="83">
        <f>SUM(D18:D23,D28)</f>
        <v>249432.31</v>
      </c>
      <c r="E17" s="153"/>
      <c r="G17" s="21">
        <f t="shared" si="0"/>
        <v>272637.31</v>
      </c>
      <c r="H17" s="21">
        <f t="shared" si="1"/>
        <v>249432.65999999997</v>
      </c>
      <c r="J17" s="83">
        <f>SUM(J18:J23,J28)</f>
        <v>0</v>
      </c>
      <c r="K17" s="83">
        <f>SUM(K18:K23,K28)</f>
        <v>0</v>
      </c>
      <c r="M17" s="83">
        <f>SUM(M18:M23,M28)</f>
        <v>0</v>
      </c>
      <c r="N17" s="83">
        <f>SUM(N18:N23,N28)</f>
        <v>0</v>
      </c>
      <c r="P17" s="83">
        <f>SUM(P18:P23,P28)</f>
        <v>272637.31</v>
      </c>
      <c r="Q17" s="83">
        <f>SUM(Q18:Q23,Q28)</f>
        <v>249432.65999999997</v>
      </c>
      <c r="S17" s="83">
        <f>SUM(S18:S23,S28)</f>
        <v>0</v>
      </c>
      <c r="T17" s="83">
        <f>SUM(T18:T23,T28)</f>
        <v>0</v>
      </c>
    </row>
    <row r="18" spans="1:20" ht="30">
      <c r="A18" s="17" t="s">
        <v>12</v>
      </c>
      <c r="B18" s="17" t="s">
        <v>250</v>
      </c>
      <c r="C18" s="37">
        <v>24446.9</v>
      </c>
      <c r="D18" s="38">
        <v>24339.9</v>
      </c>
      <c r="E18" s="153"/>
      <c r="G18" s="21">
        <f t="shared" si="0"/>
        <v>24446.9</v>
      </c>
      <c r="H18" s="21">
        <f t="shared" si="1"/>
        <v>24339.9</v>
      </c>
      <c r="J18" s="522"/>
      <c r="K18" s="38"/>
      <c r="M18" s="37"/>
      <c r="N18" s="38"/>
      <c r="P18" s="37">
        <v>24446.9</v>
      </c>
      <c r="Q18" s="40">
        <v>24339.9</v>
      </c>
      <c r="S18" s="37"/>
      <c r="T18" s="38"/>
    </row>
    <row r="19" spans="1:20">
      <c r="A19" s="17" t="s">
        <v>13</v>
      </c>
      <c r="B19" s="17" t="s">
        <v>14</v>
      </c>
      <c r="C19" s="37"/>
      <c r="D19" s="39"/>
      <c r="E19" s="153"/>
      <c r="G19" s="21">
        <f t="shared" si="0"/>
        <v>0</v>
      </c>
      <c r="H19" s="21">
        <f t="shared" si="1"/>
        <v>0</v>
      </c>
      <c r="J19" s="37"/>
      <c r="K19" s="39"/>
      <c r="M19" s="37"/>
      <c r="N19" s="39"/>
      <c r="P19" s="37"/>
      <c r="Q19" s="39"/>
      <c r="S19" s="37"/>
      <c r="T19" s="39"/>
    </row>
    <row r="20" spans="1:20" ht="30">
      <c r="A20" s="17" t="s">
        <v>281</v>
      </c>
      <c r="B20" s="17" t="s">
        <v>22</v>
      </c>
      <c r="C20" s="37">
        <v>21414.75</v>
      </c>
      <c r="D20" s="40">
        <v>21180.799999999999</v>
      </c>
      <c r="E20" s="153"/>
      <c r="G20" s="21">
        <f t="shared" si="0"/>
        <v>21414.75</v>
      </c>
      <c r="H20" s="21">
        <f t="shared" si="1"/>
        <v>21180.75</v>
      </c>
      <c r="J20" s="37"/>
      <c r="K20" s="40"/>
      <c r="M20" s="37"/>
      <c r="N20" s="40"/>
      <c r="P20" s="37">
        <v>21414.75</v>
      </c>
      <c r="Q20" s="40">
        <v>21180.75</v>
      </c>
      <c r="S20" s="37"/>
      <c r="T20" s="40"/>
    </row>
    <row r="21" spans="1:20">
      <c r="A21" s="17" t="s">
        <v>282</v>
      </c>
      <c r="B21" s="17" t="s">
        <v>15</v>
      </c>
      <c r="C21" s="37">
        <v>98710.35</v>
      </c>
      <c r="D21" s="40">
        <v>75863.199999999997</v>
      </c>
      <c r="E21" s="153"/>
      <c r="G21" s="21">
        <f t="shared" si="0"/>
        <v>98710.35</v>
      </c>
      <c r="H21" s="21">
        <f t="shared" si="1"/>
        <v>75863.209999999992</v>
      </c>
      <c r="J21" s="522"/>
      <c r="K21" s="523"/>
      <c r="M21" s="522"/>
      <c r="N21" s="523"/>
      <c r="P21" s="522">
        <f>77955.35+20755</f>
        <v>98710.35</v>
      </c>
      <c r="Q21" s="523">
        <f>59558.21+16305</f>
        <v>75863.209999999992</v>
      </c>
      <c r="S21" s="522"/>
      <c r="T21" s="523"/>
    </row>
    <row r="22" spans="1:20">
      <c r="A22" s="17" t="s">
        <v>283</v>
      </c>
      <c r="B22" s="17" t="s">
        <v>16</v>
      </c>
      <c r="C22" s="37"/>
      <c r="D22" s="40"/>
      <c r="E22" s="153"/>
      <c r="G22" s="21">
        <f t="shared" si="0"/>
        <v>0</v>
      </c>
      <c r="H22" s="21">
        <f t="shared" si="1"/>
        <v>0</v>
      </c>
      <c r="J22" s="37"/>
      <c r="K22" s="40"/>
      <c r="M22" s="37"/>
      <c r="N22" s="40"/>
      <c r="P22" s="37"/>
      <c r="Q22" s="40"/>
      <c r="S22" s="37"/>
      <c r="T22" s="40"/>
    </row>
    <row r="23" spans="1:20">
      <c r="A23" s="17" t="s">
        <v>284</v>
      </c>
      <c r="B23" s="17" t="s">
        <v>17</v>
      </c>
      <c r="C23" s="117">
        <f>SUM(C24:C27)</f>
        <v>128065.31</v>
      </c>
      <c r="D23" s="117">
        <f>SUM(D24:D27)</f>
        <v>128048.40999999999</v>
      </c>
      <c r="E23" s="153"/>
      <c r="G23" s="21">
        <f t="shared" si="0"/>
        <v>128065.31</v>
      </c>
      <c r="H23" s="21">
        <f t="shared" si="1"/>
        <v>128048.79999999999</v>
      </c>
      <c r="J23" s="117">
        <f>SUM(J24:J27)</f>
        <v>0</v>
      </c>
      <c r="K23" s="117">
        <f>SUM(K24:K27)</f>
        <v>0</v>
      </c>
      <c r="M23" s="526">
        <f>SUM(M24:M27)</f>
        <v>0</v>
      </c>
      <c r="N23" s="526">
        <f>SUM(N24:N27)</f>
        <v>0</v>
      </c>
      <c r="P23" s="117">
        <f>SUM(P24:P27)</f>
        <v>128065.31</v>
      </c>
      <c r="Q23" s="117">
        <f>SUM(Q24:Q27)</f>
        <v>128048.79999999999</v>
      </c>
      <c r="S23" s="526">
        <f>SUM(S24:S27)</f>
        <v>0</v>
      </c>
      <c r="T23" s="526">
        <f>SUM(T24:T27)</f>
        <v>0</v>
      </c>
    </row>
    <row r="24" spans="1:20" ht="16.5" customHeight="1">
      <c r="A24" s="18" t="s">
        <v>285</v>
      </c>
      <c r="B24" s="18" t="s">
        <v>18</v>
      </c>
      <c r="C24" s="522">
        <v>106273.79</v>
      </c>
      <c r="D24" s="524">
        <v>106273</v>
      </c>
      <c r="E24" s="153"/>
      <c r="G24" s="21">
        <f t="shared" si="0"/>
        <v>106273.79</v>
      </c>
      <c r="H24" s="21">
        <f t="shared" si="1"/>
        <v>106273.39</v>
      </c>
      <c r="J24" s="522"/>
      <c r="K24" s="524"/>
      <c r="M24" s="522"/>
      <c r="N24" s="524"/>
      <c r="P24" s="522">
        <f>85379.79+20894</f>
        <v>106273.79</v>
      </c>
      <c r="Q24" s="523">
        <f>85379.39+20894</f>
        <v>106273.39</v>
      </c>
      <c r="S24" s="522"/>
      <c r="T24" s="524"/>
    </row>
    <row r="25" spans="1:20" ht="16.5" customHeight="1">
      <c r="A25" s="18" t="s">
        <v>286</v>
      </c>
      <c r="B25" s="18" t="s">
        <v>19</v>
      </c>
      <c r="C25" s="522">
        <v>16021.36</v>
      </c>
      <c r="D25" s="524">
        <v>16004.9</v>
      </c>
      <c r="E25" s="153"/>
      <c r="G25" s="21">
        <f t="shared" si="0"/>
        <v>16021.36</v>
      </c>
      <c r="H25" s="21">
        <f t="shared" si="1"/>
        <v>16004.9</v>
      </c>
      <c r="J25" s="522"/>
      <c r="K25" s="524"/>
      <c r="M25" s="522"/>
      <c r="N25" s="524"/>
      <c r="P25" s="522">
        <f>10294.36+5727</f>
        <v>16021.36</v>
      </c>
      <c r="Q25" s="523">
        <f>10277.9+5727</f>
        <v>16004.9</v>
      </c>
      <c r="S25" s="522"/>
      <c r="T25" s="524"/>
    </row>
    <row r="26" spans="1:20" ht="16.5" customHeight="1">
      <c r="A26" s="18" t="s">
        <v>287</v>
      </c>
      <c r="B26" s="18" t="s">
        <v>20</v>
      </c>
      <c r="C26" s="522">
        <v>5255.88</v>
      </c>
      <c r="D26" s="524">
        <v>5255.73</v>
      </c>
      <c r="E26" s="153"/>
      <c r="G26" s="21">
        <f t="shared" si="0"/>
        <v>5255.88</v>
      </c>
      <c r="H26" s="21">
        <f t="shared" si="1"/>
        <v>5255.73</v>
      </c>
      <c r="J26" s="37"/>
      <c r="K26" s="40"/>
      <c r="M26" s="37">
        <v>0</v>
      </c>
      <c r="N26" s="40">
        <v>0</v>
      </c>
      <c r="P26" s="522">
        <f>625.88+4630</f>
        <v>5255.88</v>
      </c>
      <c r="Q26" s="523">
        <f>625.73+4630</f>
        <v>5255.73</v>
      </c>
      <c r="S26" s="37">
        <v>0</v>
      </c>
      <c r="T26" s="40">
        <v>0</v>
      </c>
    </row>
    <row r="27" spans="1:20" ht="16.5" customHeight="1">
      <c r="A27" s="18" t="s">
        <v>288</v>
      </c>
      <c r="B27" s="18" t="s">
        <v>23</v>
      </c>
      <c r="C27" s="522">
        <v>514.28</v>
      </c>
      <c r="D27" s="524">
        <v>514.78</v>
      </c>
      <c r="E27" s="153"/>
      <c r="G27" s="21">
        <f t="shared" si="0"/>
        <v>514.28</v>
      </c>
      <c r="H27" s="21">
        <f t="shared" si="1"/>
        <v>514.78</v>
      </c>
      <c r="J27" s="37"/>
      <c r="K27" s="41"/>
      <c r="M27" s="37">
        <v>0</v>
      </c>
      <c r="N27" s="527">
        <v>0</v>
      </c>
      <c r="P27" s="522">
        <f>452.28+62</f>
        <v>514.28</v>
      </c>
      <c r="Q27" s="529">
        <f>452.78+62</f>
        <v>514.78</v>
      </c>
      <c r="S27" s="37">
        <v>0</v>
      </c>
      <c r="T27" s="527">
        <v>0</v>
      </c>
    </row>
    <row r="28" spans="1:20">
      <c r="A28" s="17" t="s">
        <v>289</v>
      </c>
      <c r="B28" s="17" t="s">
        <v>21</v>
      </c>
      <c r="C28" s="37"/>
      <c r="D28" s="41"/>
      <c r="E28" s="153"/>
      <c r="G28" s="21">
        <f t="shared" si="0"/>
        <v>0</v>
      </c>
      <c r="H28" s="21">
        <f t="shared" si="1"/>
        <v>0</v>
      </c>
      <c r="J28" s="37"/>
      <c r="K28" s="41"/>
      <c r="M28" s="37"/>
      <c r="N28" s="527">
        <v>0</v>
      </c>
      <c r="P28" s="37"/>
      <c r="Q28" s="41"/>
      <c r="S28" s="37"/>
      <c r="T28" s="527">
        <v>0</v>
      </c>
    </row>
    <row r="29" spans="1:20">
      <c r="A29" s="16" t="s">
        <v>34</v>
      </c>
      <c r="B29" s="16" t="s">
        <v>3</v>
      </c>
      <c r="C29" s="35">
        <v>94721.5</v>
      </c>
      <c r="D29" s="36">
        <v>95261.7</v>
      </c>
      <c r="E29" s="153"/>
      <c r="G29" s="21">
        <f t="shared" si="0"/>
        <v>94721.5</v>
      </c>
      <c r="H29" s="21">
        <f t="shared" si="1"/>
        <v>95261.71</v>
      </c>
      <c r="J29" s="33"/>
      <c r="K29" s="34"/>
      <c r="M29" s="33"/>
      <c r="N29" s="34"/>
      <c r="P29" s="33">
        <f>94211.5+510</f>
        <v>94721.5</v>
      </c>
      <c r="Q29" s="530">
        <f>94751.71+510</f>
        <v>95261.71</v>
      </c>
      <c r="S29" s="33"/>
      <c r="T29" s="34"/>
    </row>
    <row r="30" spans="1:20">
      <c r="A30" s="16" t="s">
        <v>35</v>
      </c>
      <c r="B30" s="16" t="s">
        <v>4</v>
      </c>
      <c r="C30" s="33"/>
      <c r="D30" s="34"/>
      <c r="E30" s="153"/>
      <c r="G30" s="21">
        <f t="shared" si="0"/>
        <v>0</v>
      </c>
      <c r="H30" s="21">
        <f t="shared" si="1"/>
        <v>0</v>
      </c>
      <c r="J30" s="33"/>
      <c r="K30" s="34"/>
      <c r="M30" s="33"/>
      <c r="N30" s="34"/>
      <c r="P30" s="33"/>
      <c r="Q30" s="34"/>
      <c r="S30" s="33"/>
      <c r="T30" s="34"/>
    </row>
    <row r="31" spans="1:20">
      <c r="A31" s="16" t="s">
        <v>36</v>
      </c>
      <c r="B31" s="16" t="s">
        <v>5</v>
      </c>
      <c r="C31" s="33"/>
      <c r="D31" s="34"/>
      <c r="E31" s="153"/>
      <c r="G31" s="21">
        <f t="shared" si="0"/>
        <v>0</v>
      </c>
      <c r="H31" s="21">
        <f t="shared" si="1"/>
        <v>0</v>
      </c>
      <c r="J31" s="33"/>
      <c r="K31" s="34"/>
      <c r="M31" s="33"/>
      <c r="N31" s="34"/>
      <c r="P31" s="33"/>
      <c r="Q31" s="34"/>
      <c r="S31" s="33"/>
      <c r="T31" s="34"/>
    </row>
    <row r="32" spans="1:20">
      <c r="A32" s="16" t="s">
        <v>37</v>
      </c>
      <c r="B32" s="16" t="s">
        <v>63</v>
      </c>
      <c r="C32" s="83">
        <f>SUM(C33:C34)</f>
        <v>39763.19</v>
      </c>
      <c r="D32" s="83">
        <f>SUM(D33:D34)</f>
        <v>41460.44</v>
      </c>
      <c r="E32" s="153"/>
      <c r="G32" s="21">
        <f t="shared" si="0"/>
        <v>38697.99</v>
      </c>
      <c r="H32" s="21">
        <f t="shared" si="1"/>
        <v>41460.44</v>
      </c>
      <c r="J32" s="83">
        <f>SUM(J33:J34)</f>
        <v>0</v>
      </c>
      <c r="K32" s="83">
        <f>SUM(K33:K34)</f>
        <v>0</v>
      </c>
      <c r="M32" s="83">
        <f>SUM(M33:M34)</f>
        <v>0</v>
      </c>
      <c r="N32" s="83">
        <f>SUM(N33:N34)</f>
        <v>0</v>
      </c>
      <c r="P32" s="83">
        <f>SUM(P33:P34)</f>
        <v>38697.99</v>
      </c>
      <c r="Q32" s="83">
        <f>SUM(Q33:Q34)</f>
        <v>41460.44</v>
      </c>
      <c r="S32" s="83">
        <f>SUM(S33:S34)</f>
        <v>0</v>
      </c>
      <c r="T32" s="83">
        <f>SUM(T33:T34)</f>
        <v>0</v>
      </c>
    </row>
    <row r="33" spans="1:20">
      <c r="A33" s="17" t="s">
        <v>290</v>
      </c>
      <c r="B33" s="17" t="s">
        <v>56</v>
      </c>
      <c r="C33" s="35">
        <v>32800.1</v>
      </c>
      <c r="D33" s="36">
        <v>34620</v>
      </c>
      <c r="E33" s="153"/>
      <c r="G33" s="21">
        <f t="shared" si="0"/>
        <v>32800.1</v>
      </c>
      <c r="H33" s="21">
        <f t="shared" si="1"/>
        <v>34620</v>
      </c>
      <c r="J33" s="33"/>
      <c r="K33" s="34"/>
      <c r="M33" s="33"/>
      <c r="N33" s="34"/>
      <c r="P33" s="33">
        <f>31711.1+1089</f>
        <v>32800.1</v>
      </c>
      <c r="Q33" s="34">
        <v>34620</v>
      </c>
      <c r="S33" s="33"/>
      <c r="T33" s="34"/>
    </row>
    <row r="34" spans="1:20">
      <c r="A34" s="17" t="s">
        <v>291</v>
      </c>
      <c r="B34" s="17" t="s">
        <v>55</v>
      </c>
      <c r="C34" s="35">
        <f>5897.89+1065.2</f>
        <v>6963.09</v>
      </c>
      <c r="D34" s="36">
        <v>6840.44</v>
      </c>
      <c r="E34" s="153"/>
      <c r="G34" s="21">
        <f t="shared" si="0"/>
        <v>5897.89</v>
      </c>
      <c r="H34" s="21">
        <f t="shared" si="1"/>
        <v>6840.44</v>
      </c>
      <c r="J34" s="33"/>
      <c r="K34" s="34"/>
      <c r="M34" s="33"/>
      <c r="N34" s="34"/>
      <c r="P34" s="33">
        <f>5355.89+542</f>
        <v>5897.89</v>
      </c>
      <c r="Q34" s="34">
        <f>6298.44+542</f>
        <v>6840.44</v>
      </c>
      <c r="S34" s="33"/>
      <c r="T34" s="34"/>
    </row>
    <row r="35" spans="1:20">
      <c r="A35" s="16" t="s">
        <v>38</v>
      </c>
      <c r="B35" s="88" t="s">
        <v>49</v>
      </c>
      <c r="C35" s="35">
        <f>13743-1065.2</f>
        <v>12677.8</v>
      </c>
      <c r="D35" s="36">
        <v>12678.1</v>
      </c>
      <c r="E35" s="153"/>
      <c r="G35" s="21">
        <f t="shared" si="0"/>
        <v>13743.76</v>
      </c>
      <c r="H35" s="21">
        <f t="shared" si="1"/>
        <v>12678.13</v>
      </c>
      <c r="J35" s="33"/>
      <c r="K35" s="34"/>
      <c r="M35" s="33">
        <v>0</v>
      </c>
      <c r="N35" s="34">
        <v>0</v>
      </c>
      <c r="P35" s="33">
        <f>12702.76+1041</f>
        <v>13743.76</v>
      </c>
      <c r="Q35" s="34">
        <f>11637.13+1041</f>
        <v>12678.13</v>
      </c>
      <c r="R35" s="531"/>
      <c r="S35" s="33">
        <v>0</v>
      </c>
      <c r="T35" s="34">
        <v>0</v>
      </c>
    </row>
    <row r="36" spans="1:20">
      <c r="A36" s="16" t="s">
        <v>39</v>
      </c>
      <c r="B36" s="16" t="s">
        <v>358</v>
      </c>
      <c r="C36" s="83">
        <f>SUM(C37:C42)</f>
        <v>12742964</v>
      </c>
      <c r="D36" s="83">
        <f>SUM(D37:D42)</f>
        <v>12748797</v>
      </c>
      <c r="E36" s="153"/>
      <c r="F36" s="21">
        <v>12739789.279999999</v>
      </c>
      <c r="G36" s="21">
        <f t="shared" si="0"/>
        <v>12742963.5</v>
      </c>
      <c r="H36" s="21">
        <f t="shared" si="1"/>
        <v>12748800.58</v>
      </c>
      <c r="J36" s="83">
        <f>SUM(J37:J42)</f>
        <v>7835</v>
      </c>
      <c r="K36" s="83">
        <f>SUM(K37:K42)</f>
        <v>7835</v>
      </c>
      <c r="M36" s="83">
        <f>SUM(M37:M42)</f>
        <v>3123.6</v>
      </c>
      <c r="N36" s="83">
        <f>SUM(N37:N42)</f>
        <v>3123.6</v>
      </c>
      <c r="P36" s="83">
        <f>SUM(P37:P42)</f>
        <v>12732004.9</v>
      </c>
      <c r="Q36" s="83">
        <f>SUM(Q37:Q42)</f>
        <v>12737841.98</v>
      </c>
      <c r="S36" s="83">
        <f>SUM(S37:S42)</f>
        <v>0</v>
      </c>
      <c r="T36" s="83">
        <f>SUM(T37:T42)</f>
        <v>0</v>
      </c>
    </row>
    <row r="37" spans="1:20">
      <c r="A37" s="17" t="s">
        <v>355</v>
      </c>
      <c r="B37" s="17" t="s">
        <v>359</v>
      </c>
      <c r="C37" s="35">
        <v>5108744</v>
      </c>
      <c r="D37" s="35">
        <v>5109182</v>
      </c>
      <c r="E37" s="153"/>
      <c r="F37" s="531">
        <f>D36-F36</f>
        <v>9007.7200000006706</v>
      </c>
      <c r="G37" s="21">
        <f t="shared" si="0"/>
        <v>5108744</v>
      </c>
      <c r="H37" s="21">
        <f t="shared" si="1"/>
        <v>5109182</v>
      </c>
      <c r="J37" s="33"/>
      <c r="K37" s="33"/>
      <c r="M37" s="33"/>
      <c r="N37" s="33"/>
      <c r="P37" s="33">
        <v>5108744</v>
      </c>
      <c r="Q37" s="33">
        <v>5109182</v>
      </c>
      <c r="S37" s="33"/>
      <c r="T37" s="33"/>
    </row>
    <row r="38" spans="1:20">
      <c r="A38" s="17" t="s">
        <v>356</v>
      </c>
      <c r="B38" s="17" t="s">
        <v>360</v>
      </c>
      <c r="C38" s="35">
        <v>163130</v>
      </c>
      <c r="D38" s="35">
        <v>163130</v>
      </c>
      <c r="E38" s="153"/>
      <c r="F38" s="531">
        <f>F37-'ფორმა N2'!D25</f>
        <v>1010.2500000006703</v>
      </c>
      <c r="G38" s="21">
        <f t="shared" si="0"/>
        <v>163129.79999999999</v>
      </c>
      <c r="H38" s="21">
        <f t="shared" si="1"/>
        <v>163129.97999999998</v>
      </c>
      <c r="J38" s="33"/>
      <c r="K38" s="33"/>
      <c r="M38" s="33"/>
      <c r="N38" s="33"/>
      <c r="P38" s="33">
        <f>47761.8+64193+35150+16025</f>
        <v>163129.79999999999</v>
      </c>
      <c r="Q38" s="33">
        <f>185899.3-22769.32</f>
        <v>163129.97999999998</v>
      </c>
      <c r="S38" s="33"/>
      <c r="T38" s="33"/>
    </row>
    <row r="39" spans="1:20">
      <c r="A39" s="17" t="s">
        <v>357</v>
      </c>
      <c r="B39" s="17" t="s">
        <v>363</v>
      </c>
      <c r="C39" s="35">
        <v>679193</v>
      </c>
      <c r="D39" s="36">
        <v>679193</v>
      </c>
      <c r="E39" s="153"/>
      <c r="F39" s="21" t="s">
        <v>9906</v>
      </c>
      <c r="G39" s="21">
        <f t="shared" si="0"/>
        <v>679192.8</v>
      </c>
      <c r="H39" s="21">
        <f t="shared" si="1"/>
        <v>679192.5</v>
      </c>
      <c r="J39" s="33"/>
      <c r="K39" s="34"/>
      <c r="M39" s="33"/>
      <c r="N39" s="34"/>
      <c r="P39" s="33">
        <f>737476.8-64193+32843-16025-10909</f>
        <v>679192.8</v>
      </c>
      <c r="Q39" s="34">
        <f>673283.5+5909</f>
        <v>679192.5</v>
      </c>
      <c r="S39" s="33"/>
      <c r="T39" s="34"/>
    </row>
    <row r="40" spans="1:20">
      <c r="A40" s="17" t="s">
        <v>362</v>
      </c>
      <c r="B40" s="17" t="s">
        <v>364</v>
      </c>
      <c r="C40" s="35">
        <v>0</v>
      </c>
      <c r="D40" s="36">
        <v>0</v>
      </c>
      <c r="E40" s="153"/>
      <c r="G40" s="21">
        <f t="shared" si="0"/>
        <v>0</v>
      </c>
      <c r="H40" s="21">
        <f t="shared" si="1"/>
        <v>0</v>
      </c>
      <c r="J40" s="33"/>
      <c r="K40" s="34"/>
      <c r="M40" s="33"/>
      <c r="N40" s="34"/>
      <c r="P40" s="33"/>
      <c r="Q40" s="34"/>
      <c r="S40" s="33"/>
      <c r="T40" s="34"/>
    </row>
    <row r="41" spans="1:20">
      <c r="A41" s="17" t="s">
        <v>365</v>
      </c>
      <c r="B41" s="17" t="s">
        <v>498</v>
      </c>
      <c r="C41" s="35">
        <v>5869535</v>
      </c>
      <c r="D41" s="36">
        <v>5874930</v>
      </c>
      <c r="E41" s="153"/>
      <c r="G41" s="21">
        <f t="shared" si="0"/>
        <v>5869535</v>
      </c>
      <c r="H41" s="21">
        <f t="shared" si="1"/>
        <v>5874934</v>
      </c>
      <c r="J41" s="33">
        <v>7835</v>
      </c>
      <c r="K41" s="34">
        <v>7835</v>
      </c>
      <c r="M41" s="33"/>
      <c r="N41" s="34"/>
      <c r="P41" s="33">
        <f>3775212+2038341+37238+10909</f>
        <v>5861700</v>
      </c>
      <c r="Q41" s="530">
        <v>5867099</v>
      </c>
      <c r="S41" s="33"/>
      <c r="T41" s="34"/>
    </row>
    <row r="42" spans="1:20">
      <c r="A42" s="17" t="s">
        <v>499</v>
      </c>
      <c r="B42" s="17" t="s">
        <v>361</v>
      </c>
      <c r="C42" s="35">
        <v>922362</v>
      </c>
      <c r="D42" s="36">
        <v>922362</v>
      </c>
      <c r="E42" s="153"/>
      <c r="G42" s="21">
        <f t="shared" si="0"/>
        <v>922361.9</v>
      </c>
      <c r="H42" s="21">
        <f t="shared" si="1"/>
        <v>922362.1</v>
      </c>
      <c r="J42" s="33"/>
      <c r="K42" s="34"/>
      <c r="M42" s="33">
        <v>3123.6</v>
      </c>
      <c r="N42" s="34">
        <f>393.6+2730</f>
        <v>3123.6</v>
      </c>
      <c r="P42" s="33">
        <f>759628.3+196848-37238</f>
        <v>919238.3</v>
      </c>
      <c r="Q42" s="34">
        <v>919238.5</v>
      </c>
      <c r="S42" s="33"/>
      <c r="T42" s="34"/>
    </row>
    <row r="43" spans="1:20" ht="30">
      <c r="A43" s="16" t="s">
        <v>40</v>
      </c>
      <c r="B43" s="16" t="s">
        <v>28</v>
      </c>
      <c r="C43" s="35">
        <v>162921</v>
      </c>
      <c r="D43" s="36">
        <v>183150</v>
      </c>
      <c r="E43" s="153"/>
      <c r="G43" s="21">
        <f t="shared" si="0"/>
        <v>162920.70000000001</v>
      </c>
      <c r="H43" s="21">
        <f t="shared" si="1"/>
        <v>183150.1</v>
      </c>
      <c r="J43" s="33"/>
      <c r="K43" s="34"/>
      <c r="M43" s="33"/>
      <c r="N43" s="34"/>
      <c r="P43" s="33">
        <v>162920.70000000001</v>
      </c>
      <c r="Q43" s="34">
        <v>183150.1</v>
      </c>
      <c r="S43" s="33"/>
      <c r="T43" s="34"/>
    </row>
    <row r="44" spans="1:20">
      <c r="A44" s="16" t="s">
        <v>41</v>
      </c>
      <c r="B44" s="16" t="s">
        <v>24</v>
      </c>
      <c r="C44" s="35">
        <v>2103390</v>
      </c>
      <c r="D44" s="36">
        <v>2103395</v>
      </c>
      <c r="E44" s="153"/>
      <c r="G44" s="21">
        <f t="shared" si="0"/>
        <v>2103389.7999999998</v>
      </c>
      <c r="H44" s="21">
        <f t="shared" si="1"/>
        <v>2103394.7999999998</v>
      </c>
      <c r="J44" s="33">
        <v>349</v>
      </c>
      <c r="K44" s="34">
        <v>349</v>
      </c>
      <c r="M44" s="33">
        <v>660.8</v>
      </c>
      <c r="N44" s="34">
        <v>660.8</v>
      </c>
      <c r="P44" s="33">
        <f>1729628+372752</f>
        <v>2102380</v>
      </c>
      <c r="Q44" s="34">
        <f>1799722+302663</f>
        <v>2102385</v>
      </c>
      <c r="S44" s="33"/>
      <c r="T44" s="34"/>
    </row>
    <row r="45" spans="1:20">
      <c r="A45" s="16" t="s">
        <v>42</v>
      </c>
      <c r="B45" s="16" t="s">
        <v>25</v>
      </c>
      <c r="C45" s="35">
        <v>6000</v>
      </c>
      <c r="D45" s="36">
        <v>21000</v>
      </c>
      <c r="E45" s="153"/>
      <c r="G45" s="21">
        <f t="shared" si="0"/>
        <v>6000</v>
      </c>
      <c r="H45" s="21">
        <f t="shared" si="1"/>
        <v>21000</v>
      </c>
      <c r="J45" s="33">
        <v>2000</v>
      </c>
      <c r="K45" s="34">
        <v>2000</v>
      </c>
      <c r="M45" s="33">
        <v>4000</v>
      </c>
      <c r="N45" s="34">
        <v>4000</v>
      </c>
      <c r="P45" s="33"/>
      <c r="Q45" s="34">
        <v>15000</v>
      </c>
      <c r="S45" s="33"/>
      <c r="T45" s="34"/>
    </row>
    <row r="46" spans="1:20">
      <c r="A46" s="16" t="s">
        <v>43</v>
      </c>
      <c r="B46" s="16" t="s">
        <v>26</v>
      </c>
      <c r="C46" s="35">
        <v>1908</v>
      </c>
      <c r="D46" s="36">
        <v>1908</v>
      </c>
      <c r="E46" s="153"/>
      <c r="G46" s="21">
        <f t="shared" si="0"/>
        <v>1908</v>
      </c>
      <c r="H46" s="21">
        <f t="shared" si="1"/>
        <v>1908</v>
      </c>
      <c r="J46" s="33"/>
      <c r="K46" s="34"/>
      <c r="M46" s="33"/>
      <c r="N46" s="34"/>
      <c r="P46" s="33">
        <f>1590+318</f>
        <v>1908</v>
      </c>
      <c r="Q46" s="34">
        <f>1590+318</f>
        <v>1908</v>
      </c>
      <c r="S46" s="33"/>
      <c r="T46" s="34"/>
    </row>
    <row r="47" spans="1:20">
      <c r="A47" s="16" t="s">
        <v>44</v>
      </c>
      <c r="B47" s="16" t="s">
        <v>296</v>
      </c>
      <c r="C47" s="83">
        <f>SUM(C48:C50)</f>
        <v>1336913.6000000001</v>
      </c>
      <c r="D47" s="83">
        <f>SUM(D48:D50)</f>
        <v>1336676.6000000001</v>
      </c>
      <c r="E47" s="153"/>
      <c r="G47" s="21">
        <f t="shared" si="0"/>
        <v>1336913.4000000001</v>
      </c>
      <c r="H47" s="21">
        <f t="shared" si="1"/>
        <v>1336675.9500000002</v>
      </c>
      <c r="J47" s="83">
        <f>SUM(J48:J50)</f>
        <v>2122</v>
      </c>
      <c r="K47" s="83">
        <f>SUM(K48:K50)</f>
        <v>2242</v>
      </c>
      <c r="M47" s="83">
        <f>SUM(M48:M50)</f>
        <v>6112.25</v>
      </c>
      <c r="N47" s="83">
        <f>SUM(N48:N50)</f>
        <v>5480.8</v>
      </c>
      <c r="P47" s="83">
        <f>SUM(P48:P50)</f>
        <v>1328679.1500000001</v>
      </c>
      <c r="Q47" s="83">
        <f>SUM(Q48:Q50)</f>
        <v>1328953.1500000001</v>
      </c>
      <c r="S47" s="83">
        <f>SUM(S48:S50)</f>
        <v>0</v>
      </c>
      <c r="T47" s="83">
        <f>SUM(T48:T50)</f>
        <v>0</v>
      </c>
    </row>
    <row r="48" spans="1:20">
      <c r="A48" s="97" t="s">
        <v>371</v>
      </c>
      <c r="B48" s="97" t="s">
        <v>374</v>
      </c>
      <c r="C48" s="35">
        <v>1166059</v>
      </c>
      <c r="D48" s="36">
        <v>1168768</v>
      </c>
      <c r="E48" s="153"/>
      <c r="G48" s="21">
        <f t="shared" si="0"/>
        <v>1166059.3</v>
      </c>
      <c r="H48" s="21">
        <f t="shared" si="1"/>
        <v>1168767.8</v>
      </c>
      <c r="J48" s="33">
        <v>1717</v>
      </c>
      <c r="K48" s="34">
        <v>1837</v>
      </c>
      <c r="M48" s="33">
        <v>5705.8</v>
      </c>
      <c r="N48" s="34">
        <v>5480.8</v>
      </c>
      <c r="P48" s="33">
        <f>874938.5+283698</f>
        <v>1158636.5</v>
      </c>
      <c r="Q48" s="34">
        <f>968752+192698</f>
        <v>1161450</v>
      </c>
      <c r="S48" s="33"/>
      <c r="T48" s="34"/>
    </row>
    <row r="49" spans="1:20">
      <c r="A49" s="97" t="s">
        <v>372</v>
      </c>
      <c r="B49" s="97" t="s">
        <v>373</v>
      </c>
      <c r="C49" s="35">
        <v>140661</v>
      </c>
      <c r="D49" s="36">
        <v>137715</v>
      </c>
      <c r="E49" s="153"/>
      <c r="G49" s="21">
        <f t="shared" si="0"/>
        <v>140660.55000000002</v>
      </c>
      <c r="H49" s="21">
        <f t="shared" si="1"/>
        <v>137714.6</v>
      </c>
      <c r="J49" s="33">
        <v>405</v>
      </c>
      <c r="K49" s="34">
        <v>405</v>
      </c>
      <c r="M49" s="33">
        <v>406.45</v>
      </c>
      <c r="N49" s="34"/>
      <c r="P49" s="525">
        <f>137424.1+2425</f>
        <v>139849.1</v>
      </c>
      <c r="Q49" s="530">
        <f>134509.6+2800</f>
        <v>137309.6</v>
      </c>
      <c r="S49" s="33"/>
      <c r="T49" s="34"/>
    </row>
    <row r="50" spans="1:20">
      <c r="A50" s="97" t="s">
        <v>375</v>
      </c>
      <c r="B50" s="97" t="s">
        <v>376</v>
      </c>
      <c r="C50" s="35">
        <v>30193.599999999999</v>
      </c>
      <c r="D50" s="36">
        <v>30193.599999999999</v>
      </c>
      <c r="E50" s="153"/>
      <c r="G50" s="21">
        <f t="shared" si="0"/>
        <v>30193.55</v>
      </c>
      <c r="H50" s="21">
        <f t="shared" si="1"/>
        <v>30193.55</v>
      </c>
      <c r="J50" s="33"/>
      <c r="K50" s="34"/>
      <c r="M50" s="33"/>
      <c r="N50" s="34"/>
      <c r="P50" s="33">
        <f>22193.55+8000</f>
        <v>30193.55</v>
      </c>
      <c r="Q50" s="34">
        <f>22193.55+8000</f>
        <v>30193.55</v>
      </c>
      <c r="S50" s="33"/>
      <c r="T50" s="34"/>
    </row>
    <row r="51" spans="1:20" ht="26.25" customHeight="1">
      <c r="A51" s="16" t="s">
        <v>45</v>
      </c>
      <c r="B51" s="16" t="s">
        <v>29</v>
      </c>
      <c r="C51" s="35"/>
      <c r="D51" s="36"/>
      <c r="E51" s="153"/>
      <c r="G51" s="21">
        <f t="shared" si="0"/>
        <v>0</v>
      </c>
      <c r="H51" s="21">
        <f t="shared" si="1"/>
        <v>0</v>
      </c>
      <c r="J51" s="33"/>
      <c r="K51" s="34"/>
      <c r="M51" s="33"/>
      <c r="N51" s="34"/>
      <c r="P51" s="33"/>
      <c r="Q51" s="34"/>
      <c r="S51" s="33"/>
      <c r="T51" s="34"/>
    </row>
    <row r="52" spans="1:20">
      <c r="A52" s="16" t="s">
        <v>46</v>
      </c>
      <c r="B52" s="16" t="s">
        <v>6</v>
      </c>
      <c r="C52" s="35">
        <v>4236541</v>
      </c>
      <c r="D52" s="36">
        <v>4221700</v>
      </c>
      <c r="E52" s="153"/>
      <c r="G52" s="21">
        <f t="shared" si="0"/>
        <v>4236541.0999999996</v>
      </c>
      <c r="H52" s="21">
        <f t="shared" si="1"/>
        <v>4221699.5999999996</v>
      </c>
      <c r="J52" s="33">
        <v>43447</v>
      </c>
      <c r="K52" s="34">
        <v>45535</v>
      </c>
      <c r="M52" s="33">
        <f>1875+6750+8150+50+200+8712.6</f>
        <v>25737.599999999999</v>
      </c>
      <c r="N52" s="34">
        <f>25737.6</f>
        <v>25737.599999999999</v>
      </c>
      <c r="P52" s="33">
        <f>4135257+33037-937.5</f>
        <v>4167356.5</v>
      </c>
      <c r="Q52" s="34">
        <f>3695897+454530</f>
        <v>4150427</v>
      </c>
      <c r="S52" s="33"/>
      <c r="T52" s="34"/>
    </row>
    <row r="53" spans="1:20" ht="30">
      <c r="A53" s="14">
        <v>1.3</v>
      </c>
      <c r="B53" s="87" t="s">
        <v>415</v>
      </c>
      <c r="C53" s="83">
        <f>SUM(C54:C55)</f>
        <v>1157848</v>
      </c>
      <c r="D53" s="83">
        <f>SUM(D54:D55)</f>
        <v>1157853</v>
      </c>
      <c r="E53" s="153"/>
      <c r="G53" s="21">
        <f t="shared" si="0"/>
        <v>1157848</v>
      </c>
      <c r="H53" s="21">
        <f t="shared" si="1"/>
        <v>1157853.3</v>
      </c>
      <c r="J53" s="84">
        <f>SUM(J54:J55)</f>
        <v>0</v>
      </c>
      <c r="K53" s="84">
        <f>SUM(K54:K55)</f>
        <v>0</v>
      </c>
      <c r="M53" s="84">
        <f>SUM(M54:M55)</f>
        <v>46507</v>
      </c>
      <c r="N53" s="84">
        <f>SUM(N54:N55)</f>
        <v>245155.4</v>
      </c>
      <c r="P53" s="84">
        <f>SUM(P54:P55)</f>
        <v>1111341</v>
      </c>
      <c r="Q53" s="84">
        <f>SUM(Q54:Q55)</f>
        <v>912697.9</v>
      </c>
      <c r="S53" s="84">
        <f>SUM(S54:S55)</f>
        <v>0</v>
      </c>
      <c r="T53" s="84">
        <f>SUM(T54:T55)</f>
        <v>0</v>
      </c>
    </row>
    <row r="54" spans="1:20" ht="30">
      <c r="A54" s="16" t="s">
        <v>50</v>
      </c>
      <c r="B54" s="16" t="s">
        <v>48</v>
      </c>
      <c r="C54" s="35">
        <v>1157848</v>
      </c>
      <c r="D54" s="36">
        <v>1157853</v>
      </c>
      <c r="E54" s="153"/>
      <c r="G54" s="21">
        <f t="shared" si="0"/>
        <v>1157848</v>
      </c>
      <c r="H54" s="21">
        <f t="shared" si="1"/>
        <v>1157853.3</v>
      </c>
      <c r="J54" s="33"/>
      <c r="K54" s="34"/>
      <c r="M54" s="33">
        <v>46507</v>
      </c>
      <c r="N54" s="34">
        <v>245155.4</v>
      </c>
      <c r="O54" s="531"/>
      <c r="P54" s="33">
        <v>1111341</v>
      </c>
      <c r="Q54" s="34">
        <f>852658.9+60039</f>
        <v>912697.9</v>
      </c>
      <c r="R54" s="531"/>
      <c r="S54" s="33"/>
      <c r="T54" s="34"/>
    </row>
    <row r="55" spans="1:20">
      <c r="A55" s="16" t="s">
        <v>51</v>
      </c>
      <c r="B55" s="16" t="s">
        <v>47</v>
      </c>
      <c r="C55" s="33"/>
      <c r="D55" s="34"/>
      <c r="E55" s="153"/>
      <c r="G55" s="21">
        <f t="shared" si="0"/>
        <v>0</v>
      </c>
      <c r="H55" s="21">
        <f t="shared" si="1"/>
        <v>0</v>
      </c>
      <c r="J55" s="33"/>
      <c r="K55" s="34"/>
      <c r="M55" s="33"/>
      <c r="N55" s="34"/>
      <c r="P55" s="33"/>
      <c r="Q55" s="34"/>
      <c r="S55" s="33"/>
      <c r="T55" s="34"/>
    </row>
    <row r="56" spans="1:20">
      <c r="A56" s="14">
        <v>1.4</v>
      </c>
      <c r="B56" s="14" t="s">
        <v>417</v>
      </c>
      <c r="C56" s="33"/>
      <c r="D56" s="34"/>
      <c r="E56" s="153"/>
      <c r="G56" s="21">
        <f t="shared" si="0"/>
        <v>0</v>
      </c>
      <c r="H56" s="21">
        <f t="shared" si="1"/>
        <v>0</v>
      </c>
      <c r="J56" s="33"/>
      <c r="K56" s="34"/>
      <c r="M56" s="33"/>
      <c r="N56" s="34"/>
      <c r="P56" s="33"/>
      <c r="Q56" s="34"/>
      <c r="S56" s="33"/>
      <c r="T56" s="34"/>
    </row>
    <row r="57" spans="1:20">
      <c r="A57" s="14">
        <v>1.5</v>
      </c>
      <c r="B57" s="14" t="s">
        <v>7</v>
      </c>
      <c r="C57" s="37"/>
      <c r="D57" s="40"/>
      <c r="E57" s="153"/>
      <c r="G57" s="21">
        <f t="shared" si="0"/>
        <v>0</v>
      </c>
      <c r="H57" s="21">
        <f t="shared" si="1"/>
        <v>0</v>
      </c>
      <c r="J57" s="37"/>
      <c r="K57" s="40"/>
      <c r="M57" s="37"/>
      <c r="N57" s="40"/>
      <c r="P57" s="37"/>
      <c r="Q57" s="40"/>
      <c r="S57" s="37"/>
      <c r="T57" s="40"/>
    </row>
    <row r="58" spans="1:20">
      <c r="A58" s="14">
        <v>1.6</v>
      </c>
      <c r="B58" s="45" t="s">
        <v>8</v>
      </c>
      <c r="C58" s="83">
        <f>SUM(C59:C63)</f>
        <v>15554.42</v>
      </c>
      <c r="D58" s="83">
        <f>SUM(D59:D63)</f>
        <v>15538.59</v>
      </c>
      <c r="E58" s="153"/>
      <c r="G58" s="21">
        <f t="shared" si="0"/>
        <v>15554.419999999998</v>
      </c>
      <c r="H58" s="21">
        <f t="shared" si="1"/>
        <v>15538.59</v>
      </c>
      <c r="J58" s="84">
        <f>SUM(J59:J63)</f>
        <v>0</v>
      </c>
      <c r="K58" s="84">
        <f>SUM(K59:K63)</f>
        <v>0</v>
      </c>
      <c r="M58" s="84">
        <f>SUM(M59:M63)</f>
        <v>4.3899999999999997</v>
      </c>
      <c r="N58" s="84">
        <f>SUM(N59:N63)</f>
        <v>4.3899999999999997</v>
      </c>
      <c r="P58" s="84">
        <f>SUM(P59:P63)</f>
        <v>15550.029999999999</v>
      </c>
      <c r="Q58" s="84">
        <f>SUM(Q59:Q63)</f>
        <v>15534.2</v>
      </c>
      <c r="S58" s="84">
        <f>SUM(S59:S63)</f>
        <v>0</v>
      </c>
      <c r="T58" s="84">
        <f>SUM(T59:T63)</f>
        <v>0</v>
      </c>
    </row>
    <row r="59" spans="1:20">
      <c r="A59" s="16" t="s">
        <v>297</v>
      </c>
      <c r="B59" s="46" t="s">
        <v>52</v>
      </c>
      <c r="C59" s="37"/>
      <c r="D59" s="40"/>
      <c r="E59" s="153"/>
      <c r="G59" s="21">
        <f t="shared" si="0"/>
        <v>0</v>
      </c>
      <c r="H59" s="21">
        <f t="shared" si="1"/>
        <v>0</v>
      </c>
      <c r="J59" s="37"/>
      <c r="K59" s="40"/>
      <c r="M59" s="37"/>
      <c r="N59" s="40"/>
      <c r="P59" s="37"/>
      <c r="Q59" s="40"/>
      <c r="S59" s="37"/>
      <c r="T59" s="40"/>
    </row>
    <row r="60" spans="1:20" ht="30">
      <c r="A60" s="16" t="s">
        <v>298</v>
      </c>
      <c r="B60" s="46" t="s">
        <v>54</v>
      </c>
      <c r="C60" s="37"/>
      <c r="D60" s="40"/>
      <c r="E60" s="153"/>
      <c r="G60" s="21">
        <f t="shared" si="0"/>
        <v>0</v>
      </c>
      <c r="H60" s="21">
        <f t="shared" si="1"/>
        <v>0</v>
      </c>
      <c r="J60" s="37"/>
      <c r="K60" s="40"/>
      <c r="M60" s="37"/>
      <c r="N60" s="40"/>
      <c r="P60" s="37"/>
      <c r="Q60" s="40"/>
      <c r="S60" s="37"/>
      <c r="T60" s="40"/>
    </row>
    <row r="61" spans="1:20">
      <c r="A61" s="16" t="s">
        <v>299</v>
      </c>
      <c r="B61" s="46" t="s">
        <v>53</v>
      </c>
      <c r="C61" s="40"/>
      <c r="D61" s="40"/>
      <c r="E61" s="153"/>
      <c r="G61" s="21">
        <f t="shared" si="0"/>
        <v>0</v>
      </c>
      <c r="H61" s="21">
        <f t="shared" si="1"/>
        <v>0</v>
      </c>
      <c r="J61" s="40"/>
      <c r="K61" s="40"/>
      <c r="M61" s="40"/>
      <c r="N61" s="40"/>
      <c r="P61" s="40"/>
      <c r="Q61" s="40"/>
      <c r="S61" s="40"/>
      <c r="T61" s="40"/>
    </row>
    <row r="62" spans="1:20">
      <c r="A62" s="16" t="s">
        <v>300</v>
      </c>
      <c r="B62" s="46" t="s">
        <v>27</v>
      </c>
      <c r="C62" s="37">
        <v>7836</v>
      </c>
      <c r="D62" s="523">
        <v>7836</v>
      </c>
      <c r="E62" s="153"/>
      <c r="G62" s="21">
        <f t="shared" si="0"/>
        <v>7836</v>
      </c>
      <c r="H62" s="21">
        <f t="shared" si="1"/>
        <v>7836</v>
      </c>
      <c r="J62" s="37"/>
      <c r="K62" s="40"/>
      <c r="M62" s="37"/>
      <c r="N62" s="40"/>
      <c r="P62" s="37">
        <v>7836</v>
      </c>
      <c r="Q62" s="40">
        <v>7836</v>
      </c>
      <c r="S62" s="37"/>
      <c r="T62" s="40"/>
    </row>
    <row r="63" spans="1:20">
      <c r="A63" s="16" t="s">
        <v>337</v>
      </c>
      <c r="B63" s="216" t="s">
        <v>338</v>
      </c>
      <c r="C63" s="37">
        <v>7718.42</v>
      </c>
      <c r="D63" s="217">
        <v>7702.59</v>
      </c>
      <c r="E63" s="153"/>
      <c r="G63" s="21">
        <f t="shared" si="0"/>
        <v>7718.42</v>
      </c>
      <c r="H63" s="21">
        <f t="shared" si="1"/>
        <v>7702.59</v>
      </c>
      <c r="J63" s="37"/>
      <c r="K63" s="217"/>
      <c r="M63" s="37">
        <v>4.3899999999999997</v>
      </c>
      <c r="N63" s="217">
        <v>4.3899999999999997</v>
      </c>
      <c r="P63" s="37">
        <f>7698.2+15.83</f>
        <v>7714.03</v>
      </c>
      <c r="Q63" s="217">
        <v>7698.2</v>
      </c>
      <c r="S63" s="37"/>
      <c r="T63" s="217"/>
    </row>
    <row r="64" spans="1:20">
      <c r="A64" s="13">
        <v>2</v>
      </c>
      <c r="B64" s="47" t="s">
        <v>106</v>
      </c>
      <c r="C64" s="277"/>
      <c r="D64" s="748">
        <f>SUM(D65:D70)</f>
        <v>149084.1</v>
      </c>
      <c r="E64" s="153"/>
      <c r="G64" s="21">
        <f t="shared" si="0"/>
        <v>0</v>
      </c>
      <c r="H64" s="21">
        <f t="shared" si="1"/>
        <v>149084.06</v>
      </c>
      <c r="J64" s="277"/>
      <c r="K64" s="118">
        <f>SUM(K65:K70)</f>
        <v>0</v>
      </c>
      <c r="M64" s="277"/>
      <c r="N64" s="118">
        <f>SUM(N65:N70)</f>
        <v>0</v>
      </c>
      <c r="P64" s="277"/>
      <c r="Q64" s="118">
        <f>SUM(Q65:Q70)</f>
        <v>149084.06</v>
      </c>
      <c r="S64" s="277"/>
      <c r="T64" s="118">
        <f>SUM(T65:T70)</f>
        <v>0</v>
      </c>
    </row>
    <row r="65" spans="1:20">
      <c r="A65" s="15">
        <v>2.1</v>
      </c>
      <c r="B65" s="48" t="s">
        <v>100</v>
      </c>
      <c r="C65" s="277"/>
      <c r="D65" s="42"/>
      <c r="E65" s="153"/>
      <c r="G65" s="21">
        <f t="shared" si="0"/>
        <v>0</v>
      </c>
      <c r="H65" s="21">
        <f t="shared" si="1"/>
        <v>0</v>
      </c>
      <c r="J65" s="277"/>
      <c r="K65" s="42"/>
      <c r="M65" s="277"/>
      <c r="N65" s="42"/>
      <c r="P65" s="277"/>
      <c r="Q65" s="42"/>
      <c r="S65" s="277"/>
      <c r="T65" s="42"/>
    </row>
    <row r="66" spans="1:20">
      <c r="A66" s="15">
        <v>2.2000000000000002</v>
      </c>
      <c r="B66" s="48" t="s">
        <v>104</v>
      </c>
      <c r="C66" s="279"/>
      <c r="D66" s="43"/>
      <c r="E66" s="153"/>
      <c r="G66" s="21">
        <f t="shared" ref="G66:G75" si="2">J:J+M:M+P:P+S:S</f>
        <v>0</v>
      </c>
      <c r="H66" s="21">
        <f t="shared" ref="H66:H75" si="3">K:K+N:N+Q:Q+T:T</f>
        <v>0</v>
      </c>
      <c r="J66" s="279"/>
      <c r="K66" s="43"/>
      <c r="M66" s="279"/>
      <c r="N66" s="43"/>
      <c r="P66" s="279"/>
      <c r="Q66" s="43"/>
      <c r="S66" s="279"/>
      <c r="T66" s="43"/>
    </row>
    <row r="67" spans="1:20">
      <c r="A67" s="15">
        <v>2.2999999999999998</v>
      </c>
      <c r="B67" s="48" t="s">
        <v>103</v>
      </c>
      <c r="C67" s="279"/>
      <c r="D67" s="43">
        <v>97532.1</v>
      </c>
      <c r="E67" s="153"/>
      <c r="G67" s="21">
        <f t="shared" si="2"/>
        <v>0</v>
      </c>
      <c r="H67" s="21">
        <f t="shared" si="3"/>
        <v>97532.12</v>
      </c>
      <c r="J67" s="279"/>
      <c r="K67" s="43"/>
      <c r="M67" s="279"/>
      <c r="N67" s="43"/>
      <c r="P67" s="279"/>
      <c r="Q67" s="43">
        <v>97532.12</v>
      </c>
      <c r="S67" s="279"/>
      <c r="T67" s="43"/>
    </row>
    <row r="68" spans="1:20">
      <c r="A68" s="15">
        <v>2.4</v>
      </c>
      <c r="B68" s="48" t="s">
        <v>105</v>
      </c>
      <c r="C68" s="279"/>
      <c r="D68" s="43">
        <v>33510.6</v>
      </c>
      <c r="E68" s="153"/>
      <c r="G68" s="21">
        <f t="shared" si="2"/>
        <v>0</v>
      </c>
      <c r="H68" s="21">
        <f t="shared" si="3"/>
        <v>33510.559999999998</v>
      </c>
      <c r="J68" s="279"/>
      <c r="K68" s="43"/>
      <c r="M68" s="279"/>
      <c r="N68" s="43"/>
      <c r="P68" s="279"/>
      <c r="Q68" s="43">
        <v>33510.559999999998</v>
      </c>
      <c r="S68" s="279"/>
      <c r="T68" s="43"/>
    </row>
    <row r="69" spans="1:20">
      <c r="A69" s="15">
        <v>2.5</v>
      </c>
      <c r="B69" s="48" t="s">
        <v>101</v>
      </c>
      <c r="C69" s="279"/>
      <c r="D69" s="43">
        <v>18041.400000000001</v>
      </c>
      <c r="E69" s="153"/>
      <c r="G69" s="21">
        <f t="shared" si="2"/>
        <v>0</v>
      </c>
      <c r="H69" s="21">
        <f t="shared" si="3"/>
        <v>18041.38</v>
      </c>
      <c r="J69" s="279"/>
      <c r="K69" s="43"/>
      <c r="M69" s="279"/>
      <c r="N69" s="43"/>
      <c r="P69" s="279"/>
      <c r="Q69" s="43">
        <v>18041.38</v>
      </c>
      <c r="S69" s="279"/>
      <c r="T69" s="43"/>
    </row>
    <row r="70" spans="1:20">
      <c r="A70" s="15">
        <v>2.6</v>
      </c>
      <c r="B70" s="48" t="s">
        <v>102</v>
      </c>
      <c r="C70" s="279"/>
      <c r="D70" s="43"/>
      <c r="E70" s="153"/>
      <c r="G70" s="21">
        <f t="shared" si="2"/>
        <v>0</v>
      </c>
      <c r="H70" s="21">
        <f t="shared" si="3"/>
        <v>0</v>
      </c>
      <c r="J70" s="279"/>
      <c r="K70" s="43"/>
      <c r="M70" s="279"/>
      <c r="N70" s="43"/>
      <c r="P70" s="279"/>
      <c r="Q70" s="43"/>
      <c r="S70" s="279"/>
      <c r="T70" s="43"/>
    </row>
    <row r="71" spans="1:20" s="2" customFormat="1">
      <c r="A71" s="13">
        <v>3</v>
      </c>
      <c r="B71" s="275" t="s">
        <v>451</v>
      </c>
      <c r="C71" s="278"/>
      <c r="D71" s="276"/>
      <c r="E71" s="105"/>
      <c r="G71" s="21">
        <f t="shared" si="2"/>
        <v>0</v>
      </c>
      <c r="H71" s="21">
        <f t="shared" si="3"/>
        <v>0</v>
      </c>
      <c r="J71" s="278"/>
      <c r="K71" s="276"/>
      <c r="M71" s="278"/>
      <c r="N71" s="276"/>
      <c r="P71" s="278"/>
      <c r="Q71" s="276"/>
      <c r="S71" s="278"/>
      <c r="T71" s="276"/>
    </row>
    <row r="72" spans="1:20" s="2" customFormat="1">
      <c r="A72" s="13">
        <v>4</v>
      </c>
      <c r="B72" s="13" t="s">
        <v>252</v>
      </c>
      <c r="C72" s="278">
        <f>SUM(C73:C74)</f>
        <v>0</v>
      </c>
      <c r="D72" s="85">
        <f>SUM(D73:D74)</f>
        <v>0</v>
      </c>
      <c r="E72" s="105"/>
      <c r="G72" s="21">
        <f t="shared" si="2"/>
        <v>0</v>
      </c>
      <c r="H72" s="21">
        <f t="shared" si="3"/>
        <v>0</v>
      </c>
      <c r="J72" s="278">
        <f>SUM(J73:J74)</f>
        <v>0</v>
      </c>
      <c r="K72" s="85">
        <f>SUM(K73:K74)</f>
        <v>0</v>
      </c>
      <c r="M72" s="278">
        <f>SUM(M73:M74)</f>
        <v>0</v>
      </c>
      <c r="N72" s="85">
        <f>SUM(N73:N74)</f>
        <v>0</v>
      </c>
      <c r="P72" s="278">
        <f>SUM(P73:P74)</f>
        <v>0</v>
      </c>
      <c r="Q72" s="85">
        <f>SUM(Q73:Q74)</f>
        <v>0</v>
      </c>
      <c r="S72" s="278">
        <f>SUM(S73:S74)</f>
        <v>0</v>
      </c>
      <c r="T72" s="85">
        <f>SUM(T73:T74)</f>
        <v>0</v>
      </c>
    </row>
    <row r="73" spans="1:20" s="2" customFormat="1">
      <c r="A73" s="15">
        <v>4.0999999999999996</v>
      </c>
      <c r="B73" s="15" t="s">
        <v>253</v>
      </c>
      <c r="C73" s="8"/>
      <c r="D73" s="8"/>
      <c r="E73" s="105"/>
      <c r="G73" s="21">
        <f t="shared" si="2"/>
        <v>0</v>
      </c>
      <c r="H73" s="21">
        <f t="shared" si="3"/>
        <v>0</v>
      </c>
      <c r="J73" s="8"/>
      <c r="K73" s="8"/>
      <c r="M73" s="8"/>
      <c r="N73" s="8"/>
      <c r="P73" s="8"/>
      <c r="Q73" s="8"/>
      <c r="S73" s="8"/>
      <c r="T73" s="8"/>
    </row>
    <row r="74" spans="1:20" s="2" customFormat="1">
      <c r="A74" s="15">
        <v>4.2</v>
      </c>
      <c r="B74" s="15" t="s">
        <v>254</v>
      </c>
      <c r="C74" s="8"/>
      <c r="D74" s="8"/>
      <c r="E74" s="105"/>
      <c r="G74" s="21">
        <f t="shared" si="2"/>
        <v>0</v>
      </c>
      <c r="H74" s="21">
        <f t="shared" si="3"/>
        <v>0</v>
      </c>
      <c r="J74" s="8"/>
      <c r="K74" s="8"/>
      <c r="M74" s="8"/>
      <c r="N74" s="8"/>
      <c r="P74" s="8"/>
      <c r="Q74" s="8"/>
      <c r="S74" s="8"/>
      <c r="T74" s="8"/>
    </row>
    <row r="75" spans="1:20" s="2" customFormat="1">
      <c r="A75" s="13">
        <v>5</v>
      </c>
      <c r="B75" s="273" t="s">
        <v>279</v>
      </c>
      <c r="C75" s="8"/>
      <c r="D75" s="85"/>
      <c r="E75" s="105"/>
      <c r="G75" s="21">
        <f t="shared" si="2"/>
        <v>0</v>
      </c>
      <c r="H75" s="21">
        <f t="shared" si="3"/>
        <v>0</v>
      </c>
      <c r="J75" s="8"/>
      <c r="K75" s="85"/>
      <c r="M75" s="8"/>
      <c r="N75" s="85"/>
      <c r="P75" s="8"/>
      <c r="Q75" s="85"/>
      <c r="S75" s="8"/>
      <c r="T75" s="85"/>
    </row>
    <row r="76" spans="1:20" s="2" customFormat="1">
      <c r="A76" s="366"/>
      <c r="B76" s="366"/>
      <c r="C76" s="12"/>
      <c r="D76" s="12"/>
      <c r="E76" s="105"/>
    </row>
    <row r="77" spans="1:20" s="2" customFormat="1">
      <c r="A77" s="764" t="s">
        <v>500</v>
      </c>
      <c r="B77" s="764"/>
      <c r="C77" s="764"/>
      <c r="D77" s="764"/>
      <c r="E77" s="105"/>
    </row>
    <row r="78" spans="1:20" s="2" customFormat="1">
      <c r="A78" s="366"/>
      <c r="B78" s="366"/>
      <c r="C78" s="12"/>
      <c r="D78" s="12"/>
      <c r="E78" s="105"/>
    </row>
    <row r="79" spans="1:20" s="23" customFormat="1" ht="12.75"/>
    <row r="80" spans="1:20" s="2" customFormat="1">
      <c r="A80" s="69" t="s">
        <v>107</v>
      </c>
      <c r="E80" s="5"/>
      <c r="G80" s="86">
        <v>4242505.3</v>
      </c>
      <c r="H80" s="86">
        <v>4227661.17</v>
      </c>
    </row>
    <row r="81" spans="1:10" s="2" customFormat="1">
      <c r="E81"/>
      <c r="F81"/>
      <c r="G81">
        <v>4236541</v>
      </c>
      <c r="H81">
        <v>4221700</v>
      </c>
      <c r="I81"/>
      <c r="J81"/>
    </row>
    <row r="82" spans="1:10" s="2" customFormat="1">
      <c r="D82" s="12"/>
      <c r="E82"/>
      <c r="F82"/>
      <c r="G82" s="551">
        <f>G80-G81</f>
        <v>5964.2999999998137</v>
      </c>
      <c r="H82" s="551">
        <f>H80-H81</f>
        <v>5961.1699999999255</v>
      </c>
      <c r="I82"/>
      <c r="J82"/>
    </row>
    <row r="83" spans="1:10" s="2" customFormat="1">
      <c r="A83"/>
      <c r="B83" s="44" t="s">
        <v>501</v>
      </c>
      <c r="D83" s="12"/>
      <c r="E83"/>
      <c r="F83"/>
      <c r="G83">
        <v>7836</v>
      </c>
      <c r="H83">
        <v>7836</v>
      </c>
      <c r="I83"/>
      <c r="J83"/>
    </row>
    <row r="84" spans="1:10" s="2" customFormat="1">
      <c r="A84"/>
      <c r="B84" s="772" t="s">
        <v>502</v>
      </c>
      <c r="C84" s="772"/>
      <c r="D84" s="772"/>
      <c r="E84"/>
      <c r="F84"/>
      <c r="G84" s="551">
        <f>G83-G82</f>
        <v>1871.7000000001863</v>
      </c>
      <c r="H84" s="551">
        <f>H83-H82</f>
        <v>1874.8300000000745</v>
      </c>
      <c r="I84"/>
      <c r="J84"/>
    </row>
    <row r="85" spans="1:10" customFormat="1" ht="12.75">
      <c r="B85" s="66" t="s">
        <v>503</v>
      </c>
    </row>
    <row r="86" spans="1:10" s="2" customFormat="1">
      <c r="A86" s="11"/>
      <c r="B86" s="772" t="s">
        <v>504</v>
      </c>
      <c r="C86" s="772"/>
      <c r="D86" s="772"/>
    </row>
    <row r="87" spans="1:10" s="23" customFormat="1" ht="12.75"/>
    <row r="88" spans="1:10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2"/>
  <sheetViews>
    <sheetView showGridLines="0" view="pageBreakPreview" zoomScale="80" zoomScaleNormal="100" zoomScaleSheetLayoutView="80" workbookViewId="0">
      <selection activeCell="D10" sqref="D1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2.140625" style="2" customWidth="1"/>
    <col min="6" max="6" width="6" style="2" hidden="1" customWidth="1"/>
    <col min="7" max="7" width="9.28515625" style="2" hidden="1" customWidth="1"/>
    <col min="8" max="8" width="7.28515625" style="2" hidden="1" customWidth="1"/>
    <col min="9" max="9" width="8.28515625" style="2" hidden="1" customWidth="1"/>
    <col min="10" max="10" width="9.5703125" style="2" hidden="1" customWidth="1"/>
    <col min="11" max="11" width="2.5703125" style="2" hidden="1" customWidth="1"/>
    <col min="12" max="12" width="14" style="2" hidden="1" customWidth="1"/>
    <col min="13" max="14" width="9.140625" style="2" hidden="1" customWidth="1"/>
    <col min="15" max="15" width="2.140625" style="2" hidden="1" customWidth="1"/>
    <col min="16" max="18" width="9.140625" style="2" hidden="1" customWidth="1"/>
    <col min="19" max="19" width="1.85546875" style="2" hidden="1" customWidth="1"/>
    <col min="20" max="22" width="9.140625" style="2" hidden="1" customWidth="1"/>
    <col min="23" max="23" width="2.85546875" style="2" hidden="1" customWidth="1"/>
    <col min="24" max="24" width="9.140625" style="2" hidden="1" customWidth="1"/>
    <col min="25" max="25" width="12.7109375" style="2" hidden="1" customWidth="1"/>
    <col min="26" max="26" width="9.140625" style="2" hidden="1" customWidth="1"/>
    <col min="27" max="27" width="1.42578125" style="2" hidden="1" customWidth="1"/>
    <col min="28" max="28" width="9.140625" style="2" hidden="1" customWidth="1"/>
    <col min="29" max="29" width="11.7109375" style="2" hidden="1" customWidth="1"/>
    <col min="30" max="30" width="11.140625" style="2" hidden="1" customWidth="1"/>
    <col min="31" max="31" width="2.140625" style="2" hidden="1" customWidth="1"/>
    <col min="32" max="32" width="9.140625" style="2" hidden="1" customWidth="1"/>
    <col min="33" max="33" width="12.42578125" style="2" hidden="1" customWidth="1"/>
    <col min="34" max="34" width="12.140625" style="2" hidden="1" customWidth="1"/>
    <col min="35" max="35" width="9.140625" style="2" hidden="1" customWidth="1"/>
    <col min="36" max="36" width="9.140625" style="2"/>
    <col min="37" max="37" width="0" style="2" hidden="1" customWidth="1"/>
    <col min="38" max="38" width="13.42578125" style="2" hidden="1" customWidth="1"/>
    <col min="39" max="41" width="0" style="2" hidden="1" customWidth="1"/>
    <col min="42" max="16384" width="9.140625" style="2"/>
  </cols>
  <sheetData>
    <row r="1" spans="1:34" s="6" customFormat="1">
      <c r="A1" s="74" t="s">
        <v>334</v>
      </c>
      <c r="B1" s="77"/>
      <c r="C1" s="763" t="s">
        <v>109</v>
      </c>
      <c r="D1" s="763"/>
      <c r="E1" s="91"/>
    </row>
    <row r="2" spans="1:34" s="6" customFormat="1">
      <c r="A2" s="74" t="s">
        <v>328</v>
      </c>
      <c r="B2" s="77"/>
      <c r="C2" s="753" t="s">
        <v>515</v>
      </c>
      <c r="D2" s="754"/>
      <c r="E2" s="91"/>
    </row>
    <row r="3" spans="1:34" s="6" customFormat="1">
      <c r="A3" s="76" t="s">
        <v>140</v>
      </c>
      <c r="B3" s="74"/>
      <c r="C3" s="392"/>
      <c r="D3" s="392"/>
      <c r="E3" s="91"/>
    </row>
    <row r="4" spans="1:34" s="6" customFormat="1">
      <c r="A4" s="76"/>
      <c r="B4" s="76"/>
      <c r="C4" s="392"/>
      <c r="D4" s="392"/>
      <c r="E4" s="91"/>
    </row>
    <row r="5" spans="1:34">
      <c r="A5" s="77" t="str">
        <f>'[2]ფორმა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34">
      <c r="A6" s="80" t="str">
        <f>'[2]ფორმა N1'!D4</f>
        <v>მ.პ.გ. ქართული ოცნება - დემოკრატიული საქართველო</v>
      </c>
      <c r="B6" s="80"/>
      <c r="C6" s="81"/>
      <c r="D6" s="81"/>
      <c r="E6" s="92"/>
    </row>
    <row r="7" spans="1:34">
      <c r="A7" s="77"/>
      <c r="B7" s="77"/>
      <c r="C7" s="76"/>
      <c r="D7" s="76"/>
      <c r="E7" s="92"/>
    </row>
    <row r="8" spans="1:34" s="6" customFormat="1">
      <c r="A8" s="390"/>
      <c r="B8" s="390"/>
      <c r="C8" s="78"/>
      <c r="D8" s="78"/>
      <c r="E8" s="91"/>
    </row>
    <row r="9" spans="1:34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  <c r="J9" s="6" t="s">
        <v>3847</v>
      </c>
      <c r="M9" s="6" t="s">
        <v>3846</v>
      </c>
      <c r="Q9" s="6" t="s">
        <v>3845</v>
      </c>
      <c r="U9" s="6" t="s">
        <v>3844</v>
      </c>
      <c r="Y9" s="6" t="s">
        <v>3843</v>
      </c>
      <c r="AC9" s="6" t="s">
        <v>3842</v>
      </c>
      <c r="AH9" s="6" t="s">
        <v>3841</v>
      </c>
    </row>
    <row r="10" spans="1:34" s="9" customFormat="1" ht="41.25" customHeight="1">
      <c r="A10" s="98" t="s">
        <v>329</v>
      </c>
      <c r="B10" s="87" t="s">
        <v>3840</v>
      </c>
      <c r="C10" s="502">
        <f>7620+216</f>
        <v>7836</v>
      </c>
      <c r="D10" s="502">
        <f>J10+216</f>
        <v>7836</v>
      </c>
      <c r="E10" s="93"/>
      <c r="H10" s="98" t="s">
        <v>3839</v>
      </c>
      <c r="I10" s="4">
        <v>7620</v>
      </c>
      <c r="J10" s="4">
        <v>7620</v>
      </c>
      <c r="L10" s="548" t="s">
        <v>3810</v>
      </c>
      <c r="M10" s="547">
        <v>137307.75</v>
      </c>
      <c r="N10" s="547">
        <v>37307.75</v>
      </c>
      <c r="P10" s="87" t="s">
        <v>3835</v>
      </c>
      <c r="Q10" s="4">
        <v>214</v>
      </c>
      <c r="R10" s="4">
        <v>4196.5</v>
      </c>
      <c r="T10" s="87" t="s">
        <v>3822</v>
      </c>
      <c r="U10" s="502">
        <f>4500+4800</f>
        <v>9300</v>
      </c>
      <c r="V10" s="4">
        <v>12800</v>
      </c>
      <c r="X10" s="534" t="s">
        <v>3822</v>
      </c>
      <c r="Y10" s="502">
        <f>40297-35097+1050+1062.5+2160</f>
        <v>9472.5</v>
      </c>
      <c r="Z10" s="4">
        <v>6250</v>
      </c>
      <c r="AB10" s="87" t="s">
        <v>3815</v>
      </c>
      <c r="AC10" s="502"/>
      <c r="AD10" s="4">
        <v>7838</v>
      </c>
      <c r="AF10" s="87" t="s">
        <v>3835</v>
      </c>
      <c r="AG10" s="502">
        <v>211.9</v>
      </c>
      <c r="AH10" s="4"/>
    </row>
    <row r="11" spans="1:34" s="10" customFormat="1" ht="39.75" hidden="1" customHeight="1">
      <c r="A11" s="98" t="s">
        <v>330</v>
      </c>
      <c r="B11" s="550"/>
      <c r="C11" s="549"/>
      <c r="E11" s="94"/>
      <c r="H11" s="98"/>
      <c r="I11" s="4"/>
      <c r="J11" s="4"/>
      <c r="L11" s="548" t="s">
        <v>3838</v>
      </c>
      <c r="M11" s="547">
        <f>1900+7500</f>
        <v>9400</v>
      </c>
      <c r="N11" s="547">
        <f>8701-275-826-5700</f>
        <v>1900</v>
      </c>
      <c r="P11" s="87" t="s">
        <v>3837</v>
      </c>
      <c r="Q11" s="502">
        <f>9663.8+1200</f>
        <v>10863.8</v>
      </c>
      <c r="R11" s="4">
        <f>9663.8+1200</f>
        <v>10863.8</v>
      </c>
      <c r="T11" s="87" t="s">
        <v>3831</v>
      </c>
      <c r="U11" s="502">
        <f>18603.76+47.5</f>
        <v>18651.259999999998</v>
      </c>
      <c r="V11" s="4">
        <v>6700.62</v>
      </c>
      <c r="X11" s="534" t="s">
        <v>3817</v>
      </c>
      <c r="Y11" s="502">
        <f>238189.22+28264.52</f>
        <v>266453.74</v>
      </c>
      <c r="Z11" s="4">
        <f>38284.52+118672.2</f>
        <v>156956.72</v>
      </c>
      <c r="AB11" s="534" t="s">
        <v>3822</v>
      </c>
      <c r="AC11" s="502">
        <f>125+7500+1300+800+39480.25</f>
        <v>49205.25</v>
      </c>
      <c r="AD11" s="4">
        <v>15747.5</v>
      </c>
      <c r="AF11" s="87" t="s">
        <v>3836</v>
      </c>
      <c r="AG11" s="502">
        <v>250</v>
      </c>
      <c r="AH11" s="4">
        <v>44212</v>
      </c>
    </row>
    <row r="12" spans="1:34" s="10" customFormat="1" ht="25.5" hidden="1" customHeight="1">
      <c r="A12" s="87" t="s">
        <v>278</v>
      </c>
      <c r="B12" s="546"/>
      <c r="C12" s="546"/>
      <c r="D12" s="546"/>
      <c r="E12" s="94"/>
      <c r="H12" s="87"/>
      <c r="I12" s="4"/>
      <c r="J12" s="4"/>
      <c r="L12" s="87" t="s">
        <v>3833</v>
      </c>
      <c r="M12" s="4"/>
      <c r="N12" s="4">
        <v>1000</v>
      </c>
      <c r="P12" s="87" t="s">
        <v>3822</v>
      </c>
      <c r="Q12" s="502">
        <v>34000</v>
      </c>
      <c r="R12" s="4">
        <v>38000</v>
      </c>
      <c r="T12" s="87" t="s">
        <v>3826</v>
      </c>
      <c r="U12" s="502">
        <v>26738</v>
      </c>
      <c r="V12" s="4">
        <v>26738</v>
      </c>
      <c r="X12" s="534" t="s">
        <v>3835</v>
      </c>
      <c r="Y12" s="502">
        <v>1327.5</v>
      </c>
      <c r="Z12" s="4"/>
      <c r="AB12" s="534" t="s">
        <v>3817</v>
      </c>
      <c r="AC12" s="502">
        <f>193452.16+29580.58</f>
        <v>223032.74</v>
      </c>
      <c r="AD12" s="4">
        <f>287160.8+63514.91</f>
        <v>350675.70999999996</v>
      </c>
      <c r="AF12" s="534" t="s">
        <v>3822</v>
      </c>
      <c r="AG12" s="502">
        <f>470+375</f>
        <v>845</v>
      </c>
      <c r="AH12" s="4">
        <v>5450</v>
      </c>
    </row>
    <row r="13" spans="1:34" s="10" customFormat="1" ht="29.25" hidden="1" customHeight="1">
      <c r="A13" s="87" t="s">
        <v>278</v>
      </c>
      <c r="B13" s="534"/>
      <c r="C13" s="502"/>
      <c r="D13" s="502"/>
      <c r="E13" s="94"/>
      <c r="H13" s="87"/>
      <c r="I13" s="4"/>
      <c r="J13" s="4"/>
      <c r="L13" s="87" t="s">
        <v>3834</v>
      </c>
      <c r="M13" s="4">
        <v>13114.43</v>
      </c>
      <c r="N13" s="4">
        <f>12113.64-749-440</f>
        <v>10924.64</v>
      </c>
      <c r="P13" s="87" t="s">
        <v>3833</v>
      </c>
      <c r="Q13" s="502"/>
      <c r="R13" s="4">
        <v>6000</v>
      </c>
      <c r="T13" s="87" t="s">
        <v>3723</v>
      </c>
      <c r="U13" s="502">
        <f>77352-500-4500-4800+2810.32+2443.49+70+2486.19+2124+425</f>
        <v>77911.000000000015</v>
      </c>
      <c r="V13" s="4">
        <v>106926</v>
      </c>
      <c r="X13" s="534" t="s">
        <v>3723</v>
      </c>
      <c r="Y13" s="502">
        <f>40297-5200+350326.09-5441.22-123946.91-126506.76-10000-1050-28264.52+5620+250</f>
        <v>96083.680000000051</v>
      </c>
      <c r="Z13" s="4">
        <f>45746.68+11370</f>
        <v>57116.68</v>
      </c>
      <c r="AB13" s="534" t="s">
        <v>3814</v>
      </c>
      <c r="AC13" s="502">
        <v>1327.5</v>
      </c>
      <c r="AD13" s="4">
        <v>211.9</v>
      </c>
      <c r="AF13" s="534" t="s">
        <v>3817</v>
      </c>
      <c r="AG13" s="502">
        <v>53965.16</v>
      </c>
      <c r="AH13" s="4">
        <v>14559</v>
      </c>
    </row>
    <row r="14" spans="1:34" s="10" customFormat="1" ht="42" hidden="1" customHeight="1">
      <c r="A14" s="87" t="s">
        <v>278</v>
      </c>
      <c r="B14" s="534"/>
      <c r="C14" s="502"/>
      <c r="D14" s="502"/>
      <c r="E14" s="94"/>
      <c r="H14" s="87"/>
      <c r="I14" s="4"/>
      <c r="J14" s="4"/>
      <c r="L14" s="87" t="s">
        <v>3832</v>
      </c>
      <c r="M14" s="4"/>
      <c r="N14" s="4">
        <v>3000</v>
      </c>
      <c r="P14" s="87" t="s">
        <v>3831</v>
      </c>
      <c r="Q14" s="502">
        <f>124767.11</f>
        <v>124767.11</v>
      </c>
      <c r="R14" s="4">
        <f>138818.98-9663.8-3100-1200</f>
        <v>124855.18000000001</v>
      </c>
      <c r="T14" s="540" t="s">
        <v>3809</v>
      </c>
      <c r="U14" s="502">
        <v>423</v>
      </c>
      <c r="V14" s="4">
        <v>423</v>
      </c>
      <c r="X14" s="534" t="s">
        <v>3830</v>
      </c>
      <c r="Y14" s="502">
        <v>2212.5</v>
      </c>
      <c r="Z14" s="4"/>
      <c r="AB14" s="534" t="s">
        <v>3723</v>
      </c>
      <c r="AC14" s="502">
        <f>13205+10860+20147+85307.45</f>
        <v>129519.45</v>
      </c>
      <c r="AD14" s="4">
        <v>131737.4</v>
      </c>
      <c r="AF14" s="534" t="s">
        <v>3829</v>
      </c>
      <c r="AG14" s="502">
        <v>4453.5</v>
      </c>
      <c r="AH14" s="4">
        <v>4453.5</v>
      </c>
    </row>
    <row r="15" spans="1:34" s="10" customFormat="1" ht="30.75" hidden="1" customHeight="1">
      <c r="A15" s="87" t="s">
        <v>278</v>
      </c>
      <c r="B15" s="534"/>
      <c r="C15" s="502"/>
      <c r="D15" s="502"/>
      <c r="E15" s="94"/>
      <c r="H15" s="87"/>
      <c r="I15" s="4"/>
      <c r="J15" s="4"/>
      <c r="L15" s="87" t="s">
        <v>3723</v>
      </c>
      <c r="M15" s="4">
        <f>54000+600</f>
        <v>54600</v>
      </c>
      <c r="N15" s="4">
        <v>9850</v>
      </c>
      <c r="P15" s="87" t="s">
        <v>3826</v>
      </c>
      <c r="Q15" s="502">
        <v>14413</v>
      </c>
      <c r="R15" s="4">
        <v>14413</v>
      </c>
      <c r="T15" s="540" t="s">
        <v>3825</v>
      </c>
      <c r="U15" s="502">
        <f>21375+750-750-1750-3125+2866.25</f>
        <v>19366.25</v>
      </c>
      <c r="V15" s="4">
        <v>32866.25</v>
      </c>
      <c r="X15" s="534" t="s">
        <v>3825</v>
      </c>
      <c r="Y15" s="502">
        <f>13963.49-4589</f>
        <v>9374.49</v>
      </c>
      <c r="Z15" s="4">
        <v>9375</v>
      </c>
      <c r="AB15" s="534" t="s">
        <v>3828</v>
      </c>
      <c r="AC15" s="502"/>
      <c r="AD15" s="4">
        <v>6823</v>
      </c>
      <c r="AF15" s="534" t="s">
        <v>3723</v>
      </c>
      <c r="AG15" s="502">
        <v>947.8</v>
      </c>
      <c r="AH15" s="4">
        <v>14878.57</v>
      </c>
    </row>
    <row r="16" spans="1:34" s="10" customFormat="1" ht="19.5" hidden="1" customHeight="1">
      <c r="A16" s="87" t="s">
        <v>278</v>
      </c>
      <c r="B16" s="534"/>
      <c r="C16" s="502"/>
      <c r="D16" s="502"/>
      <c r="E16" s="94"/>
      <c r="H16" s="87"/>
      <c r="I16" s="4"/>
      <c r="J16" s="4"/>
      <c r="L16" s="540" t="s">
        <v>3827</v>
      </c>
      <c r="M16" s="4">
        <v>200</v>
      </c>
      <c r="N16" s="4">
        <v>200</v>
      </c>
      <c r="P16" s="87" t="s">
        <v>3723</v>
      </c>
      <c r="Q16" s="502">
        <f>2165.24+2249.1+2464.3+495.72+2148.28+2013.48+2059.53+2338.97</f>
        <v>15934.62</v>
      </c>
      <c r="R16" s="4">
        <f>310956-233803</f>
        <v>77153</v>
      </c>
      <c r="T16" s="87" t="s">
        <v>3789</v>
      </c>
      <c r="U16" s="4">
        <v>1750</v>
      </c>
      <c r="V16" s="502">
        <v>1750</v>
      </c>
      <c r="X16" s="534" t="s">
        <v>3805</v>
      </c>
      <c r="Y16" s="4">
        <v>1000</v>
      </c>
      <c r="Z16" s="502"/>
      <c r="AB16" s="534" t="s">
        <v>3807</v>
      </c>
      <c r="AC16" s="502">
        <f>57450.55+630+5250+3100+59112.5+4800+10000+6500+6000</f>
        <v>152843.04999999999</v>
      </c>
      <c r="AD16" s="4">
        <f>67293.5+18392.05+625</f>
        <v>86310.55</v>
      </c>
      <c r="AF16" s="534" t="s">
        <v>3787</v>
      </c>
      <c r="AG16" s="502">
        <v>9454.6200000000008</v>
      </c>
      <c r="AH16" s="4">
        <v>9454.6200000000008</v>
      </c>
    </row>
    <row r="17" spans="1:40" s="10" customFormat="1" ht="17.25" customHeight="1">
      <c r="A17" s="98" t="s">
        <v>331</v>
      </c>
      <c r="B17" s="534" t="s">
        <v>3826</v>
      </c>
      <c r="C17" s="502">
        <f>14413+26738</f>
        <v>41151</v>
      </c>
      <c r="D17" s="502">
        <f>R15+V12</f>
        <v>41151</v>
      </c>
      <c r="E17" s="94"/>
      <c r="H17" s="87" t="s">
        <v>3722</v>
      </c>
      <c r="I17" s="4">
        <v>150</v>
      </c>
      <c r="J17" s="4">
        <v>150</v>
      </c>
      <c r="L17" s="540" t="s">
        <v>3825</v>
      </c>
      <c r="M17" s="4">
        <v>14125</v>
      </c>
      <c r="N17" s="4">
        <v>1500</v>
      </c>
      <c r="P17" s="540" t="s">
        <v>3809</v>
      </c>
      <c r="Q17" s="502">
        <v>423</v>
      </c>
      <c r="R17" s="4">
        <v>423</v>
      </c>
      <c r="T17" s="87" t="s">
        <v>3803</v>
      </c>
      <c r="U17" s="4"/>
      <c r="V17" s="502">
        <v>900</v>
      </c>
      <c r="X17" s="534" t="s">
        <v>3803</v>
      </c>
      <c r="Y17" s="4"/>
      <c r="Z17" s="502"/>
      <c r="AB17" s="534" t="s">
        <v>3805</v>
      </c>
      <c r="AC17" s="4"/>
      <c r="AD17" s="502">
        <v>1000</v>
      </c>
      <c r="AF17" s="534" t="s">
        <v>3807</v>
      </c>
      <c r="AG17" s="502">
        <v>625</v>
      </c>
      <c r="AH17" s="4">
        <v>71770.25</v>
      </c>
    </row>
    <row r="18" spans="1:40" s="10" customFormat="1" ht="18" customHeight="1">
      <c r="A18" s="98" t="s">
        <v>332</v>
      </c>
      <c r="B18" s="534" t="s">
        <v>3815</v>
      </c>
      <c r="C18" s="502"/>
      <c r="D18" s="545">
        <f>AD10+AH21-7650-41710</f>
        <v>613</v>
      </c>
      <c r="E18" s="94"/>
      <c r="H18" s="87" t="s">
        <v>3810</v>
      </c>
      <c r="I18" s="4"/>
      <c r="J18" s="4">
        <v>100000</v>
      </c>
      <c r="L18" s="540" t="s">
        <v>3785</v>
      </c>
      <c r="M18" s="4">
        <v>2000</v>
      </c>
      <c r="N18" s="4">
        <v>2000</v>
      </c>
      <c r="P18" s="540" t="s">
        <v>3825</v>
      </c>
      <c r="Q18" s="502">
        <f>77375.8-5250-1875</f>
        <v>70250.8</v>
      </c>
      <c r="R18" s="4">
        <v>69375.8</v>
      </c>
      <c r="T18" s="87" t="s">
        <v>3783</v>
      </c>
      <c r="U18" s="4">
        <v>220</v>
      </c>
      <c r="V18" s="502">
        <v>220</v>
      </c>
      <c r="X18" s="534" t="s">
        <v>3801</v>
      </c>
      <c r="Y18" s="4">
        <v>801750</v>
      </c>
      <c r="Z18" s="502"/>
      <c r="AB18" s="534" t="s">
        <v>3803</v>
      </c>
      <c r="AC18" s="4">
        <v>900</v>
      </c>
      <c r="AD18" s="502"/>
      <c r="AF18" s="534" t="s">
        <v>3799</v>
      </c>
      <c r="AG18" s="502">
        <f>83174.66+200+300</f>
        <v>83674.66</v>
      </c>
      <c r="AH18" s="4">
        <v>136928.79</v>
      </c>
    </row>
    <row r="19" spans="1:40" s="10" customFormat="1" ht="33" customHeight="1">
      <c r="A19" s="98" t="s">
        <v>3824</v>
      </c>
      <c r="B19" s="534" t="s">
        <v>3822</v>
      </c>
      <c r="C19" s="502">
        <f>50+9400+34000+9300+9473+49205+845+180</f>
        <v>112453</v>
      </c>
      <c r="D19" s="502">
        <f>50+N11+R12+V10+Z10+AD11+AH12+375</f>
        <v>80572.5</v>
      </c>
      <c r="E19" s="94"/>
      <c r="G19" s="541">
        <f>C19-D19</f>
        <v>31880.5</v>
      </c>
      <c r="I19" s="541">
        <f>SUM(I10:I18)</f>
        <v>7770</v>
      </c>
      <c r="J19" s="541">
        <f>SUM(J10:J18)</f>
        <v>107770</v>
      </c>
      <c r="L19" s="540" t="s">
        <v>3819</v>
      </c>
      <c r="M19" s="4">
        <f>5610+6210+23777+11260+18500+4030</f>
        <v>69387</v>
      </c>
      <c r="N19" s="4">
        <v>35597</v>
      </c>
      <c r="P19" s="540" t="s">
        <v>3791</v>
      </c>
      <c r="Q19" s="502">
        <f>63876-56750.8-5250</f>
        <v>1875.1999999999971</v>
      </c>
      <c r="R19" s="4">
        <v>1875</v>
      </c>
      <c r="T19" s="540" t="s">
        <v>3823</v>
      </c>
      <c r="U19" s="4">
        <f>3125+750</f>
        <v>3875</v>
      </c>
      <c r="V19" s="4">
        <f>61973.45+3125</f>
        <v>65098.45</v>
      </c>
      <c r="X19" s="534" t="s">
        <v>3799</v>
      </c>
      <c r="Y19" s="4">
        <f>13963.49-9374+123946.91+126506.76+10000+4750</f>
        <v>269793.16000000003</v>
      </c>
      <c r="Z19" s="4">
        <f>265966.2+63773.38</f>
        <v>329739.58</v>
      </c>
      <c r="AB19" s="534" t="s">
        <v>3801</v>
      </c>
      <c r="AC19" s="4"/>
      <c r="AD19" s="502">
        <v>762562.5</v>
      </c>
      <c r="AF19" s="534" t="s">
        <v>3795</v>
      </c>
      <c r="AG19" s="4">
        <v>226350</v>
      </c>
      <c r="AH19" s="4">
        <f>74750-42135+293660-163200</f>
        <v>163075</v>
      </c>
      <c r="AL19" s="534" t="s">
        <v>3822</v>
      </c>
      <c r="AM19" s="502">
        <v>180</v>
      </c>
      <c r="AN19" s="502">
        <v>375</v>
      </c>
    </row>
    <row r="20" spans="1:40" s="10" customFormat="1" ht="18.75" customHeight="1">
      <c r="A20" s="98" t="s">
        <v>3821</v>
      </c>
      <c r="B20" s="534" t="s">
        <v>3817</v>
      </c>
      <c r="C20" s="502">
        <f>7875+8713+13114+10864+124767+18651+266454+223033+53965-28489+8250</f>
        <v>707197</v>
      </c>
      <c r="D20" s="502">
        <f>10463+8713+N13+R11+R14+V11+Z11+AD12+AH13+AD15+44356</f>
        <v>745890.66999999993</v>
      </c>
      <c r="E20" s="94"/>
      <c r="G20" s="541">
        <f>C20-D20</f>
        <v>-38693.669999999925</v>
      </c>
      <c r="L20" s="540" t="s">
        <v>3820</v>
      </c>
      <c r="M20" s="4">
        <v>5310</v>
      </c>
      <c r="N20" s="4">
        <v>5310</v>
      </c>
      <c r="P20" s="540" t="s">
        <v>3819</v>
      </c>
      <c r="Q20" s="502">
        <v>229028</v>
      </c>
      <c r="R20" s="502">
        <v>233803</v>
      </c>
      <c r="U20" s="541">
        <f>SUM(U10:U19)</f>
        <v>158234.51</v>
      </c>
      <c r="V20" s="541">
        <f>SUM(V10:V19)</f>
        <v>254422.32</v>
      </c>
      <c r="X20" s="538" t="s">
        <v>3797</v>
      </c>
      <c r="Y20" s="539">
        <v>5441.22</v>
      </c>
      <c r="Z20" s="543">
        <f>5441.22+13649.06</f>
        <v>19090.28</v>
      </c>
      <c r="AB20" s="534" t="s">
        <v>3799</v>
      </c>
      <c r="AC20" s="4">
        <f>250+165700.6+51500.37+56326.36+3000</f>
        <v>276777.33</v>
      </c>
      <c r="AD20" s="4">
        <f>94915.31</f>
        <v>94915.31</v>
      </c>
      <c r="AF20" s="534" t="s">
        <v>3818</v>
      </c>
      <c r="AG20" s="4"/>
      <c r="AH20" s="502">
        <v>30600</v>
      </c>
      <c r="AL20" s="534" t="s">
        <v>3817</v>
      </c>
      <c r="AM20" s="502">
        <f>7850+400</f>
        <v>8250</v>
      </c>
      <c r="AN20" s="502">
        <f>43956.16+400</f>
        <v>44356.160000000003</v>
      </c>
    </row>
    <row r="21" spans="1:40" s="10" customFormat="1" ht="36.75" customHeight="1">
      <c r="A21" s="98" t="s">
        <v>3816</v>
      </c>
      <c r="B21" s="534" t="s">
        <v>3814</v>
      </c>
      <c r="C21" s="502">
        <f>214+1328+1328+212+1328</f>
        <v>4410</v>
      </c>
      <c r="D21" s="502">
        <f>R10+AD13</f>
        <v>4408.3999999999996</v>
      </c>
      <c r="E21" s="94"/>
      <c r="H21" s="544"/>
      <c r="L21" s="540" t="s">
        <v>3729</v>
      </c>
      <c r="M21" s="4">
        <v>750</v>
      </c>
      <c r="N21" s="4"/>
      <c r="P21" s="540" t="s">
        <v>3727</v>
      </c>
      <c r="Q21" s="502">
        <v>5541.04</v>
      </c>
      <c r="R21" s="4">
        <v>5541.04</v>
      </c>
      <c r="Y21" s="541">
        <f>SUM(Y10:Y20)</f>
        <v>1462908.7900000003</v>
      </c>
      <c r="Z21" s="541">
        <f>SUM(Z10:Z20)</f>
        <v>578528.26</v>
      </c>
      <c r="AB21" s="538" t="s">
        <v>3797</v>
      </c>
      <c r="AC21" s="539">
        <v>5498.09</v>
      </c>
      <c r="AD21" s="543">
        <v>19269.28</v>
      </c>
      <c r="AF21" s="87" t="s">
        <v>3815</v>
      </c>
      <c r="AG21" s="4"/>
      <c r="AH21" s="502">
        <v>42135</v>
      </c>
      <c r="AL21" s="534" t="s">
        <v>3814</v>
      </c>
      <c r="AM21" s="502">
        <v>1327.5</v>
      </c>
      <c r="AN21" s="502"/>
    </row>
    <row r="22" spans="1:40" s="10" customFormat="1" ht="27.75" customHeight="1">
      <c r="A22" s="98" t="s">
        <v>3813</v>
      </c>
      <c r="B22" s="534" t="s">
        <v>3723</v>
      </c>
      <c r="C22" s="502">
        <f>54600+69387+5310+2338+15935+229028+77911+96084+129519+250+948+28489+199</f>
        <v>709998</v>
      </c>
      <c r="D22" s="502">
        <f>N15+N19+N20+R16+R20+V13+Z13+AD14+AH11+AH15+449</f>
        <v>717032.65</v>
      </c>
      <c r="E22" s="94"/>
      <c r="G22" s="541">
        <f>C22-D22</f>
        <v>-7034.6500000000233</v>
      </c>
      <c r="H22" s="542"/>
      <c r="L22" s="540" t="s">
        <v>3812</v>
      </c>
      <c r="M22" s="4">
        <f>216+2122.17</f>
        <v>2338.17</v>
      </c>
      <c r="N22" s="4"/>
      <c r="P22" s="540" t="s">
        <v>3729</v>
      </c>
      <c r="Q22" s="4">
        <f>63876-56750.8-1875</f>
        <v>5250.1999999999971</v>
      </c>
      <c r="R22" s="4"/>
      <c r="AB22" s="540" t="s">
        <v>3795</v>
      </c>
      <c r="AC22" s="4">
        <v>380950</v>
      </c>
      <c r="AD22" s="4"/>
      <c r="AG22" s="541">
        <f>SUM(AG10:AG21)</f>
        <v>380777.64</v>
      </c>
      <c r="AH22" s="541">
        <f>SUM(AH10:AH21)</f>
        <v>537516.73</v>
      </c>
      <c r="AL22" s="534" t="s">
        <v>3723</v>
      </c>
      <c r="AM22" s="502">
        <v>198.7</v>
      </c>
      <c r="AN22" s="502">
        <v>448.7</v>
      </c>
    </row>
    <row r="23" spans="1:40" s="10" customFormat="1" ht="33" customHeight="1">
      <c r="A23" s="98" t="s">
        <v>3811</v>
      </c>
      <c r="B23" s="534" t="s">
        <v>3809</v>
      </c>
      <c r="C23" s="502">
        <f>1125+1875+6750+423+423</f>
        <v>10596</v>
      </c>
      <c r="D23" s="502">
        <f>1125+1875+6750+R17+V14</f>
        <v>10596</v>
      </c>
      <c r="E23" s="94"/>
      <c r="M23" s="541">
        <f>SUM(M10:M22)</f>
        <v>308532.34999999998</v>
      </c>
      <c r="N23" s="541">
        <f>SUM(N10:N22)</f>
        <v>108589.39</v>
      </c>
      <c r="P23" s="540" t="s">
        <v>3810</v>
      </c>
      <c r="Q23" s="4"/>
      <c r="R23" s="4">
        <v>53100</v>
      </c>
      <c r="AB23" s="540" t="s">
        <v>3793</v>
      </c>
      <c r="AC23" s="4">
        <v>92040</v>
      </c>
      <c r="AD23" s="4"/>
      <c r="AL23" s="534" t="s">
        <v>3809</v>
      </c>
      <c r="AM23" s="502"/>
      <c r="AN23" s="502"/>
    </row>
    <row r="24" spans="1:40" s="3" customFormat="1" ht="90">
      <c r="A24" s="98" t="s">
        <v>3808</v>
      </c>
      <c r="B24" s="534" t="s">
        <v>3807</v>
      </c>
      <c r="C24" s="502">
        <f>500+200+22247+14125+70251+19366+9374+152843+4454+625+Y14</f>
        <v>296197.5</v>
      </c>
      <c r="D24" s="502">
        <f>22247+200+N17+R18+V15+Z15+AD16+AH14+AH17+N14+1750</f>
        <v>302848.34999999998</v>
      </c>
      <c r="E24" s="95"/>
      <c r="F24" s="535"/>
      <c r="G24" s="535">
        <f>C24-D24</f>
        <v>-6650.8499999999767</v>
      </c>
      <c r="Q24" s="535">
        <f>SUM(Q10:Q23)</f>
        <v>512560.77</v>
      </c>
      <c r="R24" s="535">
        <f>SUM(R10:R23)</f>
        <v>639599.32000000007</v>
      </c>
      <c r="AC24" s="535">
        <f>SUM(AC10:AC23)</f>
        <v>1312093.4100000001</v>
      </c>
      <c r="AD24" s="535">
        <f>SUM(AD10:AD23)</f>
        <v>1477091.1500000001</v>
      </c>
      <c r="AL24" s="534" t="s">
        <v>3807</v>
      </c>
      <c r="AM24" s="502"/>
      <c r="AN24" s="502">
        <v>1750</v>
      </c>
    </row>
    <row r="25" spans="1:40" s="3" customFormat="1" ht="60">
      <c r="A25" s="98" t="s">
        <v>3806</v>
      </c>
      <c r="B25" s="534" t="s">
        <v>3805</v>
      </c>
      <c r="C25" s="502">
        <v>1000</v>
      </c>
      <c r="D25" s="502">
        <f>AD17</f>
        <v>1000</v>
      </c>
      <c r="E25" s="95"/>
      <c r="AL25" s="534" t="s">
        <v>3805</v>
      </c>
      <c r="AM25" s="502"/>
      <c r="AN25" s="502"/>
    </row>
    <row r="26" spans="1:40" s="3" customFormat="1" ht="30">
      <c r="A26" s="98" t="s">
        <v>3804</v>
      </c>
      <c r="B26" s="534" t="s">
        <v>3803</v>
      </c>
      <c r="C26" s="502">
        <f>150+900</f>
        <v>1050</v>
      </c>
      <c r="D26" s="502">
        <f>J17+V17</f>
        <v>1050</v>
      </c>
      <c r="E26" s="95"/>
      <c r="AL26" s="534" t="s">
        <v>3803</v>
      </c>
      <c r="AM26" s="502"/>
      <c r="AN26" s="502"/>
    </row>
    <row r="27" spans="1:40" s="3" customFormat="1" ht="30">
      <c r="A27" s="98" t="s">
        <v>3802</v>
      </c>
      <c r="B27" s="534" t="s">
        <v>3801</v>
      </c>
      <c r="C27" s="502">
        <f>3750+801750-937.5</f>
        <v>804562.5</v>
      </c>
      <c r="D27" s="502">
        <f>3750+AD19+AH20+7650</f>
        <v>804562.5</v>
      </c>
      <c r="E27" s="95"/>
      <c r="F27" s="535"/>
      <c r="G27" s="535">
        <v>800812.5</v>
      </c>
      <c r="H27" s="535">
        <f>G27-D27</f>
        <v>-3750</v>
      </c>
      <c r="J27" s="535"/>
      <c r="AL27" s="534" t="s">
        <v>3801</v>
      </c>
      <c r="AM27" s="502"/>
      <c r="AN27" s="502"/>
    </row>
    <row r="28" spans="1:40" s="3" customFormat="1" ht="60">
      <c r="A28" s="98" t="s">
        <v>3800</v>
      </c>
      <c r="B28" s="534" t="s">
        <v>3799</v>
      </c>
      <c r="C28" s="502">
        <f>750+5250+3875+269793+276777+83675</f>
        <v>640120</v>
      </c>
      <c r="D28" s="502">
        <f>V19+Z19+AD20+AH18+N12+R13+500</f>
        <v>634182.13</v>
      </c>
      <c r="E28" s="95"/>
      <c r="G28" s="535">
        <f>C28-D28</f>
        <v>5937.8699999999953</v>
      </c>
      <c r="AL28" s="534" t="s">
        <v>3799</v>
      </c>
      <c r="AM28" s="502"/>
      <c r="AN28" s="502">
        <v>500</v>
      </c>
    </row>
    <row r="29" spans="1:40" s="3" customFormat="1" ht="30">
      <c r="A29" s="98" t="s">
        <v>3798</v>
      </c>
      <c r="B29" s="538" t="s">
        <v>3797</v>
      </c>
      <c r="C29" s="539">
        <f>5541+5441.2+5498.1+33106</f>
        <v>49586.3</v>
      </c>
      <c r="D29" s="536">
        <f>R21+Z20+AD21+5685</f>
        <v>49585.599999999999</v>
      </c>
      <c r="E29" s="95"/>
      <c r="AL29" s="538" t="s">
        <v>3797</v>
      </c>
      <c r="AM29" s="537">
        <f>5685.48+27420.25</f>
        <v>33105.729999999996</v>
      </c>
      <c r="AN29" s="536">
        <v>5685.48</v>
      </c>
    </row>
    <row r="30" spans="1:40" s="3" customFormat="1" ht="90">
      <c r="A30" s="98" t="s">
        <v>3796</v>
      </c>
      <c r="B30" s="534" t="s">
        <v>3795</v>
      </c>
      <c r="C30" s="502">
        <f>7950+8150+380950+226350-10025</f>
        <v>613375</v>
      </c>
      <c r="D30" s="502">
        <f>7950+8150+AH19+392490+41710</f>
        <v>613375</v>
      </c>
      <c r="E30" s="95"/>
      <c r="AJ30" s="535"/>
      <c r="AL30" s="534" t="s">
        <v>3795</v>
      </c>
      <c r="AM30" s="502">
        <v>-10025</v>
      </c>
      <c r="AN30" s="502">
        <f>45130+309000-309000+347360</f>
        <v>392490</v>
      </c>
    </row>
    <row r="31" spans="1:40" s="3" customFormat="1" ht="30">
      <c r="A31" s="98" t="s">
        <v>3794</v>
      </c>
      <c r="B31" s="534" t="s">
        <v>3793</v>
      </c>
      <c r="C31" s="502">
        <f>137308+92040</f>
        <v>229348</v>
      </c>
      <c r="D31" s="502">
        <f>J18+N10+R23</f>
        <v>190407.75</v>
      </c>
      <c r="E31" s="95"/>
      <c r="AL31" s="534" t="s">
        <v>3793</v>
      </c>
      <c r="AM31" s="502"/>
      <c r="AN31" s="502"/>
    </row>
    <row r="32" spans="1:40" s="3" customFormat="1" ht="45">
      <c r="A32" s="98" t="s">
        <v>3792</v>
      </c>
      <c r="B32" s="534" t="s">
        <v>3791</v>
      </c>
      <c r="C32" s="502">
        <f>1875</f>
        <v>1875</v>
      </c>
      <c r="D32" s="502">
        <f>R19</f>
        <v>1875</v>
      </c>
      <c r="E32" s="95"/>
      <c r="AL32" s="534" t="s">
        <v>3791</v>
      </c>
      <c r="AM32" s="502"/>
      <c r="AN32" s="502"/>
    </row>
    <row r="33" spans="1:40" s="3" customFormat="1" ht="30">
      <c r="A33" s="98" t="s">
        <v>3790</v>
      </c>
      <c r="B33" s="534" t="s">
        <v>3789</v>
      </c>
      <c r="C33" s="502">
        <v>1750</v>
      </c>
      <c r="D33" s="502">
        <f>V16</f>
        <v>1750</v>
      </c>
      <c r="E33" s="95"/>
      <c r="AG33" s="33">
        <v>4135257</v>
      </c>
      <c r="AH33" s="34">
        <v>3695897</v>
      </c>
      <c r="AL33" s="534" t="s">
        <v>3789</v>
      </c>
      <c r="AM33" s="502"/>
      <c r="AN33" s="502"/>
    </row>
    <row r="34" spans="1:40" s="3" customFormat="1" ht="30">
      <c r="A34" s="98" t="s">
        <v>3788</v>
      </c>
      <c r="B34" s="534" t="s">
        <v>3787</v>
      </c>
      <c r="C34" s="502">
        <v>9455</v>
      </c>
      <c r="D34" s="502">
        <f>AH16</f>
        <v>9454.6200000000008</v>
      </c>
      <c r="E34" s="95"/>
      <c r="AG34" s="37">
        <v>7836</v>
      </c>
      <c r="AH34" s="40">
        <v>7836</v>
      </c>
      <c r="AL34" s="534" t="s">
        <v>3787</v>
      </c>
      <c r="AM34" s="502"/>
      <c r="AN34" s="502"/>
    </row>
    <row r="35" spans="1:40" s="3" customFormat="1" ht="30">
      <c r="A35" s="98" t="s">
        <v>3786</v>
      </c>
      <c r="B35" s="534" t="s">
        <v>3785</v>
      </c>
      <c r="C35" s="502">
        <f>2000</f>
        <v>2000</v>
      </c>
      <c r="D35" s="533">
        <f>N18</f>
        <v>2000</v>
      </c>
      <c r="E35" s="95"/>
      <c r="AG35" s="535">
        <f>SUM(AG33:AG34)</f>
        <v>4143093</v>
      </c>
      <c r="AH35" s="535">
        <f>SUM(AH33:AH34)</f>
        <v>3703733</v>
      </c>
      <c r="AL35" s="534" t="s">
        <v>3785</v>
      </c>
      <c r="AM35" s="502"/>
      <c r="AN35" s="533"/>
    </row>
    <row r="36" spans="1:40" s="3" customFormat="1" ht="30">
      <c r="A36" s="98" t="s">
        <v>3784</v>
      </c>
      <c r="B36" s="534" t="s">
        <v>3783</v>
      </c>
      <c r="C36" s="502">
        <f>200+220</f>
        <v>420</v>
      </c>
      <c r="D36" s="533">
        <f>N16+V18</f>
        <v>420</v>
      </c>
      <c r="E36" s="95"/>
      <c r="AG36" s="535"/>
      <c r="AH36" s="535"/>
      <c r="AL36" s="534" t="s">
        <v>3783</v>
      </c>
      <c r="AM36" s="502"/>
      <c r="AN36" s="533"/>
    </row>
    <row r="37" spans="1:40" s="3" customFormat="1" ht="30">
      <c r="A37" s="98" t="s">
        <v>3782</v>
      </c>
      <c r="B37" s="534" t="s">
        <v>3724</v>
      </c>
      <c r="C37" s="502"/>
      <c r="D37" s="533">
        <v>8925</v>
      </c>
      <c r="E37" s="95"/>
      <c r="AG37" s="535"/>
      <c r="AH37" s="535"/>
      <c r="AL37" s="534"/>
      <c r="AM37" s="502"/>
      <c r="AN37" s="533"/>
    </row>
    <row r="38" spans="1:40" ht="45">
      <c r="A38" s="99"/>
      <c r="B38" s="99" t="s">
        <v>335</v>
      </c>
      <c r="C38" s="86">
        <f>SUM(C10:C36)</f>
        <v>4244380.3</v>
      </c>
      <c r="D38" s="86">
        <f>SUM(D10:D37)</f>
        <v>4229536.17</v>
      </c>
      <c r="E38" s="96"/>
      <c r="AL38" s="534" t="s">
        <v>3724</v>
      </c>
      <c r="AM38" s="502"/>
      <c r="AN38" s="533">
        <f>8925</f>
        <v>8925</v>
      </c>
    </row>
    <row r="39" spans="1:40">
      <c r="A39" s="44"/>
      <c r="B39" s="44"/>
    </row>
    <row r="40" spans="1:40">
      <c r="A40" s="2" t="s">
        <v>435</v>
      </c>
      <c r="E40" s="391"/>
      <c r="AG40" s="532">
        <f>C38-AG35</f>
        <v>101287.29999999981</v>
      </c>
      <c r="AH40" s="532">
        <f>D38-AH35</f>
        <v>525803.16999999993</v>
      </c>
    </row>
    <row r="41" spans="1:40">
      <c r="A41" s="2" t="s">
        <v>419</v>
      </c>
      <c r="K41" s="33">
        <v>3754479</v>
      </c>
      <c r="L41" s="34">
        <v>3158380</v>
      </c>
    </row>
    <row r="42" spans="1:40">
      <c r="A42" s="215" t="s">
        <v>420</v>
      </c>
    </row>
    <row r="43" spans="1:40">
      <c r="A43" s="215"/>
    </row>
    <row r="44" spans="1:40">
      <c r="A44" s="215" t="s">
        <v>352</v>
      </c>
      <c r="K44" s="532">
        <f>K41-C38</f>
        <v>-489901.29999999981</v>
      </c>
      <c r="L44" s="532">
        <f>L41-D38</f>
        <v>-1071156.17</v>
      </c>
    </row>
    <row r="45" spans="1:40" s="23" customFormat="1" ht="12.75"/>
    <row r="46" spans="1:40">
      <c r="A46" s="69" t="s">
        <v>107</v>
      </c>
      <c r="E46" s="391"/>
    </row>
    <row r="47" spans="1:40">
      <c r="E47"/>
      <c r="F47"/>
      <c r="G47"/>
      <c r="H47"/>
      <c r="I47"/>
    </row>
    <row r="48" spans="1:40">
      <c r="D48" s="12"/>
      <c r="E48"/>
      <c r="F48"/>
      <c r="G48"/>
      <c r="H48"/>
      <c r="I48"/>
    </row>
    <row r="49" spans="1:9">
      <c r="A49" s="69"/>
      <c r="B49" s="69" t="s">
        <v>271</v>
      </c>
      <c r="D49" s="12"/>
      <c r="E49"/>
      <c r="F49"/>
      <c r="G49"/>
      <c r="H49"/>
      <c r="I49"/>
    </row>
    <row r="50" spans="1:9">
      <c r="B50" s="2" t="s">
        <v>270</v>
      </c>
      <c r="D50" s="12"/>
      <c r="E50"/>
      <c r="F50"/>
      <c r="G50"/>
      <c r="H50"/>
      <c r="I50"/>
    </row>
    <row r="51" spans="1:9" customFormat="1" ht="12.75">
      <c r="A51" s="66"/>
      <c r="B51" s="66" t="s">
        <v>139</v>
      </c>
    </row>
    <row r="52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3"/>
  <sheetViews>
    <sheetView view="pageBreakPreview" zoomScale="80" zoomScaleSheetLayoutView="80" workbookViewId="0">
      <selection activeCell="D36" sqref="D36"/>
    </sheetView>
  </sheetViews>
  <sheetFormatPr defaultRowHeight="12.75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3" width="0" style="185" hidden="1" customWidth="1"/>
    <col min="14" max="38" width="5.85546875" style="185" hidden="1" customWidth="1"/>
    <col min="39" max="52" width="0" style="185" hidden="1" customWidth="1"/>
    <col min="53" max="53" width="9.140625" style="185"/>
    <col min="54" max="56" width="0" style="185" hidden="1" customWidth="1"/>
    <col min="57" max="16384" width="9.140625" style="185"/>
  </cols>
  <sheetData>
    <row r="1" spans="1:56" ht="15">
      <c r="A1" s="74" t="s">
        <v>475</v>
      </c>
      <c r="B1" s="74"/>
      <c r="C1" s="77"/>
      <c r="D1" s="77"/>
      <c r="E1" s="77"/>
      <c r="F1" s="77"/>
      <c r="G1" s="392"/>
      <c r="H1" s="392"/>
      <c r="I1" s="763" t="s">
        <v>109</v>
      </c>
      <c r="J1" s="763"/>
      <c r="L1" s="185">
        <f>P:P+U:U+Y:Y+AC:AC+AG:AG+AJ:AJ+AO:AO</f>
        <v>0</v>
      </c>
      <c r="M1" s="185">
        <f>V:V+Z:Z+AD:AD+AH:AH+AK:AK</f>
        <v>0</v>
      </c>
    </row>
    <row r="2" spans="1:56" ht="15">
      <c r="A2" s="76" t="s">
        <v>140</v>
      </c>
      <c r="B2" s="74"/>
      <c r="C2" s="77"/>
      <c r="D2" s="77"/>
      <c r="E2" s="77"/>
      <c r="F2" s="77"/>
      <c r="G2" s="392"/>
      <c r="H2" s="392"/>
      <c r="I2" s="753" t="s">
        <v>515</v>
      </c>
      <c r="J2" s="754"/>
      <c r="L2" s="185">
        <f>P:P+U:U+Y:Y+AC:AC+AG:AG+AJ:AJ+AN:AN</f>
        <v>0</v>
      </c>
      <c r="M2" s="185">
        <f t="shared" ref="M2:M33" si="0">V:V+Z:Z+AD:AD+AH:AH+AK:AK+Q:Q</f>
        <v>0</v>
      </c>
    </row>
    <row r="3" spans="1:56" ht="15">
      <c r="A3" s="77" t="s">
        <v>274</v>
      </c>
      <c r="B3" s="77"/>
      <c r="C3" s="77"/>
      <c r="D3" s="77"/>
      <c r="E3" s="77"/>
      <c r="F3" s="77"/>
      <c r="G3" s="76"/>
      <c r="H3" s="76"/>
      <c r="I3" s="76"/>
      <c r="L3" s="185">
        <f t="shared" ref="L3:L33" si="1">P:P+U:U+Y:Y+AC:AC+AG:AG+AJ:AJ</f>
        <v>0</v>
      </c>
      <c r="M3" s="185">
        <f t="shared" si="0"/>
        <v>0</v>
      </c>
    </row>
    <row r="4" spans="1:56" ht="15">
      <c r="A4" s="80" t="str">
        <f>'[2]ფორმა N1'!D4</f>
        <v>მ.პ.გ. ქართული ოცნება - დემოკრატიული საქართველო</v>
      </c>
      <c r="B4" s="80"/>
      <c r="C4" s="80"/>
      <c r="D4" s="80"/>
      <c r="E4" s="80"/>
      <c r="F4" s="80"/>
      <c r="G4" s="81"/>
      <c r="H4" s="81"/>
      <c r="I4" s="81"/>
      <c r="L4" s="185">
        <f t="shared" si="1"/>
        <v>0</v>
      </c>
      <c r="M4" s="185">
        <f t="shared" si="0"/>
        <v>0</v>
      </c>
    </row>
    <row r="5" spans="1:56" ht="45">
      <c r="A5" s="90" t="s">
        <v>64</v>
      </c>
      <c r="B5" s="90" t="s">
        <v>340</v>
      </c>
      <c r="C5" s="90" t="s">
        <v>341</v>
      </c>
      <c r="D5" s="90" t="s">
        <v>227</v>
      </c>
      <c r="E5" s="90" t="s">
        <v>345</v>
      </c>
      <c r="F5" s="90" t="s">
        <v>349</v>
      </c>
      <c r="G5" s="79" t="s">
        <v>10</v>
      </c>
      <c r="H5" s="79" t="s">
        <v>9</v>
      </c>
      <c r="I5" s="79" t="s">
        <v>396</v>
      </c>
      <c r="J5" s="228" t="s">
        <v>348</v>
      </c>
      <c r="L5" s="185" t="e">
        <f t="shared" si="1"/>
        <v>#VALUE!</v>
      </c>
      <c r="M5" s="185" t="e">
        <f t="shared" si="0"/>
        <v>#VALUE!</v>
      </c>
      <c r="Q5" s="185" t="s">
        <v>3847</v>
      </c>
      <c r="U5" s="185" t="s">
        <v>3846</v>
      </c>
      <c r="Y5" s="185" t="s">
        <v>3845</v>
      </c>
      <c r="AC5" s="185" t="s">
        <v>3844</v>
      </c>
      <c r="AF5" s="185" t="s">
        <v>3843</v>
      </c>
    </row>
    <row r="6" spans="1:56" ht="45">
      <c r="A6" s="98">
        <v>1</v>
      </c>
      <c r="B6" s="516" t="s">
        <v>3730</v>
      </c>
      <c r="C6" s="516" t="s">
        <v>3731</v>
      </c>
      <c r="D6" s="517" t="s">
        <v>3732</v>
      </c>
      <c r="E6" s="98" t="s">
        <v>3733</v>
      </c>
      <c r="F6" s="98" t="s">
        <v>348</v>
      </c>
      <c r="G6" s="518">
        <f>10000+2500</f>
        <v>12500</v>
      </c>
      <c r="H6" s="518">
        <f>10000+AP6</f>
        <v>12500</v>
      </c>
      <c r="I6" s="518">
        <f>H6*0.2</f>
        <v>2500</v>
      </c>
      <c r="J6" s="228" t="s">
        <v>0</v>
      </c>
      <c r="L6" s="185">
        <f t="shared" si="1"/>
        <v>10000</v>
      </c>
      <c r="M6" s="185">
        <f t="shared" si="0"/>
        <v>10000</v>
      </c>
      <c r="O6" s="516" t="s">
        <v>3731</v>
      </c>
      <c r="P6" s="4"/>
      <c r="Q6" s="4">
        <v>2500</v>
      </c>
      <c r="R6" s="4">
        <v>500</v>
      </c>
      <c r="T6" s="516" t="s">
        <v>3731</v>
      </c>
      <c r="U6" s="4">
        <v>2500</v>
      </c>
      <c r="V6" s="502">
        <v>0</v>
      </c>
      <c r="X6" s="516" t="s">
        <v>3731</v>
      </c>
      <c r="Y6" s="502">
        <v>2500</v>
      </c>
      <c r="Z6" s="502">
        <v>2500</v>
      </c>
      <c r="AB6" s="516" t="s">
        <v>3731</v>
      </c>
      <c r="AC6" s="502">
        <v>0</v>
      </c>
      <c r="AD6" s="502">
        <v>2500</v>
      </c>
      <c r="AF6" s="516" t="s">
        <v>3731</v>
      </c>
      <c r="AG6" s="502">
        <v>2500</v>
      </c>
      <c r="AH6" s="502"/>
      <c r="AJ6" s="502">
        <v>2500</v>
      </c>
      <c r="AK6" s="502">
        <v>2500</v>
      </c>
      <c r="AN6" s="516" t="s">
        <v>3731</v>
      </c>
      <c r="AO6" s="502">
        <v>0</v>
      </c>
      <c r="AP6" s="502">
        <v>2500</v>
      </c>
      <c r="BB6" s="516" t="s">
        <v>3731</v>
      </c>
      <c r="BC6" s="502">
        <v>2500</v>
      </c>
      <c r="BD6" s="502"/>
    </row>
    <row r="7" spans="1:56" ht="45">
      <c r="A7" s="98">
        <v>2</v>
      </c>
      <c r="B7" s="516" t="s">
        <v>3734</v>
      </c>
      <c r="C7" s="516" t="s">
        <v>3735</v>
      </c>
      <c r="D7" s="517" t="s">
        <v>3736</v>
      </c>
      <c r="E7" s="98" t="s">
        <v>3737</v>
      </c>
      <c r="F7" s="98" t="s">
        <v>348</v>
      </c>
      <c r="G7" s="518">
        <f>5000+1250</f>
        <v>6250</v>
      </c>
      <c r="H7" s="518">
        <f>5000+AP7</f>
        <v>6250</v>
      </c>
      <c r="I7" s="518">
        <f t="shared" ref="I7:I33" si="2">H7*0.2</f>
        <v>1250</v>
      </c>
      <c r="L7" s="185">
        <f t="shared" si="1"/>
        <v>5000</v>
      </c>
      <c r="M7" s="185">
        <f t="shared" si="0"/>
        <v>5000</v>
      </c>
      <c r="O7" s="516" t="s">
        <v>3735</v>
      </c>
      <c r="P7" s="4"/>
      <c r="Q7" s="4">
        <v>1250</v>
      </c>
      <c r="R7" s="4">
        <v>250</v>
      </c>
      <c r="T7" s="516" t="s">
        <v>3735</v>
      </c>
      <c r="U7" s="4">
        <v>1250</v>
      </c>
      <c r="V7" s="502">
        <v>0</v>
      </c>
      <c r="X7" s="516" t="s">
        <v>3735</v>
      </c>
      <c r="Y7" s="502">
        <v>1250</v>
      </c>
      <c r="Z7" s="502">
        <v>1250</v>
      </c>
      <c r="AB7" s="516" t="s">
        <v>3735</v>
      </c>
      <c r="AC7" s="502">
        <v>0</v>
      </c>
      <c r="AD7" s="502">
        <v>1250</v>
      </c>
      <c r="AF7" s="516" t="s">
        <v>3735</v>
      </c>
      <c r="AG7" s="502">
        <v>1250</v>
      </c>
      <c r="AH7" s="502"/>
      <c r="AJ7" s="502">
        <v>1250</v>
      </c>
      <c r="AK7" s="502">
        <v>1250</v>
      </c>
      <c r="AN7" s="516" t="s">
        <v>3735</v>
      </c>
      <c r="AO7" s="502">
        <v>0</v>
      </c>
      <c r="AP7" s="502">
        <v>1250</v>
      </c>
      <c r="BB7" s="516" t="s">
        <v>3735</v>
      </c>
      <c r="BC7" s="502">
        <v>1250</v>
      </c>
      <c r="BD7" s="502"/>
    </row>
    <row r="8" spans="1:56" ht="45">
      <c r="A8" s="98">
        <v>3</v>
      </c>
      <c r="B8" s="516" t="s">
        <v>3738</v>
      </c>
      <c r="C8" s="516" t="s">
        <v>3739</v>
      </c>
      <c r="D8" s="517" t="s">
        <v>3740</v>
      </c>
      <c r="E8" s="98" t="s">
        <v>3741</v>
      </c>
      <c r="F8" s="98" t="s">
        <v>348</v>
      </c>
      <c r="G8" s="518">
        <f>20000+5000</f>
        <v>25000</v>
      </c>
      <c r="H8" s="518">
        <f>20000+AP8</f>
        <v>25000</v>
      </c>
      <c r="I8" s="518">
        <f t="shared" si="2"/>
        <v>5000</v>
      </c>
      <c r="L8" s="185">
        <f t="shared" si="1"/>
        <v>20000</v>
      </c>
      <c r="M8" s="185">
        <f t="shared" si="0"/>
        <v>20000</v>
      </c>
      <c r="O8" s="516" t="s">
        <v>3739</v>
      </c>
      <c r="P8" s="4"/>
      <c r="Q8" s="4">
        <v>5000</v>
      </c>
      <c r="R8" s="4">
        <v>1000</v>
      </c>
      <c r="T8" s="516" t="s">
        <v>3739</v>
      </c>
      <c r="U8" s="4">
        <v>5000</v>
      </c>
      <c r="V8" s="502">
        <v>0</v>
      </c>
      <c r="X8" s="516" t="s">
        <v>3739</v>
      </c>
      <c r="Y8" s="502">
        <v>5000</v>
      </c>
      <c r="Z8" s="502">
        <v>5000</v>
      </c>
      <c r="AB8" s="516" t="s">
        <v>3739</v>
      </c>
      <c r="AC8" s="502">
        <v>0</v>
      </c>
      <c r="AD8" s="502">
        <v>5000</v>
      </c>
      <c r="AF8" s="516" t="s">
        <v>3739</v>
      </c>
      <c r="AG8" s="502">
        <v>5000</v>
      </c>
      <c r="AH8" s="502"/>
      <c r="AJ8" s="502">
        <v>5000</v>
      </c>
      <c r="AK8" s="502">
        <v>5000</v>
      </c>
      <c r="AN8" s="516" t="s">
        <v>3739</v>
      </c>
      <c r="AO8" s="502">
        <v>0</v>
      </c>
      <c r="AP8" s="502">
        <v>5000</v>
      </c>
      <c r="BB8" s="516" t="s">
        <v>3739</v>
      </c>
      <c r="BC8" s="502">
        <v>5000</v>
      </c>
      <c r="BD8" s="502"/>
    </row>
    <row r="9" spans="1:56" ht="60">
      <c r="A9" s="98">
        <v>4</v>
      </c>
      <c r="B9" s="98" t="s">
        <v>3742</v>
      </c>
      <c r="C9" s="98" t="s">
        <v>3743</v>
      </c>
      <c r="D9" s="517" t="s">
        <v>1255</v>
      </c>
      <c r="E9" s="98" t="s">
        <v>3744</v>
      </c>
      <c r="F9" s="98" t="s">
        <v>348</v>
      </c>
      <c r="G9" s="518">
        <f>12625+3750</f>
        <v>16375</v>
      </c>
      <c r="H9" s="518">
        <f>12625+AP9</f>
        <v>16375</v>
      </c>
      <c r="I9" s="518">
        <f t="shared" si="2"/>
        <v>3275</v>
      </c>
      <c r="L9" s="185">
        <f t="shared" si="1"/>
        <v>12625</v>
      </c>
      <c r="M9" s="185">
        <f t="shared" si="0"/>
        <v>12625</v>
      </c>
      <c r="T9" s="98" t="s">
        <v>3743</v>
      </c>
      <c r="U9" s="4">
        <v>1375</v>
      </c>
      <c r="V9" s="4">
        <v>1375</v>
      </c>
      <c r="X9" s="98" t="s">
        <v>3743</v>
      </c>
      <c r="Y9" s="502">
        <v>3750</v>
      </c>
      <c r="Z9" s="502">
        <v>3750</v>
      </c>
      <c r="AB9" s="98" t="s">
        <v>3743</v>
      </c>
      <c r="AC9" s="502">
        <v>0</v>
      </c>
      <c r="AD9" s="502">
        <v>3750</v>
      </c>
      <c r="AF9" s="98" t="s">
        <v>3743</v>
      </c>
      <c r="AG9" s="502">
        <v>3750</v>
      </c>
      <c r="AH9" s="502"/>
      <c r="AJ9" s="502">
        <v>3750</v>
      </c>
      <c r="AK9" s="502">
        <v>3750</v>
      </c>
      <c r="AN9" s="98" t="s">
        <v>3743</v>
      </c>
      <c r="AO9" s="502">
        <v>0</v>
      </c>
      <c r="AP9" s="502">
        <v>3750</v>
      </c>
      <c r="BB9" s="98" t="s">
        <v>3743</v>
      </c>
      <c r="BC9" s="502">
        <v>3750</v>
      </c>
      <c r="BD9" s="502"/>
    </row>
    <row r="10" spans="1:56" ht="80.25" customHeight="1">
      <c r="A10" s="98">
        <v>5</v>
      </c>
      <c r="B10" s="98" t="s">
        <v>3848</v>
      </c>
      <c r="C10" s="98" t="s">
        <v>3849</v>
      </c>
      <c r="D10" s="98" t="s">
        <v>3850</v>
      </c>
      <c r="E10" s="98" t="s">
        <v>3851</v>
      </c>
      <c r="F10" s="98" t="s">
        <v>348</v>
      </c>
      <c r="G10" s="518">
        <f>5625+1875</f>
        <v>7500</v>
      </c>
      <c r="H10" s="518">
        <f>5625+AP10</f>
        <v>7500</v>
      </c>
      <c r="I10" s="518">
        <f t="shared" si="2"/>
        <v>1500</v>
      </c>
      <c r="L10" s="185">
        <f t="shared" si="1"/>
        <v>5625</v>
      </c>
      <c r="M10" s="185">
        <f t="shared" si="0"/>
        <v>5625</v>
      </c>
      <c r="O10"/>
      <c r="P10"/>
      <c r="Q10"/>
      <c r="R10" s="552"/>
      <c r="X10" s="98" t="s">
        <v>3849</v>
      </c>
      <c r="Y10" s="4">
        <v>1875</v>
      </c>
      <c r="Z10" s="4">
        <v>1875</v>
      </c>
      <c r="AB10" s="98" t="s">
        <v>3849</v>
      </c>
      <c r="AC10" s="502">
        <v>0</v>
      </c>
      <c r="AD10" s="502">
        <v>1875</v>
      </c>
      <c r="AF10" s="98" t="s">
        <v>3849</v>
      </c>
      <c r="AG10" s="502">
        <v>1875</v>
      </c>
      <c r="AH10" s="502"/>
      <c r="AJ10" s="502">
        <v>1875</v>
      </c>
      <c r="AK10" s="502">
        <v>1875</v>
      </c>
      <c r="AN10" s="98" t="s">
        <v>3849</v>
      </c>
      <c r="AO10" s="502">
        <v>0</v>
      </c>
      <c r="AP10" s="502">
        <v>1875</v>
      </c>
      <c r="BB10" s="98" t="s">
        <v>3849</v>
      </c>
      <c r="BC10" s="502">
        <v>1875</v>
      </c>
      <c r="BD10" s="502"/>
    </row>
    <row r="11" spans="1:56" ht="60">
      <c r="A11" s="98">
        <v>6</v>
      </c>
      <c r="B11" s="98" t="s">
        <v>3852</v>
      </c>
      <c r="C11" s="98" t="s">
        <v>3853</v>
      </c>
      <c r="D11" s="98" t="s">
        <v>3854</v>
      </c>
      <c r="E11" s="98" t="s">
        <v>3855</v>
      </c>
      <c r="F11" s="98" t="s">
        <v>348</v>
      </c>
      <c r="G11" s="518">
        <f>3750+1250</f>
        <v>5000</v>
      </c>
      <c r="H11" s="518">
        <f>3750+AP11</f>
        <v>5000</v>
      </c>
      <c r="I11" s="518">
        <f t="shared" si="2"/>
        <v>1000</v>
      </c>
      <c r="L11" s="185">
        <f t="shared" si="1"/>
        <v>3750</v>
      </c>
      <c r="M11" s="185">
        <f t="shared" si="0"/>
        <v>3750</v>
      </c>
      <c r="O11"/>
      <c r="P11"/>
      <c r="Q11"/>
      <c r="R11" s="552"/>
      <c r="X11" s="98" t="s">
        <v>3853</v>
      </c>
      <c r="Y11" s="4">
        <v>1250</v>
      </c>
      <c r="Z11" s="4">
        <v>1250</v>
      </c>
      <c r="AB11" s="98" t="s">
        <v>3853</v>
      </c>
      <c r="AC11" s="502">
        <v>0</v>
      </c>
      <c r="AD11" s="502">
        <v>1250</v>
      </c>
      <c r="AF11" s="98" t="s">
        <v>3853</v>
      </c>
      <c r="AG11" s="502">
        <v>1250</v>
      </c>
      <c r="AH11" s="502"/>
      <c r="AJ11" s="502">
        <v>1250</v>
      </c>
      <c r="AK11" s="502">
        <v>1250</v>
      </c>
      <c r="AN11" s="98" t="s">
        <v>3853</v>
      </c>
      <c r="AO11" s="502">
        <v>0</v>
      </c>
      <c r="AP11" s="502">
        <v>1250</v>
      </c>
      <c r="BB11" s="98" t="s">
        <v>3853</v>
      </c>
      <c r="BC11" s="502">
        <v>1250</v>
      </c>
      <c r="BD11" s="502"/>
    </row>
    <row r="12" spans="1:56" ht="30">
      <c r="A12" s="98">
        <v>7</v>
      </c>
      <c r="B12" s="98" t="s">
        <v>3856</v>
      </c>
      <c r="C12" s="98" t="s">
        <v>3857</v>
      </c>
      <c r="D12" s="98" t="s">
        <v>3858</v>
      </c>
      <c r="E12" s="553" t="s">
        <v>3859</v>
      </c>
      <c r="F12" s="98" t="s">
        <v>348</v>
      </c>
      <c r="G12" s="518">
        <f>7500+2500</f>
        <v>10000</v>
      </c>
      <c r="H12" s="518">
        <f>7500+AP12</f>
        <v>10000</v>
      </c>
      <c r="I12" s="518">
        <f t="shared" si="2"/>
        <v>2000</v>
      </c>
      <c r="L12" s="185">
        <f t="shared" si="1"/>
        <v>7500</v>
      </c>
      <c r="M12" s="185">
        <f t="shared" si="0"/>
        <v>7500</v>
      </c>
      <c r="O12"/>
      <c r="P12"/>
      <c r="Q12"/>
      <c r="R12" s="552"/>
      <c r="X12" s="98" t="s">
        <v>3857</v>
      </c>
      <c r="Y12" s="4">
        <v>2500</v>
      </c>
      <c r="Z12" s="4">
        <v>2500</v>
      </c>
      <c r="AB12" s="98" t="s">
        <v>3857</v>
      </c>
      <c r="AC12" s="502">
        <v>0</v>
      </c>
      <c r="AD12" s="502">
        <v>2500</v>
      </c>
      <c r="AF12" s="98" t="s">
        <v>3857</v>
      </c>
      <c r="AG12" s="502">
        <v>2500</v>
      </c>
      <c r="AH12" s="502"/>
      <c r="AJ12" s="502">
        <v>2500</v>
      </c>
      <c r="AK12" s="502">
        <v>2500</v>
      </c>
      <c r="AN12" s="98" t="s">
        <v>3857</v>
      </c>
      <c r="AO12" s="502">
        <v>0</v>
      </c>
      <c r="AP12" s="502">
        <v>2500</v>
      </c>
      <c r="BB12" s="98" t="s">
        <v>3857</v>
      </c>
      <c r="BC12" s="502">
        <v>2500</v>
      </c>
      <c r="BD12" s="502"/>
    </row>
    <row r="13" spans="1:56" ht="60">
      <c r="A13" s="98">
        <v>8</v>
      </c>
      <c r="B13" s="98" t="s">
        <v>3848</v>
      </c>
      <c r="C13" s="98" t="s">
        <v>3860</v>
      </c>
      <c r="D13" s="98" t="s">
        <v>3861</v>
      </c>
      <c r="E13" s="98" t="s">
        <v>3862</v>
      </c>
      <c r="F13" s="98" t="s">
        <v>348</v>
      </c>
      <c r="G13" s="518">
        <f>5625+1875</f>
        <v>7500</v>
      </c>
      <c r="H13" s="518">
        <f>5625+AP13</f>
        <v>7500</v>
      </c>
      <c r="I13" s="518">
        <f t="shared" si="2"/>
        <v>1500</v>
      </c>
      <c r="L13" s="185">
        <f t="shared" si="1"/>
        <v>5625</v>
      </c>
      <c r="M13" s="185">
        <f t="shared" si="0"/>
        <v>5625</v>
      </c>
      <c r="O13"/>
      <c r="P13"/>
      <c r="Q13"/>
      <c r="R13" s="552"/>
      <c r="X13" s="98" t="s">
        <v>3860</v>
      </c>
      <c r="Y13" s="4">
        <v>1875</v>
      </c>
      <c r="Z13" s="4">
        <v>1875</v>
      </c>
      <c r="AB13" s="98" t="s">
        <v>3860</v>
      </c>
      <c r="AC13" s="502">
        <v>0</v>
      </c>
      <c r="AD13" s="502">
        <v>1875</v>
      </c>
      <c r="AF13" s="98" t="s">
        <v>3860</v>
      </c>
      <c r="AG13" s="502">
        <v>1875</v>
      </c>
      <c r="AH13" s="502"/>
      <c r="AJ13" s="502">
        <v>1875</v>
      </c>
      <c r="AK13" s="502">
        <v>1875</v>
      </c>
      <c r="AN13" s="98" t="s">
        <v>3860</v>
      </c>
      <c r="AO13" s="502">
        <v>0</v>
      </c>
      <c r="AP13" s="502">
        <v>1875</v>
      </c>
      <c r="BB13" s="98" t="s">
        <v>3860</v>
      </c>
      <c r="BC13" s="502">
        <v>1875</v>
      </c>
      <c r="BD13" s="502"/>
    </row>
    <row r="14" spans="1:56" ht="45">
      <c r="A14" s="98">
        <v>9</v>
      </c>
      <c r="B14" s="98" t="s">
        <v>3863</v>
      </c>
      <c r="C14" s="98" t="s">
        <v>3864</v>
      </c>
      <c r="D14" s="98" t="s">
        <v>3865</v>
      </c>
      <c r="E14" s="98" t="s">
        <v>3862</v>
      </c>
      <c r="F14" s="98" t="s">
        <v>348</v>
      </c>
      <c r="G14" s="518">
        <f>5625+1875</f>
        <v>7500</v>
      </c>
      <c r="H14" s="518">
        <f>5625+AP14</f>
        <v>7500</v>
      </c>
      <c r="I14" s="518">
        <f t="shared" si="2"/>
        <v>1500</v>
      </c>
      <c r="L14" s="185">
        <f t="shared" si="1"/>
        <v>5625</v>
      </c>
      <c r="M14" s="185">
        <f t="shared" si="0"/>
        <v>5625</v>
      </c>
      <c r="O14"/>
      <c r="P14"/>
      <c r="Q14"/>
      <c r="R14" s="552"/>
      <c r="X14" s="98" t="s">
        <v>3864</v>
      </c>
      <c r="Y14" s="4">
        <v>1875</v>
      </c>
      <c r="Z14" s="4">
        <v>1875</v>
      </c>
      <c r="AB14" s="98" t="s">
        <v>3864</v>
      </c>
      <c r="AC14" s="502">
        <v>0</v>
      </c>
      <c r="AD14" s="502">
        <v>1875</v>
      </c>
      <c r="AF14" s="98" t="s">
        <v>3864</v>
      </c>
      <c r="AG14" s="502">
        <v>1875</v>
      </c>
      <c r="AH14" s="502"/>
      <c r="AJ14" s="502">
        <v>1875</v>
      </c>
      <c r="AK14" s="502">
        <v>1875</v>
      </c>
      <c r="AN14" s="98" t="s">
        <v>3864</v>
      </c>
      <c r="AO14" s="502">
        <v>0</v>
      </c>
      <c r="AP14" s="502">
        <v>1875</v>
      </c>
      <c r="BB14" s="98" t="s">
        <v>3864</v>
      </c>
      <c r="BC14" s="502">
        <v>1875</v>
      </c>
      <c r="BD14" s="502"/>
    </row>
    <row r="15" spans="1:56" ht="45">
      <c r="A15" s="98">
        <v>10</v>
      </c>
      <c r="B15" s="98" t="s">
        <v>3866</v>
      </c>
      <c r="C15" s="98" t="s">
        <v>3867</v>
      </c>
      <c r="D15" s="98" t="s">
        <v>3868</v>
      </c>
      <c r="E15" s="553" t="s">
        <v>3859</v>
      </c>
      <c r="F15" s="98" t="s">
        <v>348</v>
      </c>
      <c r="G15" s="518">
        <f>4500+1500</f>
        <v>6000</v>
      </c>
      <c r="H15" s="518">
        <f>4500+AP15</f>
        <v>6000</v>
      </c>
      <c r="I15" s="518">
        <f t="shared" si="2"/>
        <v>1200</v>
      </c>
      <c r="L15" s="185">
        <f t="shared" si="1"/>
        <v>4500</v>
      </c>
      <c r="M15" s="185">
        <f t="shared" si="0"/>
        <v>4500</v>
      </c>
      <c r="O15"/>
      <c r="P15"/>
      <c r="Q15"/>
      <c r="R15" s="552"/>
      <c r="X15" s="98" t="s">
        <v>3867</v>
      </c>
      <c r="Y15" s="4">
        <v>1500</v>
      </c>
      <c r="Z15" s="4">
        <v>1500</v>
      </c>
      <c r="AB15" s="98" t="s">
        <v>3867</v>
      </c>
      <c r="AC15" s="502">
        <v>0</v>
      </c>
      <c r="AD15" s="502">
        <v>1500</v>
      </c>
      <c r="AF15" s="98" t="s">
        <v>3867</v>
      </c>
      <c r="AG15" s="502">
        <v>1500</v>
      </c>
      <c r="AH15" s="502"/>
      <c r="AJ15" s="502">
        <v>1500</v>
      </c>
      <c r="AK15" s="502">
        <v>1500</v>
      </c>
      <c r="AN15" s="98" t="s">
        <v>3867</v>
      </c>
      <c r="AO15" s="502">
        <v>0</v>
      </c>
      <c r="AP15" s="502">
        <v>1500</v>
      </c>
      <c r="BB15" s="98" t="s">
        <v>3867</v>
      </c>
      <c r="BC15" s="502">
        <v>1500</v>
      </c>
      <c r="BD15" s="502"/>
    </row>
    <row r="16" spans="1:56" ht="60">
      <c r="A16" s="98">
        <v>11</v>
      </c>
      <c r="B16" s="98" t="s">
        <v>3869</v>
      </c>
      <c r="C16" s="98" t="s">
        <v>3870</v>
      </c>
      <c r="D16" s="98" t="s">
        <v>3871</v>
      </c>
      <c r="E16" s="98" t="s">
        <v>3851</v>
      </c>
      <c r="F16" s="98" t="s">
        <v>348</v>
      </c>
      <c r="G16" s="518">
        <f>3750+1250</f>
        <v>5000</v>
      </c>
      <c r="H16" s="518">
        <f>3750+AP16</f>
        <v>5000</v>
      </c>
      <c r="I16" s="518">
        <f t="shared" si="2"/>
        <v>1000</v>
      </c>
      <c r="L16" s="185">
        <f t="shared" si="1"/>
        <v>3750</v>
      </c>
      <c r="M16" s="185">
        <f t="shared" si="0"/>
        <v>3750</v>
      </c>
      <c r="O16"/>
      <c r="P16"/>
      <c r="Q16"/>
      <c r="R16" s="552"/>
      <c r="X16" s="98" t="s">
        <v>3870</v>
      </c>
      <c r="Y16" s="4">
        <v>1250</v>
      </c>
      <c r="Z16" s="4">
        <v>1250</v>
      </c>
      <c r="AB16" s="98" t="s">
        <v>3870</v>
      </c>
      <c r="AC16" s="502">
        <v>0</v>
      </c>
      <c r="AD16" s="502">
        <v>1250</v>
      </c>
      <c r="AF16" s="98" t="s">
        <v>3870</v>
      </c>
      <c r="AG16" s="502">
        <v>1250</v>
      </c>
      <c r="AH16" s="502"/>
      <c r="AJ16" s="502">
        <v>1250</v>
      </c>
      <c r="AK16" s="502">
        <v>1250</v>
      </c>
      <c r="AN16" s="98" t="s">
        <v>3870</v>
      </c>
      <c r="AO16" s="502">
        <v>0</v>
      </c>
      <c r="AP16" s="502">
        <v>1250</v>
      </c>
      <c r="BB16" s="98" t="s">
        <v>3870</v>
      </c>
      <c r="BC16" s="502">
        <v>1250</v>
      </c>
      <c r="BD16" s="502"/>
    </row>
    <row r="17" spans="1:56" ht="45">
      <c r="A17" s="98">
        <v>12</v>
      </c>
      <c r="B17" s="98" t="s">
        <v>3730</v>
      </c>
      <c r="C17" s="98" t="s">
        <v>3872</v>
      </c>
      <c r="D17" s="98" t="s">
        <v>3873</v>
      </c>
      <c r="E17" s="98" t="s">
        <v>3874</v>
      </c>
      <c r="F17" s="98" t="s">
        <v>348</v>
      </c>
      <c r="G17" s="518">
        <f>11250+3750</f>
        <v>15000</v>
      </c>
      <c r="H17" s="518">
        <f>11250+AP17</f>
        <v>15000</v>
      </c>
      <c r="I17" s="518">
        <f t="shared" si="2"/>
        <v>3000</v>
      </c>
      <c r="L17" s="185">
        <f t="shared" si="1"/>
        <v>11250</v>
      </c>
      <c r="M17" s="185">
        <f t="shared" si="0"/>
        <v>11250</v>
      </c>
      <c r="O17"/>
      <c r="P17"/>
      <c r="Q17"/>
      <c r="R17" s="552"/>
      <c r="X17" s="98" t="s">
        <v>3872</v>
      </c>
      <c r="Y17" s="4">
        <v>3750</v>
      </c>
      <c r="Z17" s="4">
        <v>3750</v>
      </c>
      <c r="AB17" s="98" t="s">
        <v>3872</v>
      </c>
      <c r="AC17" s="502">
        <v>0</v>
      </c>
      <c r="AD17" s="502">
        <v>3750</v>
      </c>
      <c r="AF17" s="98" t="s">
        <v>3872</v>
      </c>
      <c r="AG17" s="502">
        <v>3750</v>
      </c>
      <c r="AH17" s="502"/>
      <c r="AJ17" s="502">
        <v>3750</v>
      </c>
      <c r="AK17" s="502">
        <v>3750</v>
      </c>
      <c r="AN17" s="98" t="s">
        <v>3872</v>
      </c>
      <c r="AO17" s="502">
        <v>0</v>
      </c>
      <c r="AP17" s="502">
        <v>3750</v>
      </c>
      <c r="BB17" s="98" t="s">
        <v>3872</v>
      </c>
      <c r="BC17" s="502">
        <v>3750</v>
      </c>
      <c r="BD17" s="502"/>
    </row>
    <row r="18" spans="1:56" ht="30">
      <c r="A18" s="98">
        <v>13</v>
      </c>
      <c r="B18" s="98" t="s">
        <v>3738</v>
      </c>
      <c r="C18" s="98" t="s">
        <v>3875</v>
      </c>
      <c r="D18" s="98" t="s">
        <v>3876</v>
      </c>
      <c r="E18" s="553" t="s">
        <v>3859</v>
      </c>
      <c r="F18" s="98" t="s">
        <v>348</v>
      </c>
      <c r="G18" s="518">
        <f>7500+2500</f>
        <v>10000</v>
      </c>
      <c r="H18" s="518">
        <f>7500+AP18</f>
        <v>10000</v>
      </c>
      <c r="I18" s="518">
        <f t="shared" si="2"/>
        <v>2000</v>
      </c>
      <c r="L18" s="185">
        <f t="shared" si="1"/>
        <v>7500</v>
      </c>
      <c r="M18" s="185">
        <f t="shared" si="0"/>
        <v>7500</v>
      </c>
      <c r="O18"/>
      <c r="P18"/>
      <c r="Q18"/>
      <c r="R18" s="552"/>
      <c r="X18" s="98" t="s">
        <v>3875</v>
      </c>
      <c r="Y18" s="4">
        <v>2500</v>
      </c>
      <c r="Z18" s="4">
        <v>2500</v>
      </c>
      <c r="AB18" s="98" t="s">
        <v>3875</v>
      </c>
      <c r="AC18" s="502">
        <v>0</v>
      </c>
      <c r="AD18" s="502">
        <v>2500</v>
      </c>
      <c r="AF18" s="98" t="s">
        <v>3875</v>
      </c>
      <c r="AG18" s="502">
        <v>2500</v>
      </c>
      <c r="AH18" s="502"/>
      <c r="AJ18" s="502">
        <v>2500</v>
      </c>
      <c r="AK18" s="502">
        <v>2500</v>
      </c>
      <c r="AN18" s="98" t="s">
        <v>3875</v>
      </c>
      <c r="AO18" s="502">
        <v>0</v>
      </c>
      <c r="AP18" s="502">
        <v>2500</v>
      </c>
      <c r="BB18" s="98" t="s">
        <v>3875</v>
      </c>
      <c r="BC18" s="502">
        <v>2500</v>
      </c>
      <c r="BD18" s="502"/>
    </row>
    <row r="19" spans="1:56" ht="45">
      <c r="A19" s="98">
        <v>14</v>
      </c>
      <c r="B19" s="98" t="s">
        <v>3877</v>
      </c>
      <c r="C19" s="98" t="s">
        <v>3878</v>
      </c>
      <c r="D19" s="98" t="s">
        <v>3879</v>
      </c>
      <c r="E19" s="752" t="s">
        <v>3859</v>
      </c>
      <c r="F19" s="98" t="s">
        <v>348</v>
      </c>
      <c r="G19" s="518">
        <f>7500+2500</f>
        <v>10000</v>
      </c>
      <c r="H19" s="518">
        <f>7500+AP19</f>
        <v>10000</v>
      </c>
      <c r="I19" s="518">
        <f t="shared" si="2"/>
        <v>2000</v>
      </c>
      <c r="L19" s="185">
        <f t="shared" si="1"/>
        <v>7500</v>
      </c>
      <c r="M19" s="185">
        <f t="shared" si="0"/>
        <v>7500</v>
      </c>
      <c r="O19"/>
      <c r="P19"/>
      <c r="Q19"/>
      <c r="R19" s="552"/>
      <c r="X19" s="98" t="s">
        <v>3878</v>
      </c>
      <c r="Y19" s="4">
        <v>2500</v>
      </c>
      <c r="Z19" s="4">
        <v>2500</v>
      </c>
      <c r="AB19" s="98" t="s">
        <v>3878</v>
      </c>
      <c r="AC19" s="502">
        <v>0</v>
      </c>
      <c r="AD19" s="502">
        <v>2500</v>
      </c>
      <c r="AF19" s="98" t="s">
        <v>3878</v>
      </c>
      <c r="AG19" s="502">
        <v>2500</v>
      </c>
      <c r="AH19" s="502"/>
      <c r="AJ19" s="502">
        <v>2500</v>
      </c>
      <c r="AK19" s="502">
        <v>2500</v>
      </c>
      <c r="AN19" s="98" t="s">
        <v>3878</v>
      </c>
      <c r="AO19" s="502">
        <v>0</v>
      </c>
      <c r="AP19" s="502">
        <v>2500</v>
      </c>
      <c r="BB19" s="98" t="s">
        <v>3878</v>
      </c>
      <c r="BC19" s="502">
        <v>2500</v>
      </c>
      <c r="BD19" s="502"/>
    </row>
    <row r="20" spans="1:56" ht="60">
      <c r="A20" s="98">
        <v>15</v>
      </c>
      <c r="B20" s="98" t="s">
        <v>3880</v>
      </c>
      <c r="C20" s="98" t="s">
        <v>3881</v>
      </c>
      <c r="D20" s="517" t="s">
        <v>3882</v>
      </c>
      <c r="E20" s="98" t="s">
        <v>3883</v>
      </c>
      <c r="F20" s="98" t="s">
        <v>348</v>
      </c>
      <c r="G20" s="518">
        <f>3750+1875</f>
        <v>5625</v>
      </c>
      <c r="H20" s="518">
        <f>3750+AP20</f>
        <v>5625</v>
      </c>
      <c r="I20" s="518">
        <f t="shared" si="2"/>
        <v>1125</v>
      </c>
      <c r="L20" s="185">
        <f t="shared" si="1"/>
        <v>3750</v>
      </c>
      <c r="M20" s="185">
        <f t="shared" si="0"/>
        <v>3750</v>
      </c>
      <c r="O20"/>
      <c r="P20"/>
      <c r="Q20"/>
      <c r="R20" s="552"/>
      <c r="AB20" s="98" t="s">
        <v>3881</v>
      </c>
      <c r="AC20" s="502">
        <v>0</v>
      </c>
      <c r="AD20" s="502">
        <v>1875</v>
      </c>
      <c r="AF20" s="98" t="s">
        <v>3881</v>
      </c>
      <c r="AG20" s="502">
        <v>1875</v>
      </c>
      <c r="AH20" s="502"/>
      <c r="AJ20" s="502">
        <v>1875</v>
      </c>
      <c r="AK20" s="502">
        <v>1875</v>
      </c>
      <c r="AN20" s="98" t="s">
        <v>3881</v>
      </c>
      <c r="AO20" s="502">
        <v>0</v>
      </c>
      <c r="AP20" s="502">
        <v>1875</v>
      </c>
      <c r="BB20" s="98" t="s">
        <v>3881</v>
      </c>
      <c r="BC20" s="502">
        <v>1875</v>
      </c>
      <c r="BD20" s="502"/>
    </row>
    <row r="21" spans="1:56" ht="60">
      <c r="A21" s="98">
        <v>16</v>
      </c>
      <c r="B21" s="98" t="s">
        <v>3884</v>
      </c>
      <c r="C21" s="98" t="s">
        <v>3885</v>
      </c>
      <c r="D21" s="517" t="s">
        <v>3886</v>
      </c>
      <c r="E21" s="98" t="s">
        <v>3887</v>
      </c>
      <c r="F21" s="98" t="s">
        <v>348</v>
      </c>
      <c r="G21" s="518">
        <f>3000+1500</f>
        <v>4500</v>
      </c>
      <c r="H21" s="518">
        <f>3000+AP21</f>
        <v>4500</v>
      </c>
      <c r="I21" s="518">
        <f t="shared" si="2"/>
        <v>900</v>
      </c>
      <c r="L21" s="185">
        <f t="shared" si="1"/>
        <v>3000</v>
      </c>
      <c r="M21" s="185">
        <f t="shared" si="0"/>
        <v>3000</v>
      </c>
      <c r="O21"/>
      <c r="P21"/>
      <c r="Q21"/>
      <c r="R21" s="552"/>
      <c r="AB21" s="98" t="s">
        <v>3885</v>
      </c>
      <c r="AC21" s="502">
        <v>0</v>
      </c>
      <c r="AD21" s="502">
        <v>1500</v>
      </c>
      <c r="AF21" s="98" t="s">
        <v>3885</v>
      </c>
      <c r="AG21" s="502">
        <v>1500</v>
      </c>
      <c r="AH21" s="502"/>
      <c r="AJ21" s="502">
        <v>1500</v>
      </c>
      <c r="AK21" s="502">
        <v>1500</v>
      </c>
      <c r="AN21" s="98" t="s">
        <v>3885</v>
      </c>
      <c r="AO21" s="502">
        <v>0</v>
      </c>
      <c r="AP21" s="502">
        <v>1500</v>
      </c>
      <c r="BB21" s="98" t="s">
        <v>3885</v>
      </c>
      <c r="BC21" s="502">
        <v>1500</v>
      </c>
      <c r="BD21" s="502"/>
    </row>
    <row r="22" spans="1:56" ht="47.25" customHeight="1">
      <c r="A22" s="98">
        <v>17</v>
      </c>
      <c r="B22" s="98" t="s">
        <v>3888</v>
      </c>
      <c r="C22" s="98" t="s">
        <v>3889</v>
      </c>
      <c r="D22" s="517" t="s">
        <v>3890</v>
      </c>
      <c r="E22" s="98" t="s">
        <v>3891</v>
      </c>
      <c r="F22" s="98" t="s">
        <v>348</v>
      </c>
      <c r="G22" s="518">
        <f>5000+2500</f>
        <v>7500</v>
      </c>
      <c r="H22" s="518">
        <f>5000+AP22</f>
        <v>7500</v>
      </c>
      <c r="I22" s="518">
        <f t="shared" si="2"/>
        <v>1500</v>
      </c>
      <c r="L22" s="185">
        <f t="shared" si="1"/>
        <v>5000</v>
      </c>
      <c r="M22" s="185">
        <f t="shared" si="0"/>
        <v>5000</v>
      </c>
      <c r="O22"/>
      <c r="P22"/>
      <c r="Q22"/>
      <c r="R22" s="552"/>
      <c r="AB22" s="98" t="s">
        <v>3889</v>
      </c>
      <c r="AC22" s="502">
        <v>0</v>
      </c>
      <c r="AD22" s="502">
        <v>2500</v>
      </c>
      <c r="AF22" s="98" t="s">
        <v>3889</v>
      </c>
      <c r="AG22" s="502">
        <v>2500</v>
      </c>
      <c r="AH22" s="502"/>
      <c r="AJ22" s="502">
        <v>2500</v>
      </c>
      <c r="AK22" s="502">
        <v>2500</v>
      </c>
      <c r="AN22" s="98" t="s">
        <v>3889</v>
      </c>
      <c r="AO22" s="502">
        <v>0</v>
      </c>
      <c r="AP22" s="502">
        <v>2500</v>
      </c>
      <c r="BB22" s="98" t="s">
        <v>3889</v>
      </c>
      <c r="BC22" s="502">
        <v>2500</v>
      </c>
      <c r="BD22" s="502"/>
    </row>
    <row r="23" spans="1:56" ht="50.25" customHeight="1">
      <c r="A23" s="98">
        <v>18</v>
      </c>
      <c r="B23" s="98" t="s">
        <v>3884</v>
      </c>
      <c r="C23" s="98" t="s">
        <v>3892</v>
      </c>
      <c r="D23" s="517" t="s">
        <v>3893</v>
      </c>
      <c r="E23" s="98" t="s">
        <v>3894</v>
      </c>
      <c r="F23" s="98" t="s">
        <v>348</v>
      </c>
      <c r="G23" s="518">
        <f>3750+1875</f>
        <v>5625</v>
      </c>
      <c r="H23" s="518">
        <f>3750+AP23</f>
        <v>5625</v>
      </c>
      <c r="I23" s="518">
        <f t="shared" si="2"/>
        <v>1125</v>
      </c>
      <c r="L23" s="185">
        <f t="shared" si="1"/>
        <v>3750</v>
      </c>
      <c r="M23" s="185">
        <f t="shared" si="0"/>
        <v>3750</v>
      </c>
      <c r="O23"/>
      <c r="P23"/>
      <c r="Q23"/>
      <c r="R23" s="552"/>
      <c r="AB23" s="98" t="s">
        <v>3892</v>
      </c>
      <c r="AC23" s="502">
        <v>0</v>
      </c>
      <c r="AD23" s="502">
        <v>1875</v>
      </c>
      <c r="AF23" s="98" t="s">
        <v>3892</v>
      </c>
      <c r="AG23" s="502">
        <v>1875</v>
      </c>
      <c r="AH23" s="502"/>
      <c r="AJ23" s="502">
        <v>1875</v>
      </c>
      <c r="AK23" s="502">
        <v>1875</v>
      </c>
      <c r="AN23" s="98" t="s">
        <v>3892</v>
      </c>
      <c r="AO23" s="502">
        <v>0</v>
      </c>
      <c r="AP23" s="502">
        <v>1875</v>
      </c>
      <c r="BB23" s="98" t="s">
        <v>3892</v>
      </c>
      <c r="BC23" s="502">
        <v>1875</v>
      </c>
      <c r="BD23" s="502"/>
    </row>
    <row r="24" spans="1:56" ht="49.5" customHeight="1">
      <c r="A24" s="98">
        <v>19</v>
      </c>
      <c r="B24" s="98" t="s">
        <v>3895</v>
      </c>
      <c r="C24" s="98" t="s">
        <v>3896</v>
      </c>
      <c r="D24" s="517" t="s">
        <v>3897</v>
      </c>
      <c r="E24" s="98" t="s">
        <v>3862</v>
      </c>
      <c r="F24" s="98" t="s">
        <v>348</v>
      </c>
      <c r="G24" s="518">
        <f>3750+1875</f>
        <v>5625</v>
      </c>
      <c r="H24" s="518">
        <f>3750+AP24</f>
        <v>5625</v>
      </c>
      <c r="I24" s="518">
        <f t="shared" si="2"/>
        <v>1125</v>
      </c>
      <c r="L24" s="185">
        <f t="shared" si="1"/>
        <v>3750</v>
      </c>
      <c r="M24" s="185">
        <f t="shared" si="0"/>
        <v>3750</v>
      </c>
      <c r="O24"/>
      <c r="P24"/>
      <c r="Q24"/>
      <c r="R24" s="552"/>
      <c r="AB24" s="98" t="s">
        <v>3896</v>
      </c>
      <c r="AC24" s="502">
        <v>0</v>
      </c>
      <c r="AD24" s="502">
        <v>1875</v>
      </c>
      <c r="AF24" s="98" t="s">
        <v>3896</v>
      </c>
      <c r="AG24" s="502">
        <v>1875</v>
      </c>
      <c r="AH24" s="502"/>
      <c r="AJ24" s="502">
        <v>1875</v>
      </c>
      <c r="AK24" s="502">
        <v>1875</v>
      </c>
      <c r="AN24" s="98" t="s">
        <v>3896</v>
      </c>
      <c r="AO24" s="502">
        <v>0</v>
      </c>
      <c r="AP24" s="502">
        <v>1875</v>
      </c>
      <c r="BB24" s="98" t="s">
        <v>3896</v>
      </c>
      <c r="BC24" s="502">
        <v>1875</v>
      </c>
      <c r="BD24" s="502"/>
    </row>
    <row r="25" spans="1:56" ht="50.25" customHeight="1">
      <c r="A25" s="98">
        <v>20</v>
      </c>
      <c r="B25" s="98" t="s">
        <v>3898</v>
      </c>
      <c r="C25" s="98" t="s">
        <v>3899</v>
      </c>
      <c r="D25" s="517" t="s">
        <v>3900</v>
      </c>
      <c r="E25" s="98" t="s">
        <v>3862</v>
      </c>
      <c r="F25" s="98" t="s">
        <v>348</v>
      </c>
      <c r="G25" s="518">
        <f>3750+1875</f>
        <v>5625</v>
      </c>
      <c r="H25" s="518">
        <f>3750+AP25</f>
        <v>5625</v>
      </c>
      <c r="I25" s="518">
        <f t="shared" si="2"/>
        <v>1125</v>
      </c>
      <c r="L25" s="185">
        <f t="shared" si="1"/>
        <v>3750</v>
      </c>
      <c r="M25" s="185">
        <f t="shared" si="0"/>
        <v>3750</v>
      </c>
      <c r="O25"/>
      <c r="P25"/>
      <c r="Q25"/>
      <c r="R25" s="552"/>
      <c r="AB25" s="98" t="s">
        <v>3899</v>
      </c>
      <c r="AC25" s="502">
        <v>0</v>
      </c>
      <c r="AD25" s="502">
        <v>1875</v>
      </c>
      <c r="AF25" s="98" t="s">
        <v>3899</v>
      </c>
      <c r="AG25" s="502">
        <v>1875</v>
      </c>
      <c r="AH25" s="502"/>
      <c r="AJ25" s="502">
        <v>1875</v>
      </c>
      <c r="AK25" s="502">
        <v>1875</v>
      </c>
      <c r="AN25" s="98" t="s">
        <v>3899</v>
      </c>
      <c r="AO25" s="502">
        <v>0</v>
      </c>
      <c r="AP25" s="502">
        <v>1875</v>
      </c>
      <c r="BB25" s="98" t="s">
        <v>3899</v>
      </c>
      <c r="BC25" s="502">
        <v>1875</v>
      </c>
      <c r="BD25" s="502"/>
    </row>
    <row r="26" spans="1:56" ht="75">
      <c r="A26" s="98">
        <v>21</v>
      </c>
      <c r="B26" s="98" t="s">
        <v>3901</v>
      </c>
      <c r="C26" s="98" t="s">
        <v>3902</v>
      </c>
      <c r="D26" s="517" t="s">
        <v>3903</v>
      </c>
      <c r="E26" s="98" t="s">
        <v>3904</v>
      </c>
      <c r="F26" s="98" t="s">
        <v>348</v>
      </c>
      <c r="G26" s="518">
        <f>3750+1875</f>
        <v>5625</v>
      </c>
      <c r="H26" s="518">
        <f>3750+AP26</f>
        <v>5625</v>
      </c>
      <c r="I26" s="518">
        <f t="shared" si="2"/>
        <v>1125</v>
      </c>
      <c r="L26" s="185">
        <f t="shared" si="1"/>
        <v>3750</v>
      </c>
      <c r="M26" s="185">
        <f t="shared" si="0"/>
        <v>3750</v>
      </c>
      <c r="AB26" s="98" t="s">
        <v>3902</v>
      </c>
      <c r="AC26" s="502">
        <v>0</v>
      </c>
      <c r="AD26" s="502">
        <v>1875</v>
      </c>
      <c r="AF26" s="98" t="s">
        <v>3902</v>
      </c>
      <c r="AG26" s="502">
        <v>1875</v>
      </c>
      <c r="AH26" s="502"/>
      <c r="AJ26" s="502">
        <v>1875</v>
      </c>
      <c r="AK26" s="502">
        <v>1875</v>
      </c>
      <c r="AN26" s="98" t="s">
        <v>3902</v>
      </c>
      <c r="AO26" s="502">
        <v>0</v>
      </c>
      <c r="AP26" s="502">
        <v>1875</v>
      </c>
      <c r="BB26" s="98" t="s">
        <v>3902</v>
      </c>
      <c r="BC26" s="502">
        <v>1875</v>
      </c>
      <c r="BD26" s="502"/>
    </row>
    <row r="27" spans="1:56" ht="63.75" customHeight="1">
      <c r="A27" s="98">
        <v>22</v>
      </c>
      <c r="B27" s="98" t="s">
        <v>3905</v>
      </c>
      <c r="C27" s="98" t="s">
        <v>3906</v>
      </c>
      <c r="D27" s="517" t="s">
        <v>3907</v>
      </c>
      <c r="E27" s="98" t="s">
        <v>3908</v>
      </c>
      <c r="F27" s="98" t="s">
        <v>348</v>
      </c>
      <c r="G27" s="518">
        <f>3750+1875</f>
        <v>5625</v>
      </c>
      <c r="H27" s="518">
        <f>3750+AP27</f>
        <v>5625</v>
      </c>
      <c r="I27" s="518">
        <f t="shared" si="2"/>
        <v>1125</v>
      </c>
      <c r="L27" s="185">
        <f t="shared" si="1"/>
        <v>3750</v>
      </c>
      <c r="M27" s="185">
        <f t="shared" si="0"/>
        <v>3750</v>
      </c>
      <c r="AB27" s="98" t="s">
        <v>3906</v>
      </c>
      <c r="AC27" s="502">
        <v>0</v>
      </c>
      <c r="AD27" s="502">
        <v>1875</v>
      </c>
      <c r="AF27" s="98" t="s">
        <v>3906</v>
      </c>
      <c r="AG27" s="502">
        <v>1875</v>
      </c>
      <c r="AH27" s="502"/>
      <c r="AJ27" s="502">
        <v>1875</v>
      </c>
      <c r="AK27" s="502">
        <v>1875</v>
      </c>
      <c r="AN27" s="98" t="s">
        <v>3906</v>
      </c>
      <c r="AO27" s="502">
        <v>0</v>
      </c>
      <c r="AP27" s="502">
        <v>1875</v>
      </c>
      <c r="BB27" s="98" t="s">
        <v>3906</v>
      </c>
      <c r="BC27" s="502">
        <v>1875</v>
      </c>
      <c r="BD27" s="502"/>
    </row>
    <row r="28" spans="1:56" ht="30">
      <c r="A28" s="98">
        <v>23</v>
      </c>
      <c r="B28" s="98" t="s">
        <v>3909</v>
      </c>
      <c r="C28" s="98" t="s">
        <v>3910</v>
      </c>
      <c r="D28" s="517" t="s">
        <v>3911</v>
      </c>
      <c r="E28" s="98" t="s">
        <v>3912</v>
      </c>
      <c r="F28" s="98" t="s">
        <v>348</v>
      </c>
      <c r="G28" s="518">
        <f>2500+2500</f>
        <v>5000</v>
      </c>
      <c r="H28" s="518">
        <f>2500+AP28</f>
        <v>5000</v>
      </c>
      <c r="I28" s="518">
        <f t="shared" si="2"/>
        <v>1000</v>
      </c>
      <c r="L28" s="185">
        <f t="shared" si="1"/>
        <v>2500</v>
      </c>
      <c r="M28" s="185">
        <f t="shared" si="0"/>
        <v>2500</v>
      </c>
      <c r="AJ28" s="502">
        <v>2500</v>
      </c>
      <c r="AK28" s="502">
        <v>2500</v>
      </c>
      <c r="AN28" s="98" t="s">
        <v>3910</v>
      </c>
      <c r="AO28" s="502">
        <v>0</v>
      </c>
      <c r="AP28" s="502">
        <v>2500</v>
      </c>
      <c r="BB28" s="98" t="s">
        <v>3910</v>
      </c>
      <c r="BC28" s="502">
        <v>2500</v>
      </c>
      <c r="BD28" s="502"/>
    </row>
    <row r="29" spans="1:56" ht="30">
      <c r="A29" s="98">
        <v>24</v>
      </c>
      <c r="B29" s="98" t="s">
        <v>3913</v>
      </c>
      <c r="C29" s="98" t="s">
        <v>3914</v>
      </c>
      <c r="D29" s="517" t="s">
        <v>3915</v>
      </c>
      <c r="E29" s="98" t="s">
        <v>3916</v>
      </c>
      <c r="F29" s="98" t="s">
        <v>348</v>
      </c>
      <c r="G29" s="518">
        <v>875</v>
      </c>
      <c r="H29" s="518">
        <v>875</v>
      </c>
      <c r="I29" s="518">
        <f t="shared" si="2"/>
        <v>175</v>
      </c>
      <c r="L29" s="185">
        <f t="shared" si="1"/>
        <v>875</v>
      </c>
      <c r="M29" s="185">
        <f t="shared" si="0"/>
        <v>875</v>
      </c>
      <c r="AJ29" s="502">
        <v>875</v>
      </c>
      <c r="AK29" s="502">
        <v>875</v>
      </c>
      <c r="BB29" s="98" t="s">
        <v>3914</v>
      </c>
      <c r="BC29" s="502"/>
      <c r="BD29" s="502"/>
    </row>
    <row r="30" spans="1:56" ht="45">
      <c r="A30" s="98">
        <v>25</v>
      </c>
      <c r="B30" s="98" t="s">
        <v>3917</v>
      </c>
      <c r="C30" s="98" t="s">
        <v>3918</v>
      </c>
      <c r="D30" s="517" t="s">
        <v>3919</v>
      </c>
      <c r="E30" s="98" t="s">
        <v>3916</v>
      </c>
      <c r="F30" s="98" t="s">
        <v>348</v>
      </c>
      <c r="G30" s="518">
        <v>375</v>
      </c>
      <c r="H30" s="518">
        <v>375</v>
      </c>
      <c r="I30" s="518">
        <f t="shared" si="2"/>
        <v>75</v>
      </c>
      <c r="L30" s="185">
        <f t="shared" si="1"/>
        <v>0</v>
      </c>
      <c r="M30" s="185">
        <f t="shared" si="0"/>
        <v>375</v>
      </c>
      <c r="AJ30" s="502"/>
      <c r="AK30" s="502">
        <v>375</v>
      </c>
      <c r="AN30" s="98" t="s">
        <v>3918</v>
      </c>
      <c r="AO30" s="502">
        <v>375</v>
      </c>
      <c r="AP30" s="502">
        <v>0</v>
      </c>
      <c r="BB30" s="98" t="s">
        <v>3918</v>
      </c>
      <c r="BC30" s="502"/>
      <c r="BD30" s="502"/>
    </row>
    <row r="31" spans="1:56" ht="30">
      <c r="A31" s="98">
        <v>26</v>
      </c>
      <c r="B31" s="98" t="s">
        <v>3920</v>
      </c>
      <c r="C31" s="98" t="s">
        <v>3921</v>
      </c>
      <c r="D31" s="517" t="s">
        <v>3922</v>
      </c>
      <c r="E31" s="98" t="s">
        <v>3916</v>
      </c>
      <c r="F31" s="98" t="s">
        <v>348</v>
      </c>
      <c r="G31" s="518">
        <v>900</v>
      </c>
      <c r="H31" s="518">
        <v>900</v>
      </c>
      <c r="I31" s="518">
        <f t="shared" si="2"/>
        <v>180</v>
      </c>
      <c r="L31" s="185">
        <f t="shared" si="1"/>
        <v>0</v>
      </c>
      <c r="M31" s="185">
        <f t="shared" si="0"/>
        <v>900</v>
      </c>
      <c r="AJ31" s="502"/>
      <c r="AK31" s="502">
        <v>900</v>
      </c>
      <c r="AN31" s="98" t="s">
        <v>3921</v>
      </c>
      <c r="AO31" s="502">
        <v>900</v>
      </c>
      <c r="AP31" s="502">
        <v>0</v>
      </c>
      <c r="BB31" s="98" t="s">
        <v>3921</v>
      </c>
      <c r="BC31" s="502"/>
      <c r="BD31" s="502"/>
    </row>
    <row r="32" spans="1:56" ht="15">
      <c r="A32" s="98">
        <v>27</v>
      </c>
      <c r="B32" s="98" t="s">
        <v>3742</v>
      </c>
      <c r="C32" s="98" t="s">
        <v>3923</v>
      </c>
      <c r="D32" s="517" t="s">
        <v>3924</v>
      </c>
      <c r="E32" s="98" t="s">
        <v>3916</v>
      </c>
      <c r="F32" s="98" t="s">
        <v>348</v>
      </c>
      <c r="G32" s="518">
        <v>700</v>
      </c>
      <c r="H32" s="518">
        <v>700</v>
      </c>
      <c r="I32" s="518">
        <f t="shared" si="2"/>
        <v>140</v>
      </c>
      <c r="L32" s="185">
        <f t="shared" si="1"/>
        <v>0</v>
      </c>
      <c r="M32" s="185">
        <f t="shared" si="0"/>
        <v>700</v>
      </c>
      <c r="AJ32" s="502"/>
      <c r="AK32" s="502">
        <v>700</v>
      </c>
      <c r="AN32" s="98" t="s">
        <v>3923</v>
      </c>
      <c r="AO32" s="502">
        <v>700</v>
      </c>
      <c r="AP32" s="502">
        <v>0</v>
      </c>
      <c r="BB32" s="98" t="s">
        <v>3923</v>
      </c>
      <c r="BC32" s="502"/>
      <c r="BD32" s="502"/>
    </row>
    <row r="33" spans="1:56" ht="30">
      <c r="A33" s="98">
        <v>28</v>
      </c>
      <c r="B33" s="98" t="s">
        <v>3925</v>
      </c>
      <c r="C33" s="98" t="s">
        <v>3926</v>
      </c>
      <c r="D33" s="517" t="s">
        <v>3927</v>
      </c>
      <c r="E33" s="98" t="s">
        <v>3916</v>
      </c>
      <c r="F33" s="98" t="s">
        <v>348</v>
      </c>
      <c r="G33" s="518">
        <v>900</v>
      </c>
      <c r="H33" s="518">
        <v>900</v>
      </c>
      <c r="I33" s="518">
        <f t="shared" si="2"/>
        <v>180</v>
      </c>
      <c r="L33" s="185">
        <f t="shared" si="1"/>
        <v>0</v>
      </c>
      <c r="M33" s="185">
        <f t="shared" si="0"/>
        <v>900</v>
      </c>
      <c r="AJ33" s="502"/>
      <c r="AK33" s="502">
        <v>900</v>
      </c>
      <c r="AN33" s="98" t="s">
        <v>3926</v>
      </c>
      <c r="AO33" s="502">
        <v>900</v>
      </c>
      <c r="AP33" s="502">
        <v>0</v>
      </c>
      <c r="BB33" s="98" t="s">
        <v>3926</v>
      </c>
      <c r="BC33" s="502"/>
      <c r="BD33" s="502"/>
    </row>
    <row r="34" spans="1:56" ht="15">
      <c r="A34" s="98">
        <v>29</v>
      </c>
      <c r="B34" s="98" t="s">
        <v>3928</v>
      </c>
      <c r="C34" s="98" t="s">
        <v>3929</v>
      </c>
      <c r="D34" s="517">
        <v>61009004647</v>
      </c>
      <c r="E34" s="98" t="s">
        <v>3916</v>
      </c>
      <c r="F34" s="98" t="s">
        <v>348</v>
      </c>
      <c r="G34" s="518">
        <f>250+125</f>
        <v>375</v>
      </c>
      <c r="H34" s="518">
        <f>250+125</f>
        <v>375</v>
      </c>
      <c r="I34" s="518">
        <f>G34*0.2</f>
        <v>75</v>
      </c>
      <c r="AN34" s="98" t="s">
        <v>3929</v>
      </c>
      <c r="AO34" s="502">
        <v>250</v>
      </c>
      <c r="AP34" s="502">
        <v>250</v>
      </c>
      <c r="BB34" s="98" t="s">
        <v>3929</v>
      </c>
      <c r="BC34" s="502">
        <v>125</v>
      </c>
      <c r="BD34" s="502">
        <v>125</v>
      </c>
    </row>
    <row r="35" spans="1:56" ht="30">
      <c r="A35" s="98"/>
      <c r="B35" s="98" t="s">
        <v>3930</v>
      </c>
      <c r="C35" s="98" t="s">
        <v>3931</v>
      </c>
      <c r="D35" s="517" t="s">
        <v>3932</v>
      </c>
      <c r="E35" s="98" t="s">
        <v>3916</v>
      </c>
      <c r="F35" s="98" t="s">
        <v>348</v>
      </c>
      <c r="G35" s="518">
        <f>250+125</f>
        <v>375</v>
      </c>
      <c r="H35" s="518">
        <f>250+125</f>
        <v>375</v>
      </c>
      <c r="I35" s="518">
        <f>G35*0.2</f>
        <v>75</v>
      </c>
      <c r="AN35" s="98" t="s">
        <v>3931</v>
      </c>
      <c r="AO35" s="502">
        <v>250</v>
      </c>
      <c r="AP35" s="502">
        <v>250</v>
      </c>
      <c r="BB35" s="98" t="s">
        <v>3931</v>
      </c>
      <c r="BC35" s="502">
        <v>125</v>
      </c>
      <c r="BD35" s="502">
        <v>125</v>
      </c>
    </row>
    <row r="36" spans="1:56" ht="15">
      <c r="A36" s="87" t="s">
        <v>276</v>
      </c>
      <c r="B36" s="87"/>
      <c r="C36" s="87"/>
      <c r="D36" s="87"/>
      <c r="E36" s="87"/>
      <c r="F36" s="98"/>
      <c r="G36" s="554"/>
      <c r="H36" s="554"/>
      <c r="I36" s="554"/>
    </row>
    <row r="37" spans="1:56" ht="15">
      <c r="A37" s="87"/>
      <c r="B37" s="99"/>
      <c r="C37" s="99"/>
      <c r="D37" s="99"/>
      <c r="E37" s="99"/>
      <c r="F37" s="87" t="s">
        <v>456</v>
      </c>
      <c r="G37" s="86">
        <f>SUM(G6:G36)</f>
        <v>198875</v>
      </c>
      <c r="H37" s="86">
        <f>SUM(H6:H36)</f>
        <v>198875</v>
      </c>
      <c r="I37" s="86">
        <f>SUM(I6:I36)</f>
        <v>39775</v>
      </c>
    </row>
    <row r="38" spans="1:56" ht="15">
      <c r="A38" s="227" t="s">
        <v>476</v>
      </c>
      <c r="B38" s="227"/>
      <c r="C38" s="226"/>
      <c r="D38" s="226"/>
      <c r="E38" s="226"/>
      <c r="F38" s="226"/>
      <c r="G38" s="226"/>
      <c r="H38" s="184"/>
      <c r="I38" s="184"/>
    </row>
    <row r="39" spans="1:56" ht="15">
      <c r="A39" s="190" t="s">
        <v>107</v>
      </c>
      <c r="B39" s="190"/>
      <c r="C39" s="184"/>
      <c r="D39" s="184"/>
      <c r="E39" s="184"/>
      <c r="F39" s="184"/>
      <c r="G39" s="184"/>
      <c r="H39" s="184"/>
      <c r="I39" s="184"/>
    </row>
    <row r="40" spans="1:56" ht="15">
      <c r="A40" s="184"/>
      <c r="B40" s="184"/>
      <c r="C40" s="184"/>
      <c r="D40" s="184"/>
      <c r="E40" s="188"/>
      <c r="F40" s="188"/>
      <c r="G40" s="188"/>
      <c r="H40" s="184"/>
      <c r="I40" s="184"/>
    </row>
    <row r="41" spans="1:56" ht="15">
      <c r="A41" s="190"/>
      <c r="B41" s="190"/>
      <c r="C41" s="190" t="s">
        <v>395</v>
      </c>
      <c r="D41" s="190"/>
      <c r="E41" s="190"/>
      <c r="F41" s="190"/>
      <c r="G41" s="190"/>
      <c r="H41" s="184"/>
      <c r="I41" s="184"/>
    </row>
    <row r="42" spans="1:56" ht="15">
      <c r="A42" s="184"/>
      <c r="B42" s="184"/>
      <c r="C42" s="184" t="s">
        <v>394</v>
      </c>
      <c r="D42" s="184"/>
      <c r="E42" s="184"/>
      <c r="F42" s="184"/>
      <c r="G42" s="184"/>
      <c r="H42" s="184"/>
      <c r="I42" s="184"/>
    </row>
    <row r="43" spans="1:56">
      <c r="A43" s="192"/>
      <c r="B43" s="192"/>
      <c r="C43" s="192" t="s">
        <v>139</v>
      </c>
      <c r="D43" s="192"/>
      <c r="E43" s="192"/>
      <c r="F43" s="192"/>
      <c r="G43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view="pageBreakPreview" zoomScale="80" zoomScaleSheetLayoutView="80" workbookViewId="0">
      <selection activeCell="D27" sqref="D27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477</v>
      </c>
      <c r="B1" s="77"/>
      <c r="C1" s="77"/>
      <c r="D1" s="77"/>
      <c r="E1" s="77"/>
      <c r="F1" s="77"/>
      <c r="G1" s="763" t="s">
        <v>109</v>
      </c>
      <c r="H1" s="763"/>
      <c r="I1" s="371"/>
    </row>
    <row r="2" spans="1:9" ht="15">
      <c r="A2" s="76" t="s">
        <v>140</v>
      </c>
      <c r="B2" s="77"/>
      <c r="C2" s="77"/>
      <c r="D2" s="77"/>
      <c r="E2" s="77"/>
      <c r="F2" s="77"/>
      <c r="G2" s="753" t="s">
        <v>515</v>
      </c>
      <c r="H2" s="754"/>
      <c r="I2" s="76"/>
    </row>
    <row r="3" spans="1:9" ht="15">
      <c r="A3" s="76"/>
      <c r="B3" s="76"/>
      <c r="C3" s="76"/>
      <c r="D3" s="76"/>
      <c r="E3" s="76"/>
      <c r="F3" s="76"/>
      <c r="G3" s="284"/>
      <c r="H3" s="284"/>
      <c r="I3" s="371"/>
    </row>
    <row r="4" spans="1:9" ht="15">
      <c r="A4" s="77" t="s">
        <v>274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tr">
        <f>'ფორმა N1'!D4</f>
        <v>მ.პ.გ. ქართული ოცნება - დემოკრატიული საქართველო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83"/>
      <c r="B7" s="283"/>
      <c r="C7" s="283"/>
      <c r="D7" s="283"/>
      <c r="E7" s="283"/>
      <c r="F7" s="283"/>
      <c r="G7" s="78"/>
      <c r="H7" s="78"/>
      <c r="I7" s="371"/>
    </row>
    <row r="8" spans="1:9" ht="45">
      <c r="A8" s="367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30">
      <c r="A9" s="368">
        <v>1</v>
      </c>
      <c r="B9" s="747" t="s">
        <v>3848</v>
      </c>
      <c r="C9" s="98" t="s">
        <v>3933</v>
      </c>
      <c r="D9" s="517" t="s">
        <v>3934</v>
      </c>
      <c r="E9" s="98" t="s">
        <v>3935</v>
      </c>
      <c r="F9" s="98" t="s">
        <v>3936</v>
      </c>
      <c r="G9" s="519">
        <v>14</v>
      </c>
      <c r="H9" s="554">
        <v>4139</v>
      </c>
      <c r="I9" s="554">
        <v>4139</v>
      </c>
    </row>
    <row r="10" spans="1:9" ht="30">
      <c r="A10" s="368">
        <v>2</v>
      </c>
      <c r="B10" s="747" t="s">
        <v>3901</v>
      </c>
      <c r="C10" s="98" t="s">
        <v>3937</v>
      </c>
      <c r="D10" s="517" t="s">
        <v>3938</v>
      </c>
      <c r="E10" s="98" t="s">
        <v>3935</v>
      </c>
      <c r="F10" s="98" t="s">
        <v>3936</v>
      </c>
      <c r="G10" s="519">
        <v>14</v>
      </c>
      <c r="H10" s="554">
        <v>4394</v>
      </c>
      <c r="I10" s="554">
        <v>4394</v>
      </c>
    </row>
    <row r="11" spans="1:9" ht="30">
      <c r="A11" s="368">
        <v>3</v>
      </c>
      <c r="B11" s="747" t="s">
        <v>3848</v>
      </c>
      <c r="C11" s="98" t="s">
        <v>3933</v>
      </c>
      <c r="D11" s="517" t="s">
        <v>3934</v>
      </c>
      <c r="E11" s="98" t="s">
        <v>3935</v>
      </c>
      <c r="F11" s="98" t="s">
        <v>3936</v>
      </c>
      <c r="G11" s="519">
        <v>14</v>
      </c>
      <c r="H11" s="518">
        <v>21000</v>
      </c>
      <c r="I11" s="518">
        <v>21000</v>
      </c>
    </row>
    <row r="12" spans="1:9" ht="30">
      <c r="A12" s="368">
        <v>4</v>
      </c>
      <c r="B12" s="747" t="s">
        <v>3901</v>
      </c>
      <c r="C12" s="98" t="s">
        <v>3937</v>
      </c>
      <c r="D12" s="517" t="s">
        <v>3938</v>
      </c>
      <c r="E12" s="98" t="s">
        <v>3935</v>
      </c>
      <c r="F12" s="98" t="s">
        <v>3936</v>
      </c>
      <c r="G12" s="519">
        <v>14</v>
      </c>
      <c r="H12" s="518">
        <v>21000</v>
      </c>
      <c r="I12" s="518">
        <v>21000</v>
      </c>
    </row>
    <row r="13" spans="1:9" ht="30">
      <c r="A13" s="368">
        <v>5</v>
      </c>
      <c r="B13" s="747" t="s">
        <v>3939</v>
      </c>
      <c r="C13" s="98" t="s">
        <v>3746</v>
      </c>
      <c r="D13" s="517" t="s">
        <v>3747</v>
      </c>
      <c r="E13" s="98" t="s">
        <v>3940</v>
      </c>
      <c r="F13" s="98" t="s">
        <v>3941</v>
      </c>
      <c r="G13" s="519">
        <v>2</v>
      </c>
      <c r="H13" s="518">
        <v>255.26</v>
      </c>
      <c r="I13" s="518">
        <v>255.26</v>
      </c>
    </row>
    <row r="14" spans="1:9" ht="30">
      <c r="A14" s="368">
        <v>6</v>
      </c>
      <c r="B14" s="747" t="s">
        <v>3942</v>
      </c>
      <c r="C14" s="98" t="s">
        <v>3943</v>
      </c>
      <c r="D14" s="517" t="s">
        <v>3944</v>
      </c>
      <c r="E14" s="98" t="s">
        <v>3940</v>
      </c>
      <c r="F14" s="98" t="s">
        <v>3941</v>
      </c>
      <c r="G14" s="519">
        <v>2</v>
      </c>
      <c r="H14" s="518">
        <f>255.26+2776+698</f>
        <v>3729.26</v>
      </c>
      <c r="I14" s="518">
        <f>255.26+2776+698</f>
        <v>3729.26</v>
      </c>
    </row>
    <row r="15" spans="1:9" ht="30">
      <c r="A15" s="368">
        <v>7</v>
      </c>
      <c r="B15" s="747" t="s">
        <v>3945</v>
      </c>
      <c r="C15" s="98" t="s">
        <v>3946</v>
      </c>
      <c r="D15" s="98">
        <v>1031000485</v>
      </c>
      <c r="E15" s="98" t="s">
        <v>3940</v>
      </c>
      <c r="F15" s="98" t="s">
        <v>3947</v>
      </c>
      <c r="G15" s="519">
        <v>4</v>
      </c>
      <c r="H15" s="554">
        <f>3268+692.07</f>
        <v>3960.07</v>
      </c>
      <c r="I15" s="554">
        <f>3268+692.07</f>
        <v>3960.07</v>
      </c>
    </row>
    <row r="16" spans="1:9" ht="30">
      <c r="A16" s="368">
        <v>8</v>
      </c>
      <c r="B16" s="747" t="s">
        <v>3848</v>
      </c>
      <c r="C16" s="98" t="s">
        <v>3933</v>
      </c>
      <c r="D16" s="517" t="s">
        <v>3934</v>
      </c>
      <c r="E16" s="98" t="s">
        <v>3940</v>
      </c>
      <c r="F16" s="98" t="s">
        <v>3941</v>
      </c>
      <c r="G16" s="519">
        <v>2</v>
      </c>
      <c r="H16" s="554">
        <f>995+455</f>
        <v>1450</v>
      </c>
      <c r="I16" s="554">
        <f>995+455</f>
        <v>1450</v>
      </c>
    </row>
    <row r="17" spans="1:9" ht="30">
      <c r="A17" s="368">
        <v>9</v>
      </c>
      <c r="B17" s="747" t="s">
        <v>3939</v>
      </c>
      <c r="C17" s="98" t="s">
        <v>3746</v>
      </c>
      <c r="D17" s="517" t="s">
        <v>3747</v>
      </c>
      <c r="E17" s="98" t="s">
        <v>3940</v>
      </c>
      <c r="F17" s="98" t="s">
        <v>3948</v>
      </c>
      <c r="G17" s="519">
        <v>2</v>
      </c>
      <c r="H17" s="554">
        <v>1363.37</v>
      </c>
      <c r="I17" s="554">
        <v>1363.37</v>
      </c>
    </row>
    <row r="18" spans="1:9" ht="30">
      <c r="A18" s="368">
        <v>10</v>
      </c>
      <c r="B18" s="747" t="s">
        <v>3939</v>
      </c>
      <c r="C18" s="98" t="s">
        <v>3746</v>
      </c>
      <c r="D18" s="517" t="s">
        <v>3747</v>
      </c>
      <c r="E18" s="98" t="s">
        <v>3940</v>
      </c>
      <c r="F18" s="98" t="s">
        <v>3949</v>
      </c>
      <c r="G18" s="519">
        <v>4</v>
      </c>
      <c r="H18" s="518">
        <f>491.3+2190.55</f>
        <v>2681.8500000000004</v>
      </c>
      <c r="I18" s="518">
        <f>491.3+2190.55</f>
        <v>2681.8500000000004</v>
      </c>
    </row>
    <row r="19" spans="1:9" ht="30">
      <c r="A19" s="368">
        <v>11</v>
      </c>
      <c r="B19" s="747" t="s">
        <v>3942</v>
      </c>
      <c r="C19" s="98" t="s">
        <v>3943</v>
      </c>
      <c r="D19" s="517" t="s">
        <v>3944</v>
      </c>
      <c r="E19" s="98" t="s">
        <v>3940</v>
      </c>
      <c r="F19" s="98" t="s">
        <v>3949</v>
      </c>
      <c r="G19" s="519">
        <v>5</v>
      </c>
      <c r="H19" s="518">
        <f>687.82+2190.55</f>
        <v>2878.3700000000003</v>
      </c>
      <c r="I19" s="518">
        <f>687.82+2190.55</f>
        <v>2878.3700000000003</v>
      </c>
    </row>
    <row r="20" spans="1:9" ht="30">
      <c r="A20" s="368">
        <v>12</v>
      </c>
      <c r="B20" s="747" t="s">
        <v>3852</v>
      </c>
      <c r="C20" s="98" t="s">
        <v>3950</v>
      </c>
      <c r="D20" s="517" t="s">
        <v>3951</v>
      </c>
      <c r="E20" s="98" t="s">
        <v>3940</v>
      </c>
      <c r="F20" s="98" t="s">
        <v>3949</v>
      </c>
      <c r="G20" s="519">
        <v>4</v>
      </c>
      <c r="H20" s="518">
        <f>394.39+2190.55</f>
        <v>2584.94</v>
      </c>
      <c r="I20" s="518">
        <f>2190.55+394.39</f>
        <v>2584.94</v>
      </c>
    </row>
    <row r="21" spans="1:9" ht="30">
      <c r="A21" s="368">
        <v>13</v>
      </c>
      <c r="B21" s="747" t="s">
        <v>3848</v>
      </c>
      <c r="C21" s="98" t="s">
        <v>3933</v>
      </c>
      <c r="D21" s="517" t="s">
        <v>3934</v>
      </c>
      <c r="E21" s="98" t="s">
        <v>3940</v>
      </c>
      <c r="F21" s="98" t="s">
        <v>3941</v>
      </c>
      <c r="G21" s="519">
        <v>2</v>
      </c>
      <c r="H21" s="518">
        <v>254.28</v>
      </c>
      <c r="I21" s="518">
        <v>254.28</v>
      </c>
    </row>
    <row r="22" spans="1:9" ht="30">
      <c r="A22" s="368">
        <v>14</v>
      </c>
      <c r="B22" s="747" t="s">
        <v>3945</v>
      </c>
      <c r="C22" s="98" t="s">
        <v>3937</v>
      </c>
      <c r="D22" s="517" t="s">
        <v>3938</v>
      </c>
      <c r="E22" s="98" t="s">
        <v>3940</v>
      </c>
      <c r="F22" s="98" t="s">
        <v>3949</v>
      </c>
      <c r="G22" s="519">
        <v>3</v>
      </c>
      <c r="H22" s="518">
        <v>2190.5500000000002</v>
      </c>
      <c r="I22" s="518">
        <v>2190.5500000000002</v>
      </c>
    </row>
    <row r="23" spans="1:9" ht="30">
      <c r="A23" s="368">
        <v>15</v>
      </c>
      <c r="B23" s="747" t="s">
        <v>3939</v>
      </c>
      <c r="C23" s="98" t="s">
        <v>3746</v>
      </c>
      <c r="D23" s="517" t="s">
        <v>3747</v>
      </c>
      <c r="E23" s="98" t="s">
        <v>3940</v>
      </c>
      <c r="F23" s="98" t="s">
        <v>3949</v>
      </c>
      <c r="G23" s="519">
        <v>3</v>
      </c>
      <c r="H23" s="518">
        <f>394.32+5975/2</f>
        <v>3381.82</v>
      </c>
      <c r="I23" s="518">
        <f>394.32+5975/2</f>
        <v>3381.82</v>
      </c>
    </row>
    <row r="24" spans="1:9" ht="30">
      <c r="A24" s="368">
        <v>16</v>
      </c>
      <c r="B24" s="747" t="s">
        <v>3945</v>
      </c>
      <c r="C24" s="98" t="s">
        <v>3937</v>
      </c>
      <c r="D24" s="517" t="s">
        <v>3938</v>
      </c>
      <c r="E24" s="98" t="s">
        <v>3940</v>
      </c>
      <c r="F24" s="98" t="s">
        <v>3949</v>
      </c>
      <c r="G24" s="519">
        <v>3</v>
      </c>
      <c r="H24" s="518">
        <f>394.32+5975/2</f>
        <v>3381.82</v>
      </c>
      <c r="I24" s="518">
        <f>394.32+5975/2</f>
        <v>3381.82</v>
      </c>
    </row>
    <row r="25" spans="1:9" ht="30">
      <c r="A25" s="368">
        <v>17</v>
      </c>
      <c r="B25" s="747" t="s">
        <v>3945</v>
      </c>
      <c r="C25" s="98" t="s">
        <v>3937</v>
      </c>
      <c r="D25" s="517" t="s">
        <v>3938</v>
      </c>
      <c r="E25" s="98" t="s">
        <v>3940</v>
      </c>
      <c r="F25" s="98" t="s">
        <v>3947</v>
      </c>
      <c r="G25" s="519">
        <v>2</v>
      </c>
      <c r="H25" s="518">
        <f>18150/2</f>
        <v>9075</v>
      </c>
      <c r="I25" s="518">
        <f>18150/2</f>
        <v>9075</v>
      </c>
    </row>
    <row r="26" spans="1:9" ht="30">
      <c r="A26" s="368">
        <v>18</v>
      </c>
      <c r="B26" s="747" t="s">
        <v>3848</v>
      </c>
      <c r="C26" s="98" t="s">
        <v>3933</v>
      </c>
      <c r="D26" s="517" t="s">
        <v>3934</v>
      </c>
      <c r="E26" s="98" t="s">
        <v>3940</v>
      </c>
      <c r="F26" s="98" t="s">
        <v>3947</v>
      </c>
      <c r="G26" s="519">
        <v>2</v>
      </c>
      <c r="H26" s="518">
        <f>18150/2</f>
        <v>9075</v>
      </c>
      <c r="I26" s="518">
        <f>18150/2</f>
        <v>9075</v>
      </c>
    </row>
    <row r="27" spans="1:9" ht="15">
      <c r="A27" s="368"/>
      <c r="B27" s="369"/>
      <c r="C27" s="87"/>
      <c r="D27" s="87"/>
      <c r="E27" s="87"/>
      <c r="F27" s="87"/>
      <c r="G27" s="87"/>
      <c r="H27" s="4"/>
      <c r="I27" s="4"/>
    </row>
    <row r="28" spans="1:9" ht="15">
      <c r="A28" s="368"/>
      <c r="B28" s="370"/>
      <c r="C28" s="99"/>
      <c r="D28" s="99"/>
      <c r="E28" s="99"/>
      <c r="F28" s="99"/>
      <c r="G28" s="99" t="s">
        <v>339</v>
      </c>
      <c r="H28" s="86">
        <f>SUM(H9:H27)</f>
        <v>96794.590000000026</v>
      </c>
      <c r="I28" s="86">
        <f>SUM(I9:I27)</f>
        <v>96794.590000000026</v>
      </c>
    </row>
    <row r="29" spans="1:9" ht="15">
      <c r="A29" s="44"/>
      <c r="B29" s="44"/>
      <c r="C29" s="44"/>
      <c r="D29" s="44"/>
      <c r="E29" s="44"/>
      <c r="F29" s="44"/>
      <c r="G29" s="2"/>
      <c r="H29" s="2"/>
    </row>
    <row r="30" spans="1:9" ht="15">
      <c r="A30" s="215" t="s">
        <v>478</v>
      </c>
      <c r="B30" s="44"/>
      <c r="C30" s="44"/>
      <c r="D30" s="44"/>
      <c r="E30" s="44"/>
      <c r="F30" s="44"/>
      <c r="G30" s="2"/>
      <c r="H30" s="2"/>
    </row>
    <row r="31" spans="1:9" ht="15">
      <c r="A31" s="69" t="s">
        <v>107</v>
      </c>
      <c r="B31" s="2"/>
      <c r="C31" s="2"/>
      <c r="D31" s="2"/>
      <c r="E31" s="2"/>
      <c r="F31" s="2"/>
      <c r="G31" s="2"/>
      <c r="H31" s="2"/>
    </row>
    <row r="32" spans="1:9" ht="15">
      <c r="A32" s="2"/>
      <c r="B32" s="2"/>
      <c r="C32" s="2"/>
      <c r="D32" s="2"/>
      <c r="E32" s="2"/>
      <c r="F32" s="2"/>
      <c r="G32" s="2"/>
      <c r="H32" s="2"/>
    </row>
    <row r="33" spans="1:8" ht="15">
      <c r="A33" s="2"/>
      <c r="B33" s="2"/>
      <c r="C33" s="2"/>
      <c r="D33" s="2"/>
      <c r="E33" s="2"/>
      <c r="F33" s="2"/>
      <c r="G33" s="2"/>
      <c r="H33" s="12"/>
    </row>
    <row r="34" spans="1:8" ht="15">
      <c r="A34" s="69"/>
      <c r="B34" s="69" t="s">
        <v>271</v>
      </c>
      <c r="C34" s="69"/>
      <c r="D34" s="69"/>
      <c r="E34" s="69"/>
      <c r="F34" s="69"/>
      <c r="G34" s="2"/>
      <c r="H34" s="12"/>
    </row>
    <row r="35" spans="1:8" ht="15">
      <c r="A35" s="2"/>
      <c r="B35" s="2" t="s">
        <v>270</v>
      </c>
      <c r="C35" s="2"/>
      <c r="D35" s="2"/>
      <c r="E35" s="2"/>
      <c r="F35" s="2"/>
      <c r="G35" s="2"/>
      <c r="H35" s="12"/>
    </row>
    <row r="36" spans="1:8">
      <c r="A36" s="66"/>
      <c r="B36" s="66" t="s">
        <v>139</v>
      </c>
      <c r="C36" s="66"/>
      <c r="D36" s="66"/>
      <c r="E36" s="66"/>
      <c r="F3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view="pageBreakPreview" zoomScale="80" zoomScaleSheetLayoutView="80" workbookViewId="0">
      <selection activeCell="E24" sqref="E24"/>
    </sheetView>
  </sheetViews>
  <sheetFormatPr defaultRowHeight="12.75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>
      <c r="A1" s="74" t="s">
        <v>479</v>
      </c>
      <c r="B1" s="74"/>
      <c r="C1" s="77"/>
      <c r="D1" s="77"/>
      <c r="E1" s="77"/>
      <c r="F1" s="77"/>
      <c r="G1" s="763" t="s">
        <v>109</v>
      </c>
      <c r="H1" s="763"/>
    </row>
    <row r="2" spans="1:10" ht="15">
      <c r="A2" s="76" t="s">
        <v>140</v>
      </c>
      <c r="B2" s="74"/>
      <c r="C2" s="77"/>
      <c r="D2" s="77"/>
      <c r="E2" s="77"/>
      <c r="F2" s="77"/>
      <c r="G2" s="753" t="s">
        <v>515</v>
      </c>
      <c r="H2" s="754"/>
    </row>
    <row r="3" spans="1:10" ht="15">
      <c r="A3" s="76"/>
      <c r="B3" s="76"/>
      <c r="C3" s="76"/>
      <c r="D3" s="76"/>
      <c r="E3" s="76"/>
      <c r="F3" s="76"/>
      <c r="G3" s="284"/>
      <c r="H3" s="284"/>
    </row>
    <row r="4" spans="1:10" ht="15">
      <c r="A4" s="77" t="s">
        <v>274</v>
      </c>
      <c r="B4" s="77"/>
      <c r="C4" s="77"/>
      <c r="D4" s="77"/>
      <c r="E4" s="77"/>
      <c r="F4" s="77"/>
      <c r="G4" s="76"/>
      <c r="H4" s="76"/>
    </row>
    <row r="5" spans="1:10" ht="15">
      <c r="A5" s="80" t="str">
        <f>'ფორმა N1'!D4</f>
        <v>მ.პ.გ. ქართული ოცნება - დემოკრატიული საქართველო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83"/>
      <c r="B7" s="283"/>
      <c r="C7" s="283"/>
      <c r="D7" s="283"/>
      <c r="E7" s="283"/>
      <c r="F7" s="283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28" t="s">
        <v>348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28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9" ht="15">
      <c r="A17" s="87"/>
      <c r="B17" s="87"/>
      <c r="C17" s="87"/>
      <c r="D17" s="87"/>
      <c r="E17" s="87"/>
      <c r="F17" s="87"/>
      <c r="G17" s="4"/>
      <c r="H17" s="4"/>
    </row>
    <row r="18" spans="1:9" ht="15">
      <c r="A18" s="87"/>
      <c r="B18" s="87"/>
      <c r="C18" s="87"/>
      <c r="D18" s="87"/>
      <c r="E18" s="87"/>
      <c r="F18" s="87"/>
      <c r="G18" s="4"/>
      <c r="H18" s="4"/>
    </row>
    <row r="19" spans="1:9" ht="15">
      <c r="A19" s="87"/>
      <c r="B19" s="87"/>
      <c r="C19" s="87"/>
      <c r="D19" s="87"/>
      <c r="E19" s="87"/>
      <c r="F19" s="87"/>
      <c r="G19" s="4"/>
      <c r="H19" s="4"/>
    </row>
    <row r="20" spans="1:9" ht="15">
      <c r="A20" s="87"/>
      <c r="B20" s="87"/>
      <c r="C20" s="87"/>
      <c r="D20" s="87"/>
      <c r="E20" s="87"/>
      <c r="F20" s="87"/>
      <c r="G20" s="4"/>
      <c r="H20" s="4"/>
    </row>
    <row r="21" spans="1:9" ht="15">
      <c r="A21" s="87"/>
      <c r="B21" s="87"/>
      <c r="C21" s="87"/>
      <c r="D21" s="87"/>
      <c r="E21" s="87"/>
      <c r="F21" s="87"/>
      <c r="G21" s="4"/>
      <c r="H21" s="4"/>
    </row>
    <row r="22" spans="1:9" ht="15">
      <c r="A22" s="87"/>
      <c r="B22" s="87"/>
      <c r="C22" s="87"/>
      <c r="D22" s="87"/>
      <c r="E22" s="87"/>
      <c r="F22" s="87"/>
      <c r="G22" s="4"/>
      <c r="H22" s="4"/>
    </row>
    <row r="23" spans="1:9" ht="15">
      <c r="A23" s="87"/>
      <c r="B23" s="87"/>
      <c r="C23" s="87"/>
      <c r="D23" s="87"/>
      <c r="E23" s="87"/>
      <c r="F23" s="87"/>
      <c r="G23" s="4"/>
      <c r="H23" s="4"/>
    </row>
    <row r="24" spans="1:9" ht="15">
      <c r="A24" s="87"/>
      <c r="B24" s="87"/>
      <c r="C24" s="87"/>
      <c r="D24" s="87"/>
      <c r="E24" s="87"/>
      <c r="F24" s="87"/>
      <c r="G24" s="4"/>
      <c r="H24" s="4"/>
    </row>
    <row r="25" spans="1:9" ht="15">
      <c r="A25" s="87"/>
      <c r="B25" s="87"/>
      <c r="C25" s="87"/>
      <c r="D25" s="87"/>
      <c r="E25" s="87"/>
      <c r="F25" s="87"/>
      <c r="G25" s="4"/>
      <c r="H25" s="4"/>
    </row>
    <row r="26" spans="1:9" ht="15">
      <c r="A26" s="87"/>
      <c r="B26" s="87"/>
      <c r="C26" s="87"/>
      <c r="D26" s="87"/>
      <c r="E26" s="87"/>
      <c r="F26" s="87"/>
      <c r="G26" s="4"/>
      <c r="H26" s="4"/>
    </row>
    <row r="27" spans="1:9" ht="15">
      <c r="A27" s="87"/>
      <c r="B27" s="87"/>
      <c r="C27" s="87"/>
      <c r="D27" s="87"/>
      <c r="E27" s="87"/>
      <c r="F27" s="87"/>
      <c r="G27" s="4"/>
      <c r="H27" s="4"/>
    </row>
    <row r="28" spans="1:9" ht="15">
      <c r="A28" s="87"/>
      <c r="B28" s="87"/>
      <c r="C28" s="87"/>
      <c r="D28" s="87"/>
      <c r="E28" s="87"/>
      <c r="F28" s="87"/>
      <c r="G28" s="4"/>
      <c r="H28" s="4"/>
    </row>
    <row r="29" spans="1:9" ht="15">
      <c r="A29" s="87"/>
      <c r="B29" s="99"/>
      <c r="C29" s="99"/>
      <c r="D29" s="99"/>
      <c r="E29" s="99"/>
      <c r="F29" s="99" t="s">
        <v>347</v>
      </c>
      <c r="G29" s="86">
        <f>SUM(G9:G28)</f>
        <v>0</v>
      </c>
      <c r="H29" s="86">
        <f>SUM(H9:H28)</f>
        <v>0</v>
      </c>
    </row>
    <row r="30" spans="1:9" ht="15">
      <c r="A30" s="226"/>
      <c r="B30" s="226"/>
      <c r="C30" s="226"/>
      <c r="D30" s="226"/>
      <c r="E30" s="226"/>
      <c r="F30" s="226"/>
      <c r="G30" s="226"/>
      <c r="H30" s="184"/>
      <c r="I30" s="184"/>
    </row>
    <row r="31" spans="1:9" ht="15">
      <c r="A31" s="227" t="s">
        <v>480</v>
      </c>
      <c r="B31" s="227"/>
      <c r="C31" s="226"/>
      <c r="D31" s="226"/>
      <c r="E31" s="226"/>
      <c r="F31" s="226"/>
      <c r="G31" s="226"/>
      <c r="H31" s="184"/>
      <c r="I31" s="184"/>
    </row>
    <row r="32" spans="1:9" ht="15">
      <c r="A32" s="227"/>
      <c r="B32" s="227"/>
      <c r="C32" s="226"/>
      <c r="D32" s="226"/>
      <c r="E32" s="226"/>
      <c r="F32" s="226"/>
      <c r="G32" s="226"/>
      <c r="H32" s="184"/>
      <c r="I32" s="184"/>
    </row>
    <row r="33" spans="1:9" ht="15">
      <c r="A33" s="227"/>
      <c r="B33" s="227"/>
      <c r="C33" s="184"/>
      <c r="D33" s="184"/>
      <c r="E33" s="184"/>
      <c r="F33" s="184"/>
      <c r="G33" s="184"/>
      <c r="H33" s="184"/>
      <c r="I33" s="184"/>
    </row>
    <row r="34" spans="1:9" ht="15">
      <c r="A34" s="227"/>
      <c r="B34" s="227"/>
      <c r="C34" s="184"/>
      <c r="D34" s="184"/>
      <c r="E34" s="184"/>
      <c r="F34" s="184"/>
      <c r="G34" s="184"/>
      <c r="H34" s="184"/>
      <c r="I34" s="184"/>
    </row>
    <row r="35" spans="1:9">
      <c r="A35" s="224"/>
      <c r="B35" s="224"/>
      <c r="C35" s="224"/>
      <c r="D35" s="224"/>
      <c r="E35" s="224"/>
      <c r="F35" s="224"/>
      <c r="G35" s="224"/>
      <c r="H35" s="224"/>
      <c r="I35" s="224"/>
    </row>
    <row r="36" spans="1:9" ht="15">
      <c r="A36" s="190" t="s">
        <v>107</v>
      </c>
      <c r="B36" s="190"/>
      <c r="C36" s="184"/>
      <c r="D36" s="184"/>
      <c r="E36" s="184"/>
      <c r="F36" s="184"/>
      <c r="G36" s="184"/>
      <c r="H36" s="184"/>
      <c r="I36" s="184"/>
    </row>
    <row r="37" spans="1:9" ht="15">
      <c r="A37" s="184"/>
      <c r="B37" s="184"/>
      <c r="C37" s="184"/>
      <c r="D37" s="184"/>
      <c r="E37" s="184"/>
      <c r="F37" s="184"/>
      <c r="G37" s="184"/>
      <c r="H37" s="184"/>
      <c r="I37" s="184"/>
    </row>
    <row r="38" spans="1:9" ht="15">
      <c r="A38" s="184"/>
      <c r="B38" s="184"/>
      <c r="C38" s="184"/>
      <c r="D38" s="184"/>
      <c r="E38" s="184"/>
      <c r="F38" s="184"/>
      <c r="G38" s="184"/>
      <c r="H38" s="184"/>
      <c r="I38" s="191"/>
    </row>
    <row r="39" spans="1:9" ht="15">
      <c r="A39" s="190"/>
      <c r="B39" s="190"/>
      <c r="C39" s="190" t="s">
        <v>434</v>
      </c>
      <c r="D39" s="190"/>
      <c r="E39" s="226"/>
      <c r="F39" s="190"/>
      <c r="G39" s="190"/>
      <c r="H39" s="184"/>
      <c r="I39" s="191"/>
    </row>
    <row r="40" spans="1:9" ht="15">
      <c r="A40" s="184"/>
      <c r="B40" s="184"/>
      <c r="C40" s="184" t="s">
        <v>270</v>
      </c>
      <c r="D40" s="184"/>
      <c r="E40" s="184"/>
      <c r="F40" s="184"/>
      <c r="G40" s="184"/>
      <c r="H40" s="184"/>
      <c r="I40" s="191"/>
    </row>
    <row r="41" spans="1:9">
      <c r="A41" s="192"/>
      <c r="B41" s="192"/>
      <c r="C41" s="192" t="s">
        <v>139</v>
      </c>
      <c r="D41" s="192"/>
      <c r="E41" s="192"/>
      <c r="F41" s="192"/>
      <c r="G41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079"/>
  <sheetViews>
    <sheetView tabSelected="1" view="pageBreakPreview" zoomScaleSheetLayoutView="100" workbookViewId="0">
      <selection sqref="A1:XFD1048576"/>
    </sheetView>
  </sheetViews>
  <sheetFormatPr defaultRowHeight="12.75"/>
  <cols>
    <col min="1" max="1" width="6.5703125" customWidth="1"/>
    <col min="2" max="2" width="27.5703125" customWidth="1"/>
    <col min="3" max="3" width="33.5703125" customWidth="1"/>
    <col min="4" max="4" width="16.85546875" customWidth="1"/>
    <col min="5" max="5" width="13.140625" customWidth="1"/>
    <col min="6" max="6" width="17" customWidth="1"/>
    <col min="7" max="7" width="13.7109375" customWidth="1"/>
    <col min="8" max="8" width="19.42578125" bestFit="1" customWidth="1"/>
    <col min="9" max="9" width="18.5703125" bestFit="1" customWidth="1"/>
    <col min="10" max="10" width="16.7109375" customWidth="1"/>
    <col min="11" max="11" width="17" customWidth="1"/>
    <col min="12" max="12" width="27.7109375" customWidth="1"/>
  </cols>
  <sheetData>
    <row r="2" spans="1:12">
      <c r="A2" t="s">
        <v>481</v>
      </c>
      <c r="L2" t="s">
        <v>109</v>
      </c>
    </row>
    <row r="3" spans="1:12">
      <c r="A3" t="s">
        <v>140</v>
      </c>
      <c r="K3" t="s">
        <v>515</v>
      </c>
    </row>
    <row r="5" spans="1:12">
      <c r="A5" t="s">
        <v>274</v>
      </c>
    </row>
    <row r="6" spans="1:12">
      <c r="A6" t="str">
        <f>'[3]ფორმა N1'!D4</f>
        <v>მ.პ.გ. ქართული ოცნება - დემოკრატიული საქართველო</v>
      </c>
    </row>
    <row r="9" spans="1:12">
      <c r="A9" t="s">
        <v>64</v>
      </c>
      <c r="B9" t="s">
        <v>482</v>
      </c>
      <c r="C9" t="s">
        <v>483</v>
      </c>
      <c r="D9" t="s">
        <v>484</v>
      </c>
      <c r="E9" t="s">
        <v>485</v>
      </c>
      <c r="F9" t="s">
        <v>486</v>
      </c>
      <c r="G9" t="s">
        <v>487</v>
      </c>
      <c r="H9" t="s">
        <v>488</v>
      </c>
      <c r="I9" t="s">
        <v>489</v>
      </c>
      <c r="J9" t="s">
        <v>490</v>
      </c>
      <c r="K9" t="s">
        <v>491</v>
      </c>
      <c r="L9" t="s">
        <v>318</v>
      </c>
    </row>
    <row r="10" spans="1:12">
      <c r="A10">
        <v>1</v>
      </c>
      <c r="B10" t="s">
        <v>361</v>
      </c>
      <c r="C10" t="s">
        <v>5303</v>
      </c>
      <c r="D10">
        <v>205258709</v>
      </c>
      <c r="E10" t="s">
        <v>5304</v>
      </c>
      <c r="G10">
        <v>392</v>
      </c>
      <c r="H10" t="s">
        <v>5305</v>
      </c>
      <c r="I10" t="s">
        <v>5306</v>
      </c>
      <c r="J10">
        <v>12.5</v>
      </c>
      <c r="K10">
        <v>4899.07</v>
      </c>
      <c r="L10" t="s">
        <v>5307</v>
      </c>
    </row>
    <row r="11" spans="1:12">
      <c r="A11">
        <v>2</v>
      </c>
      <c r="B11" t="s">
        <v>361</v>
      </c>
      <c r="C11" t="s">
        <v>5308</v>
      </c>
      <c r="D11">
        <v>204579839</v>
      </c>
      <c r="E11" t="s">
        <v>5304</v>
      </c>
      <c r="G11">
        <v>12</v>
      </c>
      <c r="H11" t="s">
        <v>5305</v>
      </c>
      <c r="I11" t="s">
        <v>5306</v>
      </c>
      <c r="J11">
        <v>11</v>
      </c>
      <c r="K11">
        <v>132</v>
      </c>
      <c r="L11" t="s">
        <v>5307</v>
      </c>
    </row>
    <row r="12" spans="1:12">
      <c r="A12">
        <v>3</v>
      </c>
      <c r="B12" t="s">
        <v>361</v>
      </c>
      <c r="C12" t="s">
        <v>5309</v>
      </c>
      <c r="D12">
        <v>226560860</v>
      </c>
      <c r="E12" t="s">
        <v>5304</v>
      </c>
      <c r="G12" t="s">
        <v>5310</v>
      </c>
      <c r="H12" t="s">
        <v>5305</v>
      </c>
      <c r="K12">
        <v>2804</v>
      </c>
      <c r="L12" t="s">
        <v>5311</v>
      </c>
    </row>
    <row r="13" spans="1:12">
      <c r="A13">
        <v>4</v>
      </c>
      <c r="B13" t="s">
        <v>361</v>
      </c>
      <c r="C13" t="s">
        <v>5303</v>
      </c>
      <c r="D13">
        <v>205258709</v>
      </c>
      <c r="E13" t="s">
        <v>5304</v>
      </c>
      <c r="G13">
        <v>46</v>
      </c>
      <c r="H13" t="s">
        <v>5312</v>
      </c>
      <c r="I13" t="s">
        <v>5306</v>
      </c>
      <c r="J13">
        <v>12.72</v>
      </c>
      <c r="K13">
        <v>585.12</v>
      </c>
      <c r="L13" t="s">
        <v>5313</v>
      </c>
    </row>
    <row r="14" spans="1:12">
      <c r="A14">
        <v>5</v>
      </c>
      <c r="B14" t="s">
        <v>361</v>
      </c>
      <c r="C14" t="s">
        <v>5303</v>
      </c>
      <c r="D14">
        <v>205258709</v>
      </c>
      <c r="E14" t="s">
        <v>5304</v>
      </c>
      <c r="G14">
        <v>146</v>
      </c>
      <c r="H14" t="s">
        <v>5314</v>
      </c>
      <c r="I14" t="s">
        <v>5306</v>
      </c>
      <c r="J14">
        <v>12.72</v>
      </c>
      <c r="K14">
        <v>1857.12</v>
      </c>
      <c r="L14" t="s">
        <v>5313</v>
      </c>
    </row>
    <row r="15" spans="1:12">
      <c r="A15">
        <v>6</v>
      </c>
      <c r="B15" t="s">
        <v>361</v>
      </c>
      <c r="C15" t="s">
        <v>5303</v>
      </c>
      <c r="D15">
        <v>205258709</v>
      </c>
      <c r="E15" t="s">
        <v>5304</v>
      </c>
      <c r="G15">
        <v>2.4</v>
      </c>
      <c r="H15" t="s">
        <v>5315</v>
      </c>
      <c r="I15" t="s">
        <v>5306</v>
      </c>
      <c r="J15">
        <v>120</v>
      </c>
      <c r="K15">
        <v>288</v>
      </c>
      <c r="L15" t="s">
        <v>5307</v>
      </c>
    </row>
    <row r="16" spans="1:12">
      <c r="A16">
        <v>7</v>
      </c>
      <c r="B16" t="s">
        <v>361</v>
      </c>
      <c r="C16" t="s">
        <v>5316</v>
      </c>
      <c r="D16">
        <v>437063035</v>
      </c>
      <c r="E16" t="s">
        <v>5304</v>
      </c>
      <c r="G16">
        <v>23</v>
      </c>
      <c r="H16" t="s">
        <v>5312</v>
      </c>
      <c r="I16" t="s">
        <v>5306</v>
      </c>
      <c r="J16">
        <v>2.0499999999999998</v>
      </c>
      <c r="K16">
        <v>94.3</v>
      </c>
      <c r="L16" t="s">
        <v>5317</v>
      </c>
    </row>
    <row r="17" spans="1:12">
      <c r="A17">
        <v>8</v>
      </c>
      <c r="B17" t="s">
        <v>361</v>
      </c>
      <c r="C17" t="s">
        <v>5318</v>
      </c>
      <c r="D17">
        <v>437063026</v>
      </c>
      <c r="E17" t="s">
        <v>5304</v>
      </c>
      <c r="G17">
        <v>73</v>
      </c>
      <c r="H17" t="s">
        <v>5314</v>
      </c>
      <c r="I17" t="s">
        <v>5306</v>
      </c>
      <c r="J17">
        <v>2.0499999999999998</v>
      </c>
      <c r="K17">
        <v>299.3</v>
      </c>
      <c r="L17" t="s">
        <v>5317</v>
      </c>
    </row>
    <row r="18" spans="1:12" ht="50.1" customHeight="1">
      <c r="A18">
        <v>9</v>
      </c>
      <c r="B18" t="s">
        <v>3952</v>
      </c>
      <c r="C18" t="s">
        <v>3953</v>
      </c>
      <c r="D18">
        <v>404975452</v>
      </c>
      <c r="E18" t="s">
        <v>3954</v>
      </c>
      <c r="F18" t="s">
        <v>3955</v>
      </c>
      <c r="G18" t="s">
        <v>3956</v>
      </c>
      <c r="H18" t="s">
        <v>3954</v>
      </c>
      <c r="I18" t="s">
        <v>3773</v>
      </c>
      <c r="J18">
        <f>K18/91</f>
        <v>287.16241758241756</v>
      </c>
      <c r="K18">
        <v>26131.78</v>
      </c>
      <c r="L18" t="s">
        <v>3957</v>
      </c>
    </row>
    <row r="19" spans="1:12" ht="50.1" customHeight="1">
      <c r="A19">
        <v>10</v>
      </c>
      <c r="B19" t="s">
        <v>3952</v>
      </c>
      <c r="C19" t="s">
        <v>3953</v>
      </c>
      <c r="D19">
        <v>404975452</v>
      </c>
      <c r="E19" t="s">
        <v>3954</v>
      </c>
      <c r="F19" t="s">
        <v>3955</v>
      </c>
      <c r="G19" t="s">
        <v>3958</v>
      </c>
      <c r="H19" t="s">
        <v>3954</v>
      </c>
      <c r="I19" t="s">
        <v>3773</v>
      </c>
      <c r="J19">
        <f>K19/91</f>
        <v>70.142857142857139</v>
      </c>
      <c r="K19">
        <v>6383</v>
      </c>
      <c r="L19" t="s">
        <v>3959</v>
      </c>
    </row>
    <row r="20" spans="1:12" ht="50.1" customHeight="1">
      <c r="A20">
        <v>11</v>
      </c>
      <c r="B20" t="s">
        <v>3952</v>
      </c>
      <c r="C20" t="s">
        <v>3953</v>
      </c>
      <c r="D20">
        <v>404975452</v>
      </c>
      <c r="E20" t="s">
        <v>3954</v>
      </c>
      <c r="F20" t="s">
        <v>3955</v>
      </c>
      <c r="G20" t="s">
        <v>3960</v>
      </c>
      <c r="H20" t="s">
        <v>3954</v>
      </c>
      <c r="I20" t="s">
        <v>3773</v>
      </c>
      <c r="J20">
        <f t="shared" ref="J20:J75" si="0">K20/91</f>
        <v>168.97857142857143</v>
      </c>
      <c r="K20">
        <v>15377.05</v>
      </c>
      <c r="L20" t="s">
        <v>3961</v>
      </c>
    </row>
    <row r="21" spans="1:12" ht="50.1" customHeight="1">
      <c r="A21">
        <v>12</v>
      </c>
      <c r="B21" t="s">
        <v>3952</v>
      </c>
      <c r="C21" t="s">
        <v>3953</v>
      </c>
      <c r="D21">
        <v>404975452</v>
      </c>
      <c r="E21" t="s">
        <v>3954</v>
      </c>
      <c r="F21" t="s">
        <v>3955</v>
      </c>
      <c r="G21" t="s">
        <v>3962</v>
      </c>
      <c r="H21" t="s">
        <v>3954</v>
      </c>
      <c r="I21" t="s">
        <v>3773</v>
      </c>
      <c r="J21">
        <f t="shared" si="0"/>
        <v>80.747802197802201</v>
      </c>
      <c r="K21">
        <v>7348.05</v>
      </c>
      <c r="L21" t="s">
        <v>3963</v>
      </c>
    </row>
    <row r="22" spans="1:12" ht="50.1" customHeight="1">
      <c r="A22">
        <v>13</v>
      </c>
      <c r="B22" t="s">
        <v>3952</v>
      </c>
      <c r="C22" t="s">
        <v>3953</v>
      </c>
      <c r="D22">
        <v>404975452</v>
      </c>
      <c r="E22" t="s">
        <v>3954</v>
      </c>
      <c r="F22" t="s">
        <v>3955</v>
      </c>
      <c r="G22" t="s">
        <v>3964</v>
      </c>
      <c r="H22" t="s">
        <v>3954</v>
      </c>
      <c r="I22" t="s">
        <v>3773</v>
      </c>
      <c r="J22">
        <f t="shared" si="0"/>
        <v>22.411868131868133</v>
      </c>
      <c r="K22">
        <v>2039.48</v>
      </c>
      <c r="L22" t="s">
        <v>3965</v>
      </c>
    </row>
    <row r="23" spans="1:12" ht="50.1" customHeight="1">
      <c r="A23">
        <v>14</v>
      </c>
      <c r="B23" t="s">
        <v>3952</v>
      </c>
      <c r="C23" t="s">
        <v>3953</v>
      </c>
      <c r="D23">
        <v>404975452</v>
      </c>
      <c r="E23" t="s">
        <v>3954</v>
      </c>
      <c r="F23" t="s">
        <v>3955</v>
      </c>
      <c r="G23" t="s">
        <v>3966</v>
      </c>
      <c r="H23" t="s">
        <v>3954</v>
      </c>
      <c r="I23" t="s">
        <v>3773</v>
      </c>
      <c r="J23">
        <f t="shared" si="0"/>
        <v>20.158681318681321</v>
      </c>
      <c r="K23">
        <v>1834.44</v>
      </c>
      <c r="L23" t="s">
        <v>3967</v>
      </c>
    </row>
    <row r="24" spans="1:12" ht="50.1" customHeight="1">
      <c r="A24">
        <v>15</v>
      </c>
      <c r="B24" t="s">
        <v>3952</v>
      </c>
      <c r="C24" t="s">
        <v>3953</v>
      </c>
      <c r="D24">
        <v>404975452</v>
      </c>
      <c r="E24" t="s">
        <v>3954</v>
      </c>
      <c r="F24" t="s">
        <v>3955</v>
      </c>
      <c r="G24" t="s">
        <v>3968</v>
      </c>
      <c r="H24" t="s">
        <v>3954</v>
      </c>
      <c r="I24" t="s">
        <v>3773</v>
      </c>
      <c r="J24">
        <f t="shared" si="0"/>
        <v>43.578571428571429</v>
      </c>
      <c r="K24">
        <v>3965.65</v>
      </c>
      <c r="L24" t="s">
        <v>3969</v>
      </c>
    </row>
    <row r="25" spans="1:12" ht="50.1" customHeight="1">
      <c r="A25">
        <v>16</v>
      </c>
      <c r="B25" t="s">
        <v>3952</v>
      </c>
      <c r="C25" t="s">
        <v>3953</v>
      </c>
      <c r="D25">
        <v>404975452</v>
      </c>
      <c r="E25" t="s">
        <v>3954</v>
      </c>
      <c r="F25" t="s">
        <v>3955</v>
      </c>
      <c r="G25" t="s">
        <v>3970</v>
      </c>
      <c r="H25" t="s">
        <v>3954</v>
      </c>
      <c r="I25" t="s">
        <v>3773</v>
      </c>
      <c r="J25">
        <f t="shared" si="0"/>
        <v>18.676373626373625</v>
      </c>
      <c r="K25">
        <v>1699.55</v>
      </c>
      <c r="L25" t="s">
        <v>3971</v>
      </c>
    </row>
    <row r="26" spans="1:12" ht="50.1" customHeight="1">
      <c r="A26">
        <v>17</v>
      </c>
      <c r="B26" t="s">
        <v>3952</v>
      </c>
      <c r="C26" t="s">
        <v>3953</v>
      </c>
      <c r="D26">
        <v>404975452</v>
      </c>
      <c r="E26" t="s">
        <v>3954</v>
      </c>
      <c r="F26" t="s">
        <v>3955</v>
      </c>
      <c r="G26" t="s">
        <v>3972</v>
      </c>
      <c r="H26" t="s">
        <v>3954</v>
      </c>
      <c r="I26" t="s">
        <v>3773</v>
      </c>
      <c r="J26">
        <f t="shared" si="0"/>
        <v>34.586153846153849</v>
      </c>
      <c r="K26">
        <v>3147.34</v>
      </c>
      <c r="L26" t="s">
        <v>3973</v>
      </c>
    </row>
    <row r="27" spans="1:12" ht="50.1" customHeight="1">
      <c r="A27">
        <v>18</v>
      </c>
      <c r="B27" t="s">
        <v>3952</v>
      </c>
      <c r="C27" t="s">
        <v>3953</v>
      </c>
      <c r="D27">
        <v>404975452</v>
      </c>
      <c r="E27" t="s">
        <v>3954</v>
      </c>
      <c r="F27" t="s">
        <v>3955</v>
      </c>
      <c r="G27" t="s">
        <v>3968</v>
      </c>
      <c r="H27" t="s">
        <v>3954</v>
      </c>
      <c r="I27" t="s">
        <v>3773</v>
      </c>
      <c r="J27">
        <f t="shared" si="0"/>
        <v>38.687142857142859</v>
      </c>
      <c r="K27">
        <v>3520.53</v>
      </c>
      <c r="L27" t="s">
        <v>3974</v>
      </c>
    </row>
    <row r="28" spans="1:12" ht="50.1" customHeight="1">
      <c r="A28">
        <v>19</v>
      </c>
      <c r="B28" t="s">
        <v>3952</v>
      </c>
      <c r="C28" t="s">
        <v>3953</v>
      </c>
      <c r="D28">
        <v>404975452</v>
      </c>
      <c r="E28" t="s">
        <v>3954</v>
      </c>
      <c r="F28" t="s">
        <v>3955</v>
      </c>
      <c r="G28" t="s">
        <v>3975</v>
      </c>
      <c r="H28" t="s">
        <v>3954</v>
      </c>
      <c r="I28" t="s">
        <v>3773</v>
      </c>
      <c r="J28">
        <f t="shared" si="0"/>
        <v>26.147362637362637</v>
      </c>
      <c r="K28">
        <v>2379.41</v>
      </c>
      <c r="L28" t="s">
        <v>3976</v>
      </c>
    </row>
    <row r="29" spans="1:12" ht="50.1" customHeight="1">
      <c r="A29">
        <v>20</v>
      </c>
      <c r="B29" t="s">
        <v>3977</v>
      </c>
      <c r="C29" t="s">
        <v>3978</v>
      </c>
      <c r="D29">
        <v>211326224</v>
      </c>
      <c r="E29" t="s">
        <v>3954</v>
      </c>
      <c r="F29" t="s">
        <v>3955</v>
      </c>
      <c r="G29">
        <v>6000</v>
      </c>
      <c r="H29" t="s">
        <v>3954</v>
      </c>
      <c r="I29" t="s">
        <v>3979</v>
      </c>
      <c r="J29">
        <f t="shared" si="0"/>
        <v>209.28571428571428</v>
      </c>
      <c r="K29">
        <v>19045</v>
      </c>
      <c r="L29" t="s">
        <v>3980</v>
      </c>
    </row>
    <row r="30" spans="1:12" ht="50.1" customHeight="1">
      <c r="A30">
        <v>21</v>
      </c>
      <c r="B30" t="s">
        <v>3977</v>
      </c>
      <c r="C30" t="s">
        <v>3978</v>
      </c>
      <c r="D30">
        <v>211326224</v>
      </c>
      <c r="E30" t="s">
        <v>3954</v>
      </c>
      <c r="F30" t="s">
        <v>3955</v>
      </c>
      <c r="G30">
        <v>500</v>
      </c>
      <c r="H30" t="s">
        <v>3954</v>
      </c>
      <c r="I30" t="s">
        <v>3979</v>
      </c>
      <c r="J30">
        <f t="shared" si="0"/>
        <v>25.837362637362634</v>
      </c>
      <c r="K30">
        <v>2351.1999999999998</v>
      </c>
      <c r="L30" t="s">
        <v>3981</v>
      </c>
    </row>
    <row r="31" spans="1:12" ht="50.1" customHeight="1">
      <c r="A31">
        <v>22</v>
      </c>
      <c r="B31" t="s">
        <v>3977</v>
      </c>
      <c r="C31" t="s">
        <v>3978</v>
      </c>
      <c r="D31">
        <v>211326224</v>
      </c>
      <c r="E31" t="s">
        <v>3954</v>
      </c>
      <c r="F31" t="s">
        <v>3955</v>
      </c>
      <c r="G31">
        <v>500</v>
      </c>
      <c r="H31" t="s">
        <v>3954</v>
      </c>
      <c r="I31" t="s">
        <v>3979</v>
      </c>
      <c r="J31">
        <f t="shared" si="0"/>
        <v>35.775824175824177</v>
      </c>
      <c r="K31">
        <v>3255.6</v>
      </c>
      <c r="L31" t="s">
        <v>3982</v>
      </c>
    </row>
    <row r="32" spans="1:12" ht="50.1" customHeight="1">
      <c r="A32">
        <v>23</v>
      </c>
      <c r="B32" t="s">
        <v>3952</v>
      </c>
      <c r="C32" t="s">
        <v>3983</v>
      </c>
      <c r="D32">
        <v>441994585</v>
      </c>
      <c r="E32" t="s">
        <v>3954</v>
      </c>
      <c r="F32" t="s">
        <v>3955</v>
      </c>
      <c r="G32" t="s">
        <v>3984</v>
      </c>
      <c r="H32" t="s">
        <v>3954</v>
      </c>
      <c r="I32" t="s">
        <v>3773</v>
      </c>
      <c r="J32">
        <f t="shared" si="0"/>
        <v>46.153846153846153</v>
      </c>
      <c r="K32">
        <v>4200</v>
      </c>
      <c r="L32" t="s">
        <v>3985</v>
      </c>
    </row>
    <row r="33" spans="1:12" ht="50.1" customHeight="1">
      <c r="A33">
        <v>24</v>
      </c>
      <c r="B33" t="s">
        <v>3977</v>
      </c>
      <c r="C33" t="s">
        <v>3983</v>
      </c>
      <c r="D33">
        <v>441994585</v>
      </c>
      <c r="E33" t="s">
        <v>3954</v>
      </c>
      <c r="F33" t="s">
        <v>3955</v>
      </c>
      <c r="G33">
        <v>100</v>
      </c>
      <c r="H33" t="s">
        <v>3954</v>
      </c>
      <c r="I33" t="s">
        <v>3979</v>
      </c>
      <c r="J33">
        <f t="shared" si="0"/>
        <v>71.15384615384616</v>
      </c>
      <c r="K33">
        <v>6475</v>
      </c>
      <c r="L33" t="s">
        <v>3986</v>
      </c>
    </row>
    <row r="34" spans="1:12" ht="50.1" customHeight="1">
      <c r="A34">
        <v>25</v>
      </c>
      <c r="B34" t="s">
        <v>3977</v>
      </c>
      <c r="C34" t="s">
        <v>3983</v>
      </c>
      <c r="D34">
        <v>441994585</v>
      </c>
      <c r="E34" t="s">
        <v>3954</v>
      </c>
      <c r="F34" t="s">
        <v>3955</v>
      </c>
      <c r="G34">
        <v>1000</v>
      </c>
      <c r="H34" t="s">
        <v>3954</v>
      </c>
      <c r="I34" t="s">
        <v>3979</v>
      </c>
      <c r="J34">
        <f t="shared" si="0"/>
        <v>130.76923076923077</v>
      </c>
      <c r="K34">
        <v>11900</v>
      </c>
      <c r="L34" t="s">
        <v>3986</v>
      </c>
    </row>
    <row r="35" spans="1:12" ht="50.1" customHeight="1">
      <c r="A35">
        <v>26</v>
      </c>
      <c r="B35" t="s">
        <v>3952</v>
      </c>
      <c r="C35" t="s">
        <v>3983</v>
      </c>
      <c r="D35">
        <v>441994585</v>
      </c>
      <c r="E35" t="s">
        <v>3954</v>
      </c>
      <c r="F35" t="s">
        <v>3955</v>
      </c>
      <c r="H35" t="s">
        <v>3954</v>
      </c>
      <c r="J35">
        <f t="shared" si="0"/>
        <v>26.373626373626372</v>
      </c>
      <c r="K35">
        <v>2400</v>
      </c>
      <c r="L35" t="s">
        <v>3987</v>
      </c>
    </row>
    <row r="36" spans="1:12" ht="50.1" customHeight="1">
      <c r="A36">
        <v>27</v>
      </c>
      <c r="B36" t="s">
        <v>3952</v>
      </c>
      <c r="C36" t="s">
        <v>3988</v>
      </c>
      <c r="D36">
        <v>206341010</v>
      </c>
      <c r="E36" t="s">
        <v>3954</v>
      </c>
      <c r="F36" t="s">
        <v>3955</v>
      </c>
      <c r="G36" t="s">
        <v>3989</v>
      </c>
      <c r="H36" t="s">
        <v>3954</v>
      </c>
      <c r="I36" t="s">
        <v>3773</v>
      </c>
      <c r="J36">
        <f t="shared" si="0"/>
        <v>16.483516483516482</v>
      </c>
      <c r="K36">
        <v>1500</v>
      </c>
      <c r="L36" t="s">
        <v>3990</v>
      </c>
    </row>
    <row r="37" spans="1:12" ht="50.1" customHeight="1">
      <c r="A37">
        <v>28</v>
      </c>
      <c r="B37" t="s">
        <v>3952</v>
      </c>
      <c r="C37" t="s">
        <v>3991</v>
      </c>
      <c r="D37">
        <v>206341010</v>
      </c>
      <c r="E37" t="s">
        <v>3954</v>
      </c>
      <c r="F37" t="s">
        <v>3955</v>
      </c>
      <c r="G37" t="s">
        <v>3992</v>
      </c>
      <c r="H37" t="s">
        <v>3954</v>
      </c>
      <c r="I37" t="s">
        <v>3773</v>
      </c>
      <c r="J37">
        <f t="shared" si="0"/>
        <v>9.8901098901098905</v>
      </c>
      <c r="K37">
        <v>900</v>
      </c>
      <c r="L37" t="s">
        <v>3993</v>
      </c>
    </row>
    <row r="38" spans="1:12" ht="50.1" customHeight="1">
      <c r="A38">
        <v>29</v>
      </c>
      <c r="B38" t="s">
        <v>3952</v>
      </c>
      <c r="C38" t="s">
        <v>3994</v>
      </c>
      <c r="D38">
        <v>211323735</v>
      </c>
      <c r="E38" t="s">
        <v>3954</v>
      </c>
      <c r="F38" t="s">
        <v>3955</v>
      </c>
      <c r="G38" t="s">
        <v>3995</v>
      </c>
      <c r="H38" t="s">
        <v>3954</v>
      </c>
      <c r="I38" t="s">
        <v>3773</v>
      </c>
      <c r="J38">
        <f t="shared" si="0"/>
        <v>49.450549450549453</v>
      </c>
      <c r="K38">
        <v>4500</v>
      </c>
      <c r="L38" t="s">
        <v>3996</v>
      </c>
    </row>
    <row r="39" spans="1:12" ht="50.1" customHeight="1">
      <c r="A39">
        <v>30</v>
      </c>
      <c r="B39" t="s">
        <v>3952</v>
      </c>
      <c r="C39" t="s">
        <v>3994</v>
      </c>
      <c r="D39">
        <v>211323735</v>
      </c>
      <c r="E39" t="s">
        <v>3954</v>
      </c>
      <c r="F39" t="s">
        <v>3955</v>
      </c>
      <c r="H39" t="s">
        <v>3954</v>
      </c>
      <c r="J39">
        <f t="shared" si="0"/>
        <v>32.967032967032964</v>
      </c>
      <c r="K39">
        <v>3000</v>
      </c>
      <c r="L39" t="s">
        <v>3997</v>
      </c>
    </row>
    <row r="40" spans="1:12" ht="50.1" customHeight="1">
      <c r="A40">
        <v>31</v>
      </c>
      <c r="B40" t="s">
        <v>3952</v>
      </c>
      <c r="C40" t="s">
        <v>3998</v>
      </c>
      <c r="D40">
        <v>400122648</v>
      </c>
      <c r="E40" t="s">
        <v>3954</v>
      </c>
      <c r="F40" t="s">
        <v>3955</v>
      </c>
      <c r="G40" t="s">
        <v>3999</v>
      </c>
      <c r="H40" t="s">
        <v>3954</v>
      </c>
      <c r="I40" t="s">
        <v>3773</v>
      </c>
      <c r="J40">
        <f t="shared" si="0"/>
        <v>76.92307692307692</v>
      </c>
      <c r="K40">
        <v>7000</v>
      </c>
      <c r="L40" t="s">
        <v>4000</v>
      </c>
    </row>
    <row r="41" spans="1:12" ht="50.1" customHeight="1">
      <c r="A41">
        <v>32</v>
      </c>
      <c r="B41" t="s">
        <v>3952</v>
      </c>
      <c r="C41" t="s">
        <v>3998</v>
      </c>
      <c r="D41">
        <v>400122648</v>
      </c>
      <c r="E41" t="s">
        <v>3954</v>
      </c>
      <c r="F41" t="s">
        <v>3955</v>
      </c>
      <c r="H41" t="s">
        <v>3954</v>
      </c>
      <c r="J41">
        <f t="shared" si="0"/>
        <v>27.472527472527471</v>
      </c>
      <c r="K41">
        <v>2500</v>
      </c>
      <c r="L41" t="s">
        <v>4001</v>
      </c>
    </row>
    <row r="42" spans="1:12" ht="50.1" customHeight="1">
      <c r="A42">
        <v>33</v>
      </c>
      <c r="B42" t="s">
        <v>3952</v>
      </c>
      <c r="C42" t="s">
        <v>4002</v>
      </c>
      <c r="D42">
        <v>419982978</v>
      </c>
      <c r="E42" t="s">
        <v>3954</v>
      </c>
      <c r="F42" t="s">
        <v>3955</v>
      </c>
      <c r="G42" t="s">
        <v>4003</v>
      </c>
      <c r="H42" t="s">
        <v>3954</v>
      </c>
      <c r="I42" t="s">
        <v>3773</v>
      </c>
      <c r="J42">
        <f t="shared" si="0"/>
        <v>51.593406593406591</v>
      </c>
      <c r="K42">
        <v>4695</v>
      </c>
      <c r="L42" t="s">
        <v>4004</v>
      </c>
    </row>
    <row r="43" spans="1:12" ht="50.1" customHeight="1">
      <c r="A43">
        <v>34</v>
      </c>
      <c r="B43" t="s">
        <v>3952</v>
      </c>
      <c r="C43" t="s">
        <v>4002</v>
      </c>
      <c r="D43">
        <v>419982978</v>
      </c>
      <c r="E43" t="s">
        <v>3954</v>
      </c>
      <c r="F43" t="s">
        <v>3955</v>
      </c>
      <c r="H43" t="s">
        <v>3954</v>
      </c>
      <c r="J43">
        <f t="shared" si="0"/>
        <v>41.406593406593409</v>
      </c>
      <c r="K43">
        <v>3768</v>
      </c>
      <c r="L43" t="s">
        <v>4005</v>
      </c>
    </row>
    <row r="44" spans="1:12" ht="50.1" customHeight="1">
      <c r="A44">
        <v>35</v>
      </c>
      <c r="B44" t="s">
        <v>3952</v>
      </c>
      <c r="C44" t="s">
        <v>4006</v>
      </c>
      <c r="D44">
        <v>205271971</v>
      </c>
      <c r="E44" t="s">
        <v>3954</v>
      </c>
      <c r="F44" t="s">
        <v>3955</v>
      </c>
      <c r="G44" t="s">
        <v>4007</v>
      </c>
      <c r="H44" t="s">
        <v>3954</v>
      </c>
      <c r="I44" t="s">
        <v>3773</v>
      </c>
      <c r="J44">
        <f t="shared" si="0"/>
        <v>67.00659340659341</v>
      </c>
      <c r="K44">
        <v>6097.6</v>
      </c>
      <c r="L44" t="s">
        <v>4008</v>
      </c>
    </row>
    <row r="45" spans="1:12" ht="50.1" customHeight="1">
      <c r="A45">
        <v>36</v>
      </c>
      <c r="B45" t="s">
        <v>3977</v>
      </c>
      <c r="C45" t="s">
        <v>4006</v>
      </c>
      <c r="D45">
        <v>205271971</v>
      </c>
      <c r="E45" t="s">
        <v>3954</v>
      </c>
      <c r="F45" t="s">
        <v>3955</v>
      </c>
      <c r="G45">
        <v>1080</v>
      </c>
      <c r="H45" t="s">
        <v>3954</v>
      </c>
      <c r="I45" t="s">
        <v>3979</v>
      </c>
      <c r="J45">
        <f t="shared" si="0"/>
        <v>38.071978021978026</v>
      </c>
      <c r="K45">
        <v>3464.55</v>
      </c>
      <c r="L45" t="s">
        <v>4009</v>
      </c>
    </row>
    <row r="46" spans="1:12" ht="50.1" customHeight="1">
      <c r="A46">
        <v>37</v>
      </c>
      <c r="B46" t="s">
        <v>3977</v>
      </c>
      <c r="C46" t="s">
        <v>4010</v>
      </c>
      <c r="D46">
        <v>404396676</v>
      </c>
      <c r="E46" t="s">
        <v>3954</v>
      </c>
      <c r="F46" t="s">
        <v>3955</v>
      </c>
      <c r="G46">
        <v>5000</v>
      </c>
      <c r="H46" t="s">
        <v>3954</v>
      </c>
      <c r="I46" t="s">
        <v>3979</v>
      </c>
      <c r="J46">
        <f t="shared" si="0"/>
        <v>49.450549450549453</v>
      </c>
      <c r="K46">
        <v>4500</v>
      </c>
      <c r="L46" t="s">
        <v>4011</v>
      </c>
    </row>
    <row r="47" spans="1:12" ht="50.1" customHeight="1">
      <c r="A47">
        <v>38</v>
      </c>
      <c r="B47" t="s">
        <v>3952</v>
      </c>
      <c r="C47" t="s">
        <v>4010</v>
      </c>
      <c r="D47">
        <v>404396676</v>
      </c>
      <c r="E47" t="s">
        <v>3954</v>
      </c>
      <c r="F47" t="s">
        <v>3955</v>
      </c>
      <c r="G47">
        <v>5</v>
      </c>
      <c r="H47" t="s">
        <v>3954</v>
      </c>
      <c r="I47" t="s">
        <v>4012</v>
      </c>
      <c r="J47">
        <f t="shared" si="0"/>
        <v>5.4945054945054945</v>
      </c>
      <c r="K47">
        <v>500</v>
      </c>
      <c r="L47" t="s">
        <v>4013</v>
      </c>
    </row>
    <row r="48" spans="1:12" ht="50.1" customHeight="1">
      <c r="A48">
        <v>39</v>
      </c>
      <c r="B48" t="s">
        <v>3977</v>
      </c>
      <c r="C48" t="s">
        <v>4010</v>
      </c>
      <c r="D48">
        <v>404396676</v>
      </c>
      <c r="E48" t="s">
        <v>3954</v>
      </c>
      <c r="F48" t="s">
        <v>3955</v>
      </c>
      <c r="G48">
        <v>500</v>
      </c>
      <c r="H48" t="s">
        <v>3954</v>
      </c>
      <c r="I48" t="s">
        <v>3979</v>
      </c>
      <c r="J48">
        <f t="shared" si="0"/>
        <v>10.989010989010989</v>
      </c>
      <c r="K48">
        <v>1000</v>
      </c>
      <c r="L48" t="s">
        <v>4014</v>
      </c>
    </row>
    <row r="49" spans="1:12" ht="50.1" customHeight="1">
      <c r="A49">
        <v>40</v>
      </c>
      <c r="B49" t="s">
        <v>3952</v>
      </c>
      <c r="C49" t="s">
        <v>4015</v>
      </c>
      <c r="D49">
        <v>202221577</v>
      </c>
      <c r="E49" t="s">
        <v>3954</v>
      </c>
      <c r="F49" t="s">
        <v>3955</v>
      </c>
      <c r="G49" t="s">
        <v>4016</v>
      </c>
      <c r="H49" t="s">
        <v>3954</v>
      </c>
      <c r="I49" t="s">
        <v>3773</v>
      </c>
      <c r="J49">
        <f t="shared" si="0"/>
        <v>79.120879120879124</v>
      </c>
      <c r="K49">
        <v>7200</v>
      </c>
      <c r="L49" t="s">
        <v>4017</v>
      </c>
    </row>
    <row r="50" spans="1:12" ht="50.1" customHeight="1">
      <c r="A50">
        <v>41</v>
      </c>
      <c r="B50" t="s">
        <v>3952</v>
      </c>
      <c r="C50" t="s">
        <v>4015</v>
      </c>
      <c r="D50">
        <v>202221577</v>
      </c>
      <c r="E50" t="s">
        <v>3954</v>
      </c>
      <c r="F50" t="s">
        <v>3955</v>
      </c>
      <c r="H50" t="s">
        <v>3954</v>
      </c>
      <c r="J50">
        <f t="shared" si="0"/>
        <v>85.714285714285708</v>
      </c>
      <c r="K50">
        <v>7800</v>
      </c>
      <c r="L50" t="s">
        <v>4018</v>
      </c>
    </row>
    <row r="51" spans="1:12" ht="50.1" customHeight="1">
      <c r="A51">
        <v>42</v>
      </c>
      <c r="B51" t="s">
        <v>3952</v>
      </c>
      <c r="C51" t="s">
        <v>4019</v>
      </c>
      <c r="D51">
        <v>401951189</v>
      </c>
      <c r="E51" t="s">
        <v>3954</v>
      </c>
      <c r="F51" t="s">
        <v>3955</v>
      </c>
      <c r="G51" t="s">
        <v>4020</v>
      </c>
      <c r="H51" t="s">
        <v>3954</v>
      </c>
      <c r="I51" t="s">
        <v>3773</v>
      </c>
      <c r="J51">
        <f t="shared" si="0"/>
        <v>13.186813186813186</v>
      </c>
      <c r="K51">
        <v>1200</v>
      </c>
      <c r="L51" t="s">
        <v>4021</v>
      </c>
    </row>
    <row r="52" spans="1:12" ht="50.1" customHeight="1">
      <c r="A52">
        <v>43</v>
      </c>
      <c r="B52" t="s">
        <v>3952</v>
      </c>
      <c r="C52" t="s">
        <v>4019</v>
      </c>
      <c r="D52">
        <v>401951189</v>
      </c>
      <c r="E52" t="s">
        <v>3954</v>
      </c>
      <c r="F52" t="s">
        <v>3955</v>
      </c>
      <c r="H52" t="s">
        <v>3954</v>
      </c>
      <c r="J52">
        <f t="shared" si="0"/>
        <v>13.186813186813186</v>
      </c>
      <c r="K52">
        <v>1200</v>
      </c>
      <c r="L52" t="s">
        <v>4022</v>
      </c>
    </row>
    <row r="53" spans="1:12" ht="50.1" customHeight="1">
      <c r="A53">
        <v>44</v>
      </c>
      <c r="B53" t="s">
        <v>3952</v>
      </c>
      <c r="C53" t="s">
        <v>4023</v>
      </c>
      <c r="D53">
        <v>404455166</v>
      </c>
      <c r="E53" t="s">
        <v>3954</v>
      </c>
      <c r="F53" t="s">
        <v>3955</v>
      </c>
      <c r="G53" t="s">
        <v>4024</v>
      </c>
      <c r="H53" t="s">
        <v>3954</v>
      </c>
      <c r="I53" t="s">
        <v>3773</v>
      </c>
      <c r="J53">
        <f t="shared" si="0"/>
        <v>16.483516483516482</v>
      </c>
      <c r="K53">
        <v>1500</v>
      </c>
      <c r="L53" t="s">
        <v>4025</v>
      </c>
    </row>
    <row r="54" spans="1:12" ht="50.1" customHeight="1">
      <c r="A54">
        <v>45</v>
      </c>
      <c r="B54" t="s">
        <v>3952</v>
      </c>
      <c r="C54" t="s">
        <v>4023</v>
      </c>
      <c r="D54">
        <v>404455166</v>
      </c>
      <c r="E54" t="s">
        <v>3954</v>
      </c>
      <c r="F54" t="s">
        <v>3955</v>
      </c>
      <c r="H54" t="s">
        <v>3954</v>
      </c>
      <c r="J54">
        <f t="shared" si="0"/>
        <v>42.857142857142854</v>
      </c>
      <c r="K54">
        <v>3900</v>
      </c>
      <c r="L54" t="s">
        <v>4026</v>
      </c>
    </row>
    <row r="55" spans="1:12" ht="50.1" customHeight="1">
      <c r="A55">
        <v>46</v>
      </c>
      <c r="B55" t="s">
        <v>3952</v>
      </c>
      <c r="C55" t="s">
        <v>4027</v>
      </c>
      <c r="D55">
        <v>406101668</v>
      </c>
      <c r="E55" t="s">
        <v>3954</v>
      </c>
      <c r="F55" t="s">
        <v>3955</v>
      </c>
      <c r="H55" t="s">
        <v>3954</v>
      </c>
      <c r="J55">
        <f t="shared" si="0"/>
        <v>26.373626373626372</v>
      </c>
      <c r="K55">
        <v>2400</v>
      </c>
      <c r="L55" t="s">
        <v>4028</v>
      </c>
    </row>
    <row r="56" spans="1:12" ht="50.1" customHeight="1">
      <c r="A56">
        <v>47</v>
      </c>
      <c r="B56" t="s">
        <v>3952</v>
      </c>
      <c r="C56" t="s">
        <v>4029</v>
      </c>
      <c r="D56">
        <v>406157359</v>
      </c>
      <c r="E56" t="s">
        <v>3954</v>
      </c>
      <c r="F56" t="s">
        <v>3955</v>
      </c>
      <c r="G56" t="s">
        <v>4030</v>
      </c>
      <c r="H56" t="s">
        <v>3954</v>
      </c>
      <c r="I56" t="s">
        <v>3773</v>
      </c>
      <c r="J56">
        <f t="shared" si="0"/>
        <v>23.076923076923077</v>
      </c>
      <c r="K56">
        <v>2100</v>
      </c>
      <c r="L56" t="s">
        <v>4031</v>
      </c>
    </row>
    <row r="57" spans="1:12" ht="50.1" customHeight="1">
      <c r="A57">
        <v>48</v>
      </c>
      <c r="B57" t="s">
        <v>3952</v>
      </c>
      <c r="C57" t="s">
        <v>4029</v>
      </c>
      <c r="D57">
        <v>406157359</v>
      </c>
      <c r="E57" t="s">
        <v>3954</v>
      </c>
      <c r="F57" t="s">
        <v>3955</v>
      </c>
      <c r="H57" t="s">
        <v>3954</v>
      </c>
      <c r="J57">
        <f t="shared" si="0"/>
        <v>16.483516483516482</v>
      </c>
      <c r="K57">
        <v>1500</v>
      </c>
      <c r="L57" t="s">
        <v>4032</v>
      </c>
    </row>
    <row r="58" spans="1:12" ht="50.1" customHeight="1">
      <c r="A58">
        <v>49</v>
      </c>
      <c r="B58" t="s">
        <v>3952</v>
      </c>
      <c r="C58" t="s">
        <v>4033</v>
      </c>
      <c r="D58">
        <v>400176581</v>
      </c>
      <c r="E58" t="s">
        <v>3954</v>
      </c>
      <c r="F58" t="s">
        <v>3955</v>
      </c>
      <c r="G58" t="s">
        <v>4034</v>
      </c>
      <c r="H58" t="s">
        <v>3954</v>
      </c>
      <c r="I58" t="s">
        <v>3773</v>
      </c>
      <c r="J58">
        <f t="shared" si="0"/>
        <v>16.483516483516482</v>
      </c>
      <c r="K58">
        <v>1500</v>
      </c>
      <c r="L58" t="s">
        <v>4035</v>
      </c>
    </row>
    <row r="59" spans="1:12" ht="50.1" customHeight="1">
      <c r="A59">
        <v>50</v>
      </c>
      <c r="B59" t="s">
        <v>3952</v>
      </c>
      <c r="C59" t="s">
        <v>4033</v>
      </c>
      <c r="D59">
        <v>400176581</v>
      </c>
      <c r="E59" t="s">
        <v>3954</v>
      </c>
      <c r="F59" t="s">
        <v>3955</v>
      </c>
      <c r="H59" t="s">
        <v>3954</v>
      </c>
      <c r="J59">
        <f t="shared" si="0"/>
        <v>16.483516483516482</v>
      </c>
      <c r="K59">
        <v>1500</v>
      </c>
      <c r="L59" t="s">
        <v>4036</v>
      </c>
    </row>
    <row r="60" spans="1:12" ht="50.1" customHeight="1">
      <c r="A60">
        <v>51</v>
      </c>
      <c r="B60" t="s">
        <v>3952</v>
      </c>
      <c r="C60" t="s">
        <v>4037</v>
      </c>
      <c r="D60">
        <v>402006468</v>
      </c>
      <c r="E60" t="s">
        <v>3954</v>
      </c>
      <c r="F60" t="s">
        <v>3955</v>
      </c>
      <c r="G60" t="s">
        <v>4038</v>
      </c>
      <c r="H60" t="s">
        <v>3954</v>
      </c>
      <c r="I60" t="s">
        <v>3773</v>
      </c>
      <c r="J60">
        <f t="shared" si="0"/>
        <v>16.483516483516482</v>
      </c>
      <c r="K60">
        <v>1500</v>
      </c>
      <c r="L60" t="s">
        <v>4039</v>
      </c>
    </row>
    <row r="61" spans="1:12" ht="50.1" customHeight="1">
      <c r="A61">
        <v>52</v>
      </c>
      <c r="B61" t="s">
        <v>3952</v>
      </c>
      <c r="C61" t="s">
        <v>4037</v>
      </c>
      <c r="D61">
        <v>402006468</v>
      </c>
      <c r="E61" t="s">
        <v>3954</v>
      </c>
      <c r="F61" t="s">
        <v>3955</v>
      </c>
      <c r="G61" t="s">
        <v>4024</v>
      </c>
      <c r="H61" t="s">
        <v>3954</v>
      </c>
      <c r="I61" t="s">
        <v>3773</v>
      </c>
      <c r="J61">
        <f t="shared" si="0"/>
        <v>9.8901098901098905</v>
      </c>
      <c r="K61">
        <v>900</v>
      </c>
      <c r="L61" t="s">
        <v>4040</v>
      </c>
    </row>
    <row r="62" spans="1:12" ht="50.1" customHeight="1">
      <c r="A62">
        <v>53</v>
      </c>
      <c r="B62" t="s">
        <v>3952</v>
      </c>
      <c r="C62" t="s">
        <v>4037</v>
      </c>
      <c r="D62">
        <v>402006468</v>
      </c>
      <c r="E62" t="s">
        <v>3954</v>
      </c>
      <c r="F62" t="s">
        <v>3955</v>
      </c>
      <c r="H62" t="s">
        <v>3954</v>
      </c>
      <c r="J62">
        <f t="shared" si="0"/>
        <v>9.8901098901098905</v>
      </c>
      <c r="K62">
        <v>900</v>
      </c>
      <c r="L62" t="s">
        <v>4041</v>
      </c>
    </row>
    <row r="63" spans="1:12" ht="50.1" customHeight="1">
      <c r="A63">
        <v>54</v>
      </c>
      <c r="B63" t="s">
        <v>3952</v>
      </c>
      <c r="C63" t="s">
        <v>4037</v>
      </c>
      <c r="D63">
        <v>402006468</v>
      </c>
      <c r="E63" t="s">
        <v>3954</v>
      </c>
      <c r="F63" t="s">
        <v>3955</v>
      </c>
      <c r="H63" t="s">
        <v>3954</v>
      </c>
      <c r="J63">
        <f t="shared" si="0"/>
        <v>3.2967032967032965</v>
      </c>
      <c r="K63">
        <v>300</v>
      </c>
      <c r="L63" t="s">
        <v>4042</v>
      </c>
    </row>
    <row r="64" spans="1:12" ht="50.1" customHeight="1">
      <c r="A64">
        <v>55</v>
      </c>
      <c r="B64" t="s">
        <v>3952</v>
      </c>
      <c r="C64" t="s">
        <v>4037</v>
      </c>
      <c r="D64">
        <v>402006468</v>
      </c>
      <c r="E64" t="s">
        <v>3954</v>
      </c>
      <c r="F64" t="s">
        <v>3955</v>
      </c>
      <c r="G64" t="s">
        <v>4043</v>
      </c>
      <c r="H64" t="s">
        <v>3954</v>
      </c>
      <c r="I64" t="s">
        <v>3773</v>
      </c>
      <c r="J64">
        <f t="shared" si="0"/>
        <v>9.8901098901098905</v>
      </c>
      <c r="K64">
        <v>900</v>
      </c>
      <c r="L64" t="s">
        <v>4044</v>
      </c>
    </row>
    <row r="65" spans="1:12" ht="50.1" customHeight="1">
      <c r="A65">
        <v>56</v>
      </c>
      <c r="B65" t="s">
        <v>3952</v>
      </c>
      <c r="C65" t="s">
        <v>4037</v>
      </c>
      <c r="D65">
        <v>402006468</v>
      </c>
      <c r="E65" t="s">
        <v>3954</v>
      </c>
      <c r="F65" t="s">
        <v>3955</v>
      </c>
      <c r="H65" t="s">
        <v>3954</v>
      </c>
      <c r="J65">
        <f t="shared" si="0"/>
        <v>6.5934065934065931</v>
      </c>
      <c r="K65">
        <v>600</v>
      </c>
      <c r="L65" t="s">
        <v>4045</v>
      </c>
    </row>
    <row r="66" spans="1:12" ht="50.1" customHeight="1">
      <c r="A66">
        <v>57</v>
      </c>
      <c r="B66" t="s">
        <v>3952</v>
      </c>
      <c r="C66" t="s">
        <v>4037</v>
      </c>
      <c r="D66">
        <v>402006468</v>
      </c>
      <c r="E66" t="s">
        <v>3954</v>
      </c>
      <c r="F66" t="s">
        <v>3955</v>
      </c>
      <c r="G66" t="s">
        <v>4046</v>
      </c>
      <c r="H66" t="s">
        <v>3954</v>
      </c>
      <c r="I66" t="s">
        <v>3773</v>
      </c>
      <c r="J66">
        <f t="shared" si="0"/>
        <v>9.8901098901098905</v>
      </c>
      <c r="K66">
        <v>900</v>
      </c>
      <c r="L66" t="s">
        <v>4047</v>
      </c>
    </row>
    <row r="67" spans="1:12" ht="50.1" customHeight="1">
      <c r="A67">
        <v>58</v>
      </c>
      <c r="B67" t="s">
        <v>3952</v>
      </c>
      <c r="C67" t="s">
        <v>4037</v>
      </c>
      <c r="D67">
        <v>402006468</v>
      </c>
      <c r="E67" t="s">
        <v>3954</v>
      </c>
      <c r="F67" t="s">
        <v>3955</v>
      </c>
      <c r="H67" t="s">
        <v>3954</v>
      </c>
      <c r="J67">
        <f t="shared" si="0"/>
        <v>6.5934065934065931</v>
      </c>
      <c r="K67">
        <v>600</v>
      </c>
      <c r="L67" t="s">
        <v>4048</v>
      </c>
    </row>
    <row r="68" spans="1:12" ht="50.1" customHeight="1">
      <c r="A68">
        <v>59</v>
      </c>
      <c r="B68" t="s">
        <v>3952</v>
      </c>
      <c r="C68" t="s">
        <v>4037</v>
      </c>
      <c r="D68">
        <v>402006468</v>
      </c>
      <c r="E68" t="s">
        <v>3954</v>
      </c>
      <c r="F68" t="s">
        <v>3955</v>
      </c>
      <c r="G68" t="s">
        <v>4049</v>
      </c>
      <c r="H68" t="s">
        <v>3954</v>
      </c>
      <c r="I68" t="s">
        <v>3773</v>
      </c>
      <c r="J68">
        <f t="shared" si="0"/>
        <v>13.186813186813186</v>
      </c>
      <c r="K68">
        <v>1200</v>
      </c>
      <c r="L68" t="s">
        <v>4050</v>
      </c>
    </row>
    <row r="69" spans="1:12" ht="50.1" customHeight="1">
      <c r="A69">
        <v>60</v>
      </c>
      <c r="B69" t="s">
        <v>3952</v>
      </c>
      <c r="C69" t="s">
        <v>4037</v>
      </c>
      <c r="D69">
        <v>402006468</v>
      </c>
      <c r="E69" t="s">
        <v>3954</v>
      </c>
      <c r="F69" t="s">
        <v>3955</v>
      </c>
      <c r="H69" t="s">
        <v>3954</v>
      </c>
      <c r="J69">
        <f t="shared" si="0"/>
        <v>9.8901098901098905</v>
      </c>
      <c r="K69">
        <v>900</v>
      </c>
      <c r="L69" t="s">
        <v>4051</v>
      </c>
    </row>
    <row r="70" spans="1:12" ht="50.1" customHeight="1">
      <c r="A70">
        <v>61</v>
      </c>
      <c r="B70" t="s">
        <v>3977</v>
      </c>
      <c r="C70" t="s">
        <v>4037</v>
      </c>
      <c r="D70">
        <v>402006468</v>
      </c>
      <c r="E70" t="s">
        <v>3954</v>
      </c>
      <c r="F70" t="s">
        <v>3955</v>
      </c>
      <c r="G70">
        <v>5000</v>
      </c>
      <c r="H70" t="s">
        <v>3954</v>
      </c>
      <c r="I70" t="s">
        <v>3979</v>
      </c>
      <c r="J70">
        <f t="shared" si="0"/>
        <v>38.46153846153846</v>
      </c>
      <c r="K70">
        <v>3500</v>
      </c>
      <c r="L70" t="s">
        <v>4052</v>
      </c>
    </row>
    <row r="71" spans="1:12" ht="50.1" customHeight="1">
      <c r="A71">
        <v>62</v>
      </c>
      <c r="B71" t="s">
        <v>3952</v>
      </c>
      <c r="C71" t="s">
        <v>3756</v>
      </c>
      <c r="D71">
        <v>405009146</v>
      </c>
      <c r="E71" t="s">
        <v>3954</v>
      </c>
      <c r="F71" t="s">
        <v>3955</v>
      </c>
      <c r="G71" t="s">
        <v>3772</v>
      </c>
      <c r="H71" t="s">
        <v>3954</v>
      </c>
      <c r="I71" t="s">
        <v>3773</v>
      </c>
      <c r="J71">
        <f t="shared" si="0"/>
        <v>38.46153846153846</v>
      </c>
      <c r="K71">
        <v>3500</v>
      </c>
      <c r="L71" t="s">
        <v>4053</v>
      </c>
    </row>
    <row r="72" spans="1:12" ht="50.1" customHeight="1">
      <c r="A72">
        <v>63</v>
      </c>
      <c r="B72" t="s">
        <v>3952</v>
      </c>
      <c r="C72" t="s">
        <v>3756</v>
      </c>
      <c r="D72">
        <v>405009146</v>
      </c>
      <c r="E72" t="s">
        <v>3954</v>
      </c>
      <c r="F72" t="s">
        <v>3955</v>
      </c>
      <c r="G72" t="s">
        <v>3772</v>
      </c>
      <c r="H72" t="s">
        <v>3954</v>
      </c>
      <c r="I72" t="s">
        <v>3773</v>
      </c>
      <c r="J72">
        <f t="shared" si="0"/>
        <v>38.46153846153846</v>
      </c>
      <c r="K72">
        <v>3500</v>
      </c>
      <c r="L72" t="s">
        <v>4054</v>
      </c>
    </row>
    <row r="73" spans="1:12" ht="50.1" customHeight="1">
      <c r="A73">
        <v>64</v>
      </c>
      <c r="B73" t="s">
        <v>3952</v>
      </c>
      <c r="C73" t="s">
        <v>3756</v>
      </c>
      <c r="D73">
        <v>405009146</v>
      </c>
      <c r="E73" t="s">
        <v>3954</v>
      </c>
      <c r="F73" t="s">
        <v>3955</v>
      </c>
      <c r="H73" t="s">
        <v>3954</v>
      </c>
      <c r="J73">
        <f t="shared" si="0"/>
        <v>87.912087912087912</v>
      </c>
      <c r="K73">
        <v>8000</v>
      </c>
      <c r="L73" t="s">
        <v>4055</v>
      </c>
    </row>
    <row r="74" spans="1:12" ht="50.1" customHeight="1">
      <c r="A74">
        <v>65</v>
      </c>
      <c r="B74" t="s">
        <v>3952</v>
      </c>
      <c r="C74" t="s">
        <v>4056</v>
      </c>
      <c r="D74">
        <v>445471230</v>
      </c>
      <c r="E74" t="s">
        <v>3954</v>
      </c>
      <c r="F74" t="s">
        <v>3955</v>
      </c>
      <c r="G74" t="s">
        <v>3989</v>
      </c>
      <c r="H74" t="s">
        <v>3954</v>
      </c>
      <c r="I74" t="s">
        <v>3773</v>
      </c>
      <c r="J74">
        <f t="shared" si="0"/>
        <v>11.538461538461538</v>
      </c>
      <c r="K74">
        <v>1050</v>
      </c>
      <c r="L74" t="s">
        <v>4057</v>
      </c>
    </row>
    <row r="75" spans="1:12" ht="50.1" customHeight="1">
      <c r="A75">
        <v>66</v>
      </c>
      <c r="B75" t="s">
        <v>3952</v>
      </c>
      <c r="C75" t="s">
        <v>4056</v>
      </c>
      <c r="D75">
        <v>445471230</v>
      </c>
      <c r="E75" t="s">
        <v>3954</v>
      </c>
      <c r="F75" t="s">
        <v>3955</v>
      </c>
      <c r="H75" t="s">
        <v>3954</v>
      </c>
      <c r="J75">
        <f t="shared" si="0"/>
        <v>4.9450549450549453</v>
      </c>
      <c r="K75">
        <v>450</v>
      </c>
      <c r="L75" t="s">
        <v>4058</v>
      </c>
    </row>
    <row r="76" spans="1:12" ht="50.1" customHeight="1">
      <c r="A76">
        <v>67</v>
      </c>
      <c r="B76" t="s">
        <v>3952</v>
      </c>
      <c r="C76" t="s">
        <v>4059</v>
      </c>
      <c r="D76">
        <v>246955549</v>
      </c>
      <c r="E76" t="s">
        <v>3954</v>
      </c>
      <c r="F76" t="s">
        <v>4060</v>
      </c>
      <c r="G76" t="s">
        <v>4034</v>
      </c>
      <c r="H76" t="s">
        <v>3954</v>
      </c>
      <c r="I76" t="s">
        <v>3773</v>
      </c>
      <c r="J76">
        <f>K76/90</f>
        <v>8.3333333333333339</v>
      </c>
      <c r="K76">
        <v>750</v>
      </c>
      <c r="L76" t="s">
        <v>4061</v>
      </c>
    </row>
    <row r="77" spans="1:12" ht="50.1" customHeight="1">
      <c r="A77">
        <v>68</v>
      </c>
      <c r="B77" t="s">
        <v>3977</v>
      </c>
      <c r="C77" t="s">
        <v>4059</v>
      </c>
      <c r="D77">
        <v>246955549</v>
      </c>
      <c r="E77" t="s">
        <v>3954</v>
      </c>
      <c r="F77" t="s">
        <v>4060</v>
      </c>
      <c r="G77">
        <v>3000</v>
      </c>
      <c r="H77" t="s">
        <v>3954</v>
      </c>
      <c r="I77" t="s">
        <v>3979</v>
      </c>
      <c r="J77">
        <f>K77/90</f>
        <v>8.3333333333333339</v>
      </c>
      <c r="K77">
        <v>750</v>
      </c>
      <c r="L77" t="s">
        <v>4062</v>
      </c>
    </row>
    <row r="78" spans="1:12" ht="50.1" customHeight="1">
      <c r="A78">
        <v>69</v>
      </c>
      <c r="B78" t="s">
        <v>3977</v>
      </c>
      <c r="C78" t="s">
        <v>4059</v>
      </c>
      <c r="D78">
        <v>246955549</v>
      </c>
      <c r="E78" t="s">
        <v>3954</v>
      </c>
      <c r="F78" t="s">
        <v>4060</v>
      </c>
      <c r="G78">
        <v>500</v>
      </c>
      <c r="H78" t="s">
        <v>3954</v>
      </c>
      <c r="I78" t="s">
        <v>3979</v>
      </c>
      <c r="J78">
        <f t="shared" ref="J78:J114" si="1">K78/90</f>
        <v>1.6666666666666667</v>
      </c>
      <c r="K78">
        <v>150</v>
      </c>
      <c r="L78" t="s">
        <v>4062</v>
      </c>
    </row>
    <row r="79" spans="1:12" ht="50.1" customHeight="1">
      <c r="A79">
        <v>70</v>
      </c>
      <c r="B79" t="s">
        <v>3977</v>
      </c>
      <c r="C79" t="s">
        <v>4059</v>
      </c>
      <c r="D79">
        <v>246955549</v>
      </c>
      <c r="E79" t="s">
        <v>3954</v>
      </c>
      <c r="F79" t="s">
        <v>4060</v>
      </c>
      <c r="G79">
        <v>1500</v>
      </c>
      <c r="H79" t="s">
        <v>3954</v>
      </c>
      <c r="I79" t="s">
        <v>3979</v>
      </c>
      <c r="J79">
        <f t="shared" si="1"/>
        <v>6.666666666666667</v>
      </c>
      <c r="K79">
        <v>600</v>
      </c>
      <c r="L79" t="s">
        <v>4063</v>
      </c>
    </row>
    <row r="80" spans="1:12" ht="50.1" customHeight="1">
      <c r="A80">
        <v>71</v>
      </c>
      <c r="B80" t="s">
        <v>3952</v>
      </c>
      <c r="C80" t="s">
        <v>4064</v>
      </c>
      <c r="D80">
        <v>224079388</v>
      </c>
      <c r="E80" t="s">
        <v>3954</v>
      </c>
      <c r="F80" t="s">
        <v>4065</v>
      </c>
      <c r="G80" t="s">
        <v>4034</v>
      </c>
      <c r="H80" t="s">
        <v>3954</v>
      </c>
      <c r="I80" t="s">
        <v>3773</v>
      </c>
      <c r="J80">
        <f t="shared" si="1"/>
        <v>74.666666666666671</v>
      </c>
      <c r="K80">
        <v>6720</v>
      </c>
      <c r="L80" t="s">
        <v>4066</v>
      </c>
    </row>
    <row r="81" spans="1:12" ht="50.1" customHeight="1">
      <c r="A81">
        <v>72</v>
      </c>
      <c r="B81" t="s">
        <v>3952</v>
      </c>
      <c r="C81" t="s">
        <v>4064</v>
      </c>
      <c r="D81">
        <v>224079388</v>
      </c>
      <c r="E81" t="s">
        <v>3954</v>
      </c>
      <c r="F81" t="s">
        <v>4065</v>
      </c>
      <c r="H81" t="s">
        <v>3954</v>
      </c>
      <c r="J81">
        <f t="shared" si="1"/>
        <v>46.666666666666664</v>
      </c>
      <c r="K81">
        <v>4200</v>
      </c>
      <c r="L81" t="s">
        <v>4067</v>
      </c>
    </row>
    <row r="82" spans="1:12" ht="50.1" customHeight="1">
      <c r="A82">
        <v>73</v>
      </c>
      <c r="B82" t="s">
        <v>3977</v>
      </c>
      <c r="C82" t="s">
        <v>4064</v>
      </c>
      <c r="D82">
        <v>224079388</v>
      </c>
      <c r="E82" t="s">
        <v>3954</v>
      </c>
      <c r="F82" t="s">
        <v>4065</v>
      </c>
      <c r="G82">
        <v>2220</v>
      </c>
      <c r="H82" t="s">
        <v>3954</v>
      </c>
      <c r="I82" t="s">
        <v>3979</v>
      </c>
      <c r="J82">
        <f t="shared" si="1"/>
        <v>74.666666666666671</v>
      </c>
      <c r="K82">
        <v>6720</v>
      </c>
      <c r="L82" t="s">
        <v>4068</v>
      </c>
    </row>
    <row r="83" spans="1:12" ht="50.1" customHeight="1">
      <c r="A83">
        <v>74</v>
      </c>
      <c r="B83" t="s">
        <v>3952</v>
      </c>
      <c r="C83" t="s">
        <v>4069</v>
      </c>
      <c r="D83">
        <v>212919797</v>
      </c>
      <c r="E83" t="s">
        <v>3954</v>
      </c>
      <c r="F83" t="s">
        <v>4065</v>
      </c>
      <c r="G83" t="s">
        <v>4070</v>
      </c>
      <c r="H83" t="s">
        <v>3954</v>
      </c>
      <c r="I83" t="s">
        <v>3773</v>
      </c>
      <c r="J83">
        <f t="shared" si="1"/>
        <v>106.66666666666667</v>
      </c>
      <c r="K83">
        <v>9600</v>
      </c>
      <c r="L83" t="s">
        <v>4071</v>
      </c>
    </row>
    <row r="84" spans="1:12" ht="50.1" customHeight="1">
      <c r="A84">
        <v>75</v>
      </c>
      <c r="B84" t="s">
        <v>3952</v>
      </c>
      <c r="C84" t="s">
        <v>4069</v>
      </c>
      <c r="D84">
        <v>212919797</v>
      </c>
      <c r="E84" t="s">
        <v>3954</v>
      </c>
      <c r="F84" t="s">
        <v>4065</v>
      </c>
      <c r="H84" t="s">
        <v>3954</v>
      </c>
      <c r="J84">
        <f t="shared" si="1"/>
        <v>33.333333333333336</v>
      </c>
      <c r="K84">
        <v>3000</v>
      </c>
      <c r="L84" t="s">
        <v>4072</v>
      </c>
    </row>
    <row r="85" spans="1:12" ht="50.1" customHeight="1">
      <c r="A85">
        <v>76</v>
      </c>
      <c r="B85" t="s">
        <v>3977</v>
      </c>
      <c r="C85" t="s">
        <v>4069</v>
      </c>
      <c r="D85">
        <v>212919797</v>
      </c>
      <c r="E85" t="s">
        <v>3954</v>
      </c>
      <c r="F85" t="s">
        <v>4065</v>
      </c>
      <c r="G85">
        <v>10000</v>
      </c>
      <c r="H85" t="s">
        <v>3954</v>
      </c>
      <c r="I85" t="s">
        <v>3979</v>
      </c>
      <c r="J85">
        <f t="shared" si="1"/>
        <v>55.555555555555557</v>
      </c>
      <c r="K85">
        <v>5000</v>
      </c>
      <c r="L85" t="s">
        <v>4073</v>
      </c>
    </row>
    <row r="86" spans="1:12" ht="50.1" customHeight="1">
      <c r="A86">
        <v>77</v>
      </c>
      <c r="B86" t="s">
        <v>3952</v>
      </c>
      <c r="C86" t="s">
        <v>4074</v>
      </c>
      <c r="D86">
        <v>249265806</v>
      </c>
      <c r="E86" t="s">
        <v>3954</v>
      </c>
      <c r="F86" t="s">
        <v>4065</v>
      </c>
      <c r="H86" t="s">
        <v>3954</v>
      </c>
      <c r="J86">
        <f t="shared" si="1"/>
        <v>11.666666666666666</v>
      </c>
      <c r="K86">
        <v>1050</v>
      </c>
      <c r="L86" t="s">
        <v>4075</v>
      </c>
    </row>
    <row r="87" spans="1:12" ht="50.1" customHeight="1">
      <c r="A87">
        <v>78</v>
      </c>
      <c r="B87" t="s">
        <v>3952</v>
      </c>
      <c r="C87" t="s">
        <v>4076</v>
      </c>
      <c r="D87">
        <v>404473814</v>
      </c>
      <c r="E87" t="s">
        <v>3954</v>
      </c>
      <c r="F87" t="s">
        <v>4065</v>
      </c>
      <c r="G87" t="s">
        <v>4077</v>
      </c>
      <c r="H87" t="s">
        <v>3954</v>
      </c>
      <c r="I87" t="s">
        <v>3773</v>
      </c>
      <c r="J87">
        <f t="shared" si="1"/>
        <v>33.333333333333336</v>
      </c>
      <c r="K87">
        <v>3000</v>
      </c>
      <c r="L87" t="s">
        <v>4078</v>
      </c>
    </row>
    <row r="88" spans="1:12" ht="50.1" customHeight="1">
      <c r="A88">
        <v>79</v>
      </c>
      <c r="B88" t="s">
        <v>3952</v>
      </c>
      <c r="C88" t="s">
        <v>4076</v>
      </c>
      <c r="D88">
        <v>404473814</v>
      </c>
      <c r="E88" t="s">
        <v>3954</v>
      </c>
      <c r="F88" t="s">
        <v>4065</v>
      </c>
      <c r="G88" t="s">
        <v>4079</v>
      </c>
      <c r="H88" t="s">
        <v>3954</v>
      </c>
      <c r="I88" t="s">
        <v>3773</v>
      </c>
      <c r="J88">
        <f t="shared" si="1"/>
        <v>33.333333333333336</v>
      </c>
      <c r="K88">
        <v>3000</v>
      </c>
      <c r="L88" t="s">
        <v>4080</v>
      </c>
    </row>
    <row r="89" spans="1:12" ht="50.1" customHeight="1">
      <c r="A89">
        <v>80</v>
      </c>
      <c r="B89" t="s">
        <v>3952</v>
      </c>
      <c r="C89" t="s">
        <v>4076</v>
      </c>
      <c r="D89">
        <v>404473814</v>
      </c>
      <c r="E89" t="s">
        <v>3954</v>
      </c>
      <c r="F89" t="s">
        <v>4065</v>
      </c>
      <c r="H89" t="s">
        <v>3954</v>
      </c>
      <c r="J89">
        <f t="shared" si="1"/>
        <v>14.444444444444445</v>
      </c>
      <c r="K89">
        <v>1300</v>
      </c>
      <c r="L89" t="s">
        <v>4081</v>
      </c>
    </row>
    <row r="90" spans="1:12" ht="50.1" customHeight="1">
      <c r="A90">
        <v>81</v>
      </c>
      <c r="B90" t="s">
        <v>361</v>
      </c>
      <c r="C90" t="s">
        <v>4076</v>
      </c>
      <c r="D90">
        <v>404473814</v>
      </c>
      <c r="E90" t="s">
        <v>3954</v>
      </c>
      <c r="F90" t="s">
        <v>4065</v>
      </c>
      <c r="H90" t="s">
        <v>3954</v>
      </c>
      <c r="J90">
        <f t="shared" si="1"/>
        <v>2.2222222222222223</v>
      </c>
      <c r="K90">
        <v>200</v>
      </c>
      <c r="L90" t="s">
        <v>4082</v>
      </c>
    </row>
    <row r="91" spans="1:12" ht="50.1" customHeight="1">
      <c r="A91">
        <v>82</v>
      </c>
      <c r="B91" t="s">
        <v>3952</v>
      </c>
      <c r="C91" t="s">
        <v>4083</v>
      </c>
      <c r="D91">
        <v>212822775</v>
      </c>
      <c r="E91" t="s">
        <v>3954</v>
      </c>
      <c r="F91" t="s">
        <v>4065</v>
      </c>
      <c r="G91" t="s">
        <v>4084</v>
      </c>
      <c r="H91" t="s">
        <v>3954</v>
      </c>
      <c r="I91" t="s">
        <v>3773</v>
      </c>
      <c r="J91">
        <f t="shared" si="1"/>
        <v>27.444444444444443</v>
      </c>
      <c r="K91">
        <v>2470</v>
      </c>
      <c r="L91" t="s">
        <v>4085</v>
      </c>
    </row>
    <row r="92" spans="1:12" ht="50.1" customHeight="1">
      <c r="A92">
        <v>83</v>
      </c>
      <c r="B92" t="s">
        <v>3952</v>
      </c>
      <c r="C92" t="s">
        <v>4083</v>
      </c>
      <c r="D92">
        <v>212822775</v>
      </c>
      <c r="E92" t="s">
        <v>3954</v>
      </c>
      <c r="F92" t="s">
        <v>4065</v>
      </c>
      <c r="H92" t="s">
        <v>3954</v>
      </c>
      <c r="J92">
        <f t="shared" si="1"/>
        <v>23.444444444444443</v>
      </c>
      <c r="K92">
        <v>2110</v>
      </c>
      <c r="L92" t="s">
        <v>4086</v>
      </c>
    </row>
    <row r="93" spans="1:12" ht="50.1" customHeight="1">
      <c r="A93">
        <v>84</v>
      </c>
      <c r="B93" t="s">
        <v>3952</v>
      </c>
      <c r="C93" t="s">
        <v>4083</v>
      </c>
      <c r="D93">
        <v>212822775</v>
      </c>
      <c r="E93" t="s">
        <v>3954</v>
      </c>
      <c r="F93" t="s">
        <v>4065</v>
      </c>
      <c r="H93" t="s">
        <v>3954</v>
      </c>
      <c r="J93">
        <f t="shared" si="1"/>
        <v>19.555555555555557</v>
      </c>
      <c r="K93">
        <v>1760</v>
      </c>
      <c r="L93" t="s">
        <v>4087</v>
      </c>
    </row>
    <row r="94" spans="1:12" ht="50.1" customHeight="1">
      <c r="A94">
        <v>85</v>
      </c>
      <c r="B94" t="s">
        <v>3977</v>
      </c>
      <c r="C94" t="s">
        <v>4083</v>
      </c>
      <c r="D94">
        <v>212822775</v>
      </c>
      <c r="E94" t="s">
        <v>3954</v>
      </c>
      <c r="F94" t="s">
        <v>4065</v>
      </c>
      <c r="G94">
        <v>6000</v>
      </c>
      <c r="H94" t="s">
        <v>3954</v>
      </c>
      <c r="I94" t="s">
        <v>3979</v>
      </c>
      <c r="J94">
        <f t="shared" si="1"/>
        <v>19.555555555555557</v>
      </c>
      <c r="K94">
        <v>1760</v>
      </c>
      <c r="L94" t="s">
        <v>4088</v>
      </c>
    </row>
    <row r="95" spans="1:12" ht="50.1" customHeight="1">
      <c r="A95">
        <v>86</v>
      </c>
      <c r="B95" t="s">
        <v>3952</v>
      </c>
      <c r="C95" t="s">
        <v>4089</v>
      </c>
      <c r="D95">
        <v>400115969</v>
      </c>
      <c r="E95" t="s">
        <v>3954</v>
      </c>
      <c r="F95" t="s">
        <v>4065</v>
      </c>
      <c r="G95" t="s">
        <v>4090</v>
      </c>
      <c r="H95" t="s">
        <v>3954</v>
      </c>
      <c r="I95" t="s">
        <v>3773</v>
      </c>
      <c r="J95">
        <f t="shared" si="1"/>
        <v>10</v>
      </c>
      <c r="K95">
        <v>900</v>
      </c>
      <c r="L95" t="s">
        <v>4091</v>
      </c>
    </row>
    <row r="96" spans="1:12" ht="50.1" customHeight="1">
      <c r="A96">
        <v>87</v>
      </c>
      <c r="B96" t="s">
        <v>3952</v>
      </c>
      <c r="C96" t="s">
        <v>4089</v>
      </c>
      <c r="D96">
        <v>400115969</v>
      </c>
      <c r="E96" t="s">
        <v>3954</v>
      </c>
      <c r="F96" t="s">
        <v>4065</v>
      </c>
      <c r="H96" t="s">
        <v>3954</v>
      </c>
      <c r="J96">
        <f t="shared" si="1"/>
        <v>6.666666666666667</v>
      </c>
      <c r="K96">
        <v>600</v>
      </c>
      <c r="L96" t="s">
        <v>4092</v>
      </c>
    </row>
    <row r="97" spans="1:12" ht="50.1" customHeight="1">
      <c r="A97">
        <v>88</v>
      </c>
      <c r="B97" t="s">
        <v>3952</v>
      </c>
      <c r="C97" t="s">
        <v>4093</v>
      </c>
      <c r="D97">
        <v>227725511</v>
      </c>
      <c r="E97" t="s">
        <v>3954</v>
      </c>
      <c r="F97" t="s">
        <v>4065</v>
      </c>
      <c r="G97" t="s">
        <v>4094</v>
      </c>
      <c r="H97" t="s">
        <v>3954</v>
      </c>
      <c r="I97" t="s">
        <v>3773</v>
      </c>
      <c r="J97">
        <f t="shared" si="1"/>
        <v>26.666666666666668</v>
      </c>
      <c r="K97">
        <v>2400</v>
      </c>
      <c r="L97" t="s">
        <v>4095</v>
      </c>
    </row>
    <row r="98" spans="1:12" ht="50.1" customHeight="1">
      <c r="A98">
        <v>89</v>
      </c>
      <c r="B98" t="s">
        <v>3952</v>
      </c>
      <c r="C98" t="s">
        <v>4093</v>
      </c>
      <c r="D98">
        <v>227725511</v>
      </c>
      <c r="E98" t="s">
        <v>3954</v>
      </c>
      <c r="F98" t="s">
        <v>4065</v>
      </c>
      <c r="H98" t="s">
        <v>3954</v>
      </c>
      <c r="J98">
        <f t="shared" si="1"/>
        <v>33.333333333333336</v>
      </c>
      <c r="K98">
        <v>3000</v>
      </c>
      <c r="L98" t="s">
        <v>4096</v>
      </c>
    </row>
    <row r="99" spans="1:12" ht="50.1" customHeight="1">
      <c r="A99">
        <v>90</v>
      </c>
      <c r="B99" t="s">
        <v>3977</v>
      </c>
      <c r="C99" t="s">
        <v>4093</v>
      </c>
      <c r="D99">
        <v>227725511</v>
      </c>
      <c r="E99" t="s">
        <v>3954</v>
      </c>
      <c r="F99" t="s">
        <v>4065</v>
      </c>
      <c r="G99">
        <v>2400</v>
      </c>
      <c r="H99" t="s">
        <v>3954</v>
      </c>
      <c r="I99" t="s">
        <v>3979</v>
      </c>
      <c r="J99">
        <f t="shared" si="1"/>
        <v>124.77777777777777</v>
      </c>
      <c r="K99">
        <v>11230</v>
      </c>
      <c r="L99" t="s">
        <v>4097</v>
      </c>
    </row>
    <row r="100" spans="1:12" ht="50.1" customHeight="1">
      <c r="A100">
        <v>91</v>
      </c>
      <c r="B100" t="s">
        <v>3952</v>
      </c>
      <c r="C100" t="s">
        <v>4098</v>
      </c>
      <c r="D100">
        <v>404467420</v>
      </c>
      <c r="E100" t="s">
        <v>3954</v>
      </c>
      <c r="F100" t="s">
        <v>4065</v>
      </c>
      <c r="G100" t="s">
        <v>4030</v>
      </c>
      <c r="H100" t="s">
        <v>3954</v>
      </c>
      <c r="I100" t="s">
        <v>3773</v>
      </c>
      <c r="J100">
        <f t="shared" si="1"/>
        <v>11.666666666666666</v>
      </c>
      <c r="K100">
        <v>1050</v>
      </c>
      <c r="L100" t="s">
        <v>4099</v>
      </c>
    </row>
    <row r="101" spans="1:12" ht="50.1" customHeight="1">
      <c r="A101">
        <v>92</v>
      </c>
      <c r="B101" t="s">
        <v>3952</v>
      </c>
      <c r="C101" t="s">
        <v>4098</v>
      </c>
      <c r="D101">
        <v>404467420</v>
      </c>
      <c r="E101" t="s">
        <v>3954</v>
      </c>
      <c r="F101" t="s">
        <v>4065</v>
      </c>
      <c r="H101" t="s">
        <v>3954</v>
      </c>
      <c r="J101">
        <f t="shared" si="1"/>
        <v>10</v>
      </c>
      <c r="K101">
        <v>900</v>
      </c>
      <c r="L101" t="s">
        <v>4100</v>
      </c>
    </row>
    <row r="102" spans="1:12" ht="50.1" customHeight="1">
      <c r="A102">
        <v>93</v>
      </c>
      <c r="B102" t="s">
        <v>3952</v>
      </c>
      <c r="C102" t="s">
        <v>4098</v>
      </c>
      <c r="D102">
        <v>404467420</v>
      </c>
      <c r="E102" t="s">
        <v>3954</v>
      </c>
      <c r="F102" t="s">
        <v>4065</v>
      </c>
      <c r="H102" t="s">
        <v>3954</v>
      </c>
      <c r="J102">
        <f t="shared" si="1"/>
        <v>6.666666666666667</v>
      </c>
      <c r="K102">
        <v>600</v>
      </c>
      <c r="L102" t="s">
        <v>4101</v>
      </c>
    </row>
    <row r="103" spans="1:12" ht="50.1" customHeight="1">
      <c r="A103">
        <v>94</v>
      </c>
      <c r="B103" t="s">
        <v>3952</v>
      </c>
      <c r="C103" t="s">
        <v>4102</v>
      </c>
      <c r="D103">
        <v>405156762</v>
      </c>
      <c r="E103" t="s">
        <v>3954</v>
      </c>
      <c r="F103" t="s">
        <v>4065</v>
      </c>
      <c r="G103" t="s">
        <v>4103</v>
      </c>
      <c r="H103" t="s">
        <v>3954</v>
      </c>
      <c r="I103" t="s">
        <v>3773</v>
      </c>
      <c r="J103">
        <f t="shared" si="1"/>
        <v>63.7</v>
      </c>
      <c r="K103">
        <v>5733</v>
      </c>
      <c r="L103" t="s">
        <v>4104</v>
      </c>
    </row>
    <row r="104" spans="1:12" ht="50.1" customHeight="1">
      <c r="A104">
        <v>95</v>
      </c>
      <c r="B104" t="s">
        <v>3952</v>
      </c>
      <c r="C104" t="s">
        <v>4102</v>
      </c>
      <c r="D104">
        <v>405156762</v>
      </c>
      <c r="E104" t="s">
        <v>3954</v>
      </c>
      <c r="F104" t="s">
        <v>4065</v>
      </c>
      <c r="H104" t="s">
        <v>3954</v>
      </c>
      <c r="J104">
        <f t="shared" si="1"/>
        <v>19.5</v>
      </c>
      <c r="K104">
        <v>1755</v>
      </c>
      <c r="L104" t="s">
        <v>4105</v>
      </c>
    </row>
    <row r="105" spans="1:12" ht="50.1" customHeight="1">
      <c r="A105">
        <v>96</v>
      </c>
      <c r="B105" t="s">
        <v>3952</v>
      </c>
      <c r="C105" t="s">
        <v>4106</v>
      </c>
      <c r="D105">
        <v>204447651</v>
      </c>
      <c r="E105" t="s">
        <v>3954</v>
      </c>
      <c r="F105" t="s">
        <v>4065</v>
      </c>
      <c r="G105" t="s">
        <v>4034</v>
      </c>
      <c r="H105" t="s">
        <v>3954</v>
      </c>
      <c r="I105" t="s">
        <v>3773</v>
      </c>
      <c r="J105">
        <f t="shared" si="1"/>
        <v>88.137222222222221</v>
      </c>
      <c r="K105">
        <v>7932.35</v>
      </c>
      <c r="L105" t="s">
        <v>4107</v>
      </c>
    </row>
    <row r="106" spans="1:12" ht="50.1" customHeight="1">
      <c r="A106">
        <v>97</v>
      </c>
      <c r="B106" t="s">
        <v>3952</v>
      </c>
      <c r="C106" t="s">
        <v>4106</v>
      </c>
      <c r="D106">
        <v>204447651</v>
      </c>
      <c r="E106" t="s">
        <v>3954</v>
      </c>
      <c r="F106" t="s">
        <v>4065</v>
      </c>
      <c r="H106" t="s">
        <v>3954</v>
      </c>
      <c r="J106">
        <f t="shared" si="1"/>
        <v>41.865222222222222</v>
      </c>
      <c r="K106">
        <v>3767.87</v>
      </c>
      <c r="L106" t="s">
        <v>4108</v>
      </c>
    </row>
    <row r="107" spans="1:12" ht="50.1" customHeight="1">
      <c r="A107">
        <v>98</v>
      </c>
      <c r="B107" t="s">
        <v>3952</v>
      </c>
      <c r="C107" t="s">
        <v>4106</v>
      </c>
      <c r="D107">
        <v>204447651</v>
      </c>
      <c r="E107" t="s">
        <v>3954</v>
      </c>
      <c r="F107" t="s">
        <v>4065</v>
      </c>
      <c r="G107" t="s">
        <v>4034</v>
      </c>
      <c r="H107" t="s">
        <v>3954</v>
      </c>
      <c r="I107" t="s">
        <v>3773</v>
      </c>
      <c r="J107">
        <f t="shared" si="1"/>
        <v>44.068555555555555</v>
      </c>
      <c r="K107">
        <v>3966.17</v>
      </c>
      <c r="L107" t="s">
        <v>4109</v>
      </c>
    </row>
    <row r="108" spans="1:12" ht="50.1" customHeight="1">
      <c r="A108">
        <v>99</v>
      </c>
      <c r="B108" t="s">
        <v>3952</v>
      </c>
      <c r="C108" t="s">
        <v>4106</v>
      </c>
      <c r="D108">
        <v>204447651</v>
      </c>
      <c r="E108" t="s">
        <v>3954</v>
      </c>
      <c r="F108" t="s">
        <v>4065</v>
      </c>
      <c r="H108" t="s">
        <v>3954</v>
      </c>
      <c r="J108">
        <f t="shared" si="1"/>
        <v>20.932555555555556</v>
      </c>
      <c r="K108">
        <v>1883.93</v>
      </c>
      <c r="L108" t="s">
        <v>4110</v>
      </c>
    </row>
    <row r="109" spans="1:12" ht="50.1" customHeight="1">
      <c r="A109">
        <v>100</v>
      </c>
      <c r="B109" t="s">
        <v>3977</v>
      </c>
      <c r="C109" t="s">
        <v>4106</v>
      </c>
      <c r="D109">
        <v>204447651</v>
      </c>
      <c r="E109" t="s">
        <v>3954</v>
      </c>
      <c r="F109" t="s">
        <v>4065</v>
      </c>
      <c r="G109">
        <v>3500</v>
      </c>
      <c r="H109" t="s">
        <v>3954</v>
      </c>
      <c r="I109" t="s">
        <v>3979</v>
      </c>
      <c r="J109">
        <f t="shared" si="1"/>
        <v>68.551111111111112</v>
      </c>
      <c r="K109">
        <v>6169.6</v>
      </c>
      <c r="L109" t="s">
        <v>4111</v>
      </c>
    </row>
    <row r="110" spans="1:12" ht="50.1" customHeight="1">
      <c r="A110">
        <v>101</v>
      </c>
      <c r="B110" t="s">
        <v>3977</v>
      </c>
      <c r="C110" t="s">
        <v>4106</v>
      </c>
      <c r="D110">
        <v>204447651</v>
      </c>
      <c r="E110" t="s">
        <v>3954</v>
      </c>
      <c r="F110" t="s">
        <v>4065</v>
      </c>
      <c r="G110">
        <v>210</v>
      </c>
      <c r="H110" t="s">
        <v>3954</v>
      </c>
      <c r="I110" t="s">
        <v>3979</v>
      </c>
      <c r="J110">
        <f t="shared" si="1"/>
        <v>30.848000000000003</v>
      </c>
      <c r="K110">
        <v>2776.32</v>
      </c>
      <c r="L110" t="s">
        <v>4111</v>
      </c>
    </row>
    <row r="111" spans="1:12" ht="50.1" customHeight="1">
      <c r="A111">
        <v>102</v>
      </c>
      <c r="B111" t="s">
        <v>3952</v>
      </c>
      <c r="C111" t="s">
        <v>4112</v>
      </c>
      <c r="D111">
        <v>429649561</v>
      </c>
      <c r="E111" t="s">
        <v>3954</v>
      </c>
      <c r="F111" t="s">
        <v>4065</v>
      </c>
      <c r="G111" t="s">
        <v>3975</v>
      </c>
      <c r="H111" t="s">
        <v>3954</v>
      </c>
      <c r="I111" t="s">
        <v>3773</v>
      </c>
      <c r="J111">
        <f t="shared" si="1"/>
        <v>10</v>
      </c>
      <c r="K111">
        <v>900</v>
      </c>
      <c r="L111" t="s">
        <v>4113</v>
      </c>
    </row>
    <row r="112" spans="1:12" ht="50.1" customHeight="1">
      <c r="A112">
        <v>103</v>
      </c>
      <c r="B112" t="s">
        <v>3952</v>
      </c>
      <c r="C112" t="s">
        <v>4112</v>
      </c>
      <c r="D112">
        <v>429649561</v>
      </c>
      <c r="E112" t="s">
        <v>3954</v>
      </c>
      <c r="F112" t="s">
        <v>4065</v>
      </c>
      <c r="H112" t="s">
        <v>3954</v>
      </c>
      <c r="J112">
        <f t="shared" si="1"/>
        <v>8.3333333333333339</v>
      </c>
      <c r="K112">
        <v>750</v>
      </c>
      <c r="L112" t="s">
        <v>4114</v>
      </c>
    </row>
    <row r="113" spans="1:12" ht="50.1" customHeight="1">
      <c r="A113">
        <v>104</v>
      </c>
      <c r="B113" t="s">
        <v>3952</v>
      </c>
      <c r="C113" t="s">
        <v>4115</v>
      </c>
      <c r="D113">
        <v>412703034</v>
      </c>
      <c r="E113" t="s">
        <v>3954</v>
      </c>
      <c r="F113" t="s">
        <v>4065</v>
      </c>
      <c r="G113" t="s">
        <v>4116</v>
      </c>
      <c r="H113" t="s">
        <v>3954</v>
      </c>
      <c r="I113" t="s">
        <v>3773</v>
      </c>
      <c r="J113">
        <f t="shared" si="1"/>
        <v>46.666666666666664</v>
      </c>
      <c r="K113">
        <v>4200</v>
      </c>
      <c r="L113" t="s">
        <v>4117</v>
      </c>
    </row>
    <row r="114" spans="1:12" ht="50.1" customHeight="1">
      <c r="A114">
        <v>105</v>
      </c>
      <c r="B114" t="s">
        <v>3952</v>
      </c>
      <c r="C114" t="s">
        <v>4115</v>
      </c>
      <c r="D114">
        <v>412703034</v>
      </c>
      <c r="E114" t="s">
        <v>3954</v>
      </c>
      <c r="F114" t="s">
        <v>4065</v>
      </c>
      <c r="H114" t="s">
        <v>3954</v>
      </c>
      <c r="J114">
        <f t="shared" si="1"/>
        <v>33.333333333333336</v>
      </c>
      <c r="K114">
        <v>3000</v>
      </c>
      <c r="L114" t="s">
        <v>4118</v>
      </c>
    </row>
    <row r="115" spans="1:12" ht="50.1" customHeight="1">
      <c r="A115">
        <v>106</v>
      </c>
      <c r="B115" t="s">
        <v>3952</v>
      </c>
      <c r="C115" t="s">
        <v>4119</v>
      </c>
      <c r="D115">
        <v>227746259</v>
      </c>
      <c r="E115" t="s">
        <v>3954</v>
      </c>
      <c r="F115" t="s">
        <v>4120</v>
      </c>
      <c r="G115" t="s">
        <v>4121</v>
      </c>
      <c r="H115" t="s">
        <v>3954</v>
      </c>
      <c r="I115" t="s">
        <v>3773</v>
      </c>
      <c r="J115">
        <f t="shared" ref="J115:J129" si="2">K115/88</f>
        <v>43.977272727272727</v>
      </c>
      <c r="K115">
        <v>3870</v>
      </c>
      <c r="L115" t="s">
        <v>4122</v>
      </c>
    </row>
    <row r="116" spans="1:12" ht="50.1" customHeight="1">
      <c r="A116">
        <v>107</v>
      </c>
      <c r="B116" t="s">
        <v>3952</v>
      </c>
      <c r="C116" t="s">
        <v>4119</v>
      </c>
      <c r="D116">
        <v>227746259</v>
      </c>
      <c r="E116" t="s">
        <v>3954</v>
      </c>
      <c r="F116" t="s">
        <v>4120</v>
      </c>
      <c r="G116" t="s">
        <v>4123</v>
      </c>
      <c r="H116" t="s">
        <v>3954</v>
      </c>
      <c r="I116" t="s">
        <v>3773</v>
      </c>
      <c r="J116">
        <f t="shared" si="2"/>
        <v>20.454545454545453</v>
      </c>
      <c r="K116">
        <v>1800</v>
      </c>
      <c r="L116" t="s">
        <v>4124</v>
      </c>
    </row>
    <row r="117" spans="1:12" ht="50.1" customHeight="1">
      <c r="A117">
        <v>108</v>
      </c>
      <c r="B117" t="s">
        <v>3952</v>
      </c>
      <c r="C117" t="s">
        <v>4119</v>
      </c>
      <c r="D117">
        <v>227746259</v>
      </c>
      <c r="E117" t="s">
        <v>3954</v>
      </c>
      <c r="F117" t="s">
        <v>4120</v>
      </c>
      <c r="H117" t="s">
        <v>3954</v>
      </c>
      <c r="J117">
        <f t="shared" si="2"/>
        <v>21.732954545454547</v>
      </c>
      <c r="K117">
        <v>1912.5</v>
      </c>
      <c r="L117" t="s">
        <v>4125</v>
      </c>
    </row>
    <row r="118" spans="1:12" ht="50.1" customHeight="1">
      <c r="A118">
        <v>109</v>
      </c>
      <c r="B118" t="s">
        <v>3952</v>
      </c>
      <c r="C118" t="s">
        <v>4119</v>
      </c>
      <c r="D118">
        <v>227746259</v>
      </c>
      <c r="E118" t="s">
        <v>3954</v>
      </c>
      <c r="F118" t="s">
        <v>4120</v>
      </c>
      <c r="H118" t="s">
        <v>3954</v>
      </c>
      <c r="J118">
        <f t="shared" si="2"/>
        <v>21.732954545454547</v>
      </c>
      <c r="K118">
        <v>1912.5</v>
      </c>
      <c r="L118" t="s">
        <v>4126</v>
      </c>
    </row>
    <row r="119" spans="1:12" ht="50.1" customHeight="1">
      <c r="A119">
        <v>110</v>
      </c>
      <c r="B119" t="s">
        <v>3952</v>
      </c>
      <c r="C119" t="s">
        <v>4127</v>
      </c>
      <c r="D119">
        <v>218057224</v>
      </c>
      <c r="E119" t="s">
        <v>3954</v>
      </c>
      <c r="F119" t="s">
        <v>4120</v>
      </c>
      <c r="G119" t="s">
        <v>4003</v>
      </c>
      <c r="H119" t="s">
        <v>3954</v>
      </c>
      <c r="I119" t="s">
        <v>3773</v>
      </c>
      <c r="J119">
        <f t="shared" si="2"/>
        <v>13.636363636363637</v>
      </c>
      <c r="K119">
        <v>1200</v>
      </c>
      <c r="L119" t="s">
        <v>4128</v>
      </c>
    </row>
    <row r="120" spans="1:12" ht="50.1" customHeight="1">
      <c r="A120">
        <v>111</v>
      </c>
      <c r="B120" t="s">
        <v>3952</v>
      </c>
      <c r="C120" t="s">
        <v>4127</v>
      </c>
      <c r="D120">
        <v>218057224</v>
      </c>
      <c r="E120" t="s">
        <v>3954</v>
      </c>
      <c r="F120" t="s">
        <v>4120</v>
      </c>
      <c r="H120" t="s">
        <v>3954</v>
      </c>
      <c r="J120">
        <f t="shared" si="2"/>
        <v>6.8181818181818183</v>
      </c>
      <c r="K120">
        <v>600</v>
      </c>
      <c r="L120" t="s">
        <v>4129</v>
      </c>
    </row>
    <row r="121" spans="1:12" ht="50.1" customHeight="1">
      <c r="A121">
        <v>112</v>
      </c>
      <c r="B121" t="s">
        <v>3952</v>
      </c>
      <c r="C121" t="s">
        <v>4130</v>
      </c>
      <c r="D121">
        <v>204552466</v>
      </c>
      <c r="E121" t="s">
        <v>3954</v>
      </c>
      <c r="F121" t="s">
        <v>4120</v>
      </c>
      <c r="G121" t="s">
        <v>4131</v>
      </c>
      <c r="H121" t="s">
        <v>3954</v>
      </c>
      <c r="I121" t="s">
        <v>3773</v>
      </c>
      <c r="J121">
        <f t="shared" si="2"/>
        <v>40.909090909090907</v>
      </c>
      <c r="K121">
        <v>3600</v>
      </c>
      <c r="L121" t="s">
        <v>4132</v>
      </c>
    </row>
    <row r="122" spans="1:12" ht="50.1" customHeight="1">
      <c r="A122">
        <v>113</v>
      </c>
      <c r="B122" t="s">
        <v>3952</v>
      </c>
      <c r="C122" t="s">
        <v>4130</v>
      </c>
      <c r="D122">
        <v>204552466</v>
      </c>
      <c r="E122" t="s">
        <v>3954</v>
      </c>
      <c r="F122" t="s">
        <v>4120</v>
      </c>
      <c r="H122" t="s">
        <v>3954</v>
      </c>
      <c r="J122">
        <f t="shared" si="2"/>
        <v>17.045454545454547</v>
      </c>
      <c r="K122">
        <v>1500</v>
      </c>
      <c r="L122" t="s">
        <v>4133</v>
      </c>
    </row>
    <row r="123" spans="1:12" ht="50.1" customHeight="1">
      <c r="A123">
        <v>114</v>
      </c>
      <c r="B123" t="s">
        <v>3952</v>
      </c>
      <c r="C123" t="s">
        <v>4134</v>
      </c>
      <c r="D123">
        <v>406069757</v>
      </c>
      <c r="E123" t="s">
        <v>3954</v>
      </c>
      <c r="F123" t="s">
        <v>4120</v>
      </c>
      <c r="G123" t="s">
        <v>4135</v>
      </c>
      <c r="H123" t="s">
        <v>3954</v>
      </c>
      <c r="I123" t="s">
        <v>3773</v>
      </c>
      <c r="J123">
        <f t="shared" si="2"/>
        <v>44.31818181818182</v>
      </c>
      <c r="K123">
        <v>3900</v>
      </c>
      <c r="L123" t="s">
        <v>4136</v>
      </c>
    </row>
    <row r="124" spans="1:12" ht="50.1" customHeight="1">
      <c r="A124">
        <v>115</v>
      </c>
      <c r="B124" t="s">
        <v>3952</v>
      </c>
      <c r="C124" t="s">
        <v>4134</v>
      </c>
      <c r="D124">
        <v>406069757</v>
      </c>
      <c r="E124" t="s">
        <v>3954</v>
      </c>
      <c r="F124" t="s">
        <v>4120</v>
      </c>
      <c r="H124" t="s">
        <v>3954</v>
      </c>
      <c r="J124">
        <f t="shared" si="2"/>
        <v>23.863636363636363</v>
      </c>
      <c r="K124">
        <v>2100</v>
      </c>
      <c r="L124" t="s">
        <v>4137</v>
      </c>
    </row>
    <row r="125" spans="1:12" ht="50.1" customHeight="1">
      <c r="A125">
        <v>116</v>
      </c>
      <c r="B125" t="s">
        <v>3952</v>
      </c>
      <c r="C125" t="s">
        <v>4138</v>
      </c>
      <c r="D125">
        <v>406146237</v>
      </c>
      <c r="E125" t="s">
        <v>3954</v>
      </c>
      <c r="F125" t="s">
        <v>4120</v>
      </c>
      <c r="G125" t="s">
        <v>4139</v>
      </c>
      <c r="H125" t="s">
        <v>3954</v>
      </c>
      <c r="I125" t="s">
        <v>3773</v>
      </c>
      <c r="J125">
        <f t="shared" si="2"/>
        <v>25.568181818181817</v>
      </c>
      <c r="K125">
        <v>2250</v>
      </c>
      <c r="L125" t="s">
        <v>4140</v>
      </c>
    </row>
    <row r="126" spans="1:12" ht="50.1" customHeight="1">
      <c r="A126">
        <v>117</v>
      </c>
      <c r="B126" t="s">
        <v>3952</v>
      </c>
      <c r="C126" t="s">
        <v>4138</v>
      </c>
      <c r="D126">
        <v>406146237</v>
      </c>
      <c r="E126" t="s">
        <v>3954</v>
      </c>
      <c r="F126" t="s">
        <v>4120</v>
      </c>
      <c r="G126" t="s">
        <v>4139</v>
      </c>
      <c r="H126" t="s">
        <v>3954</v>
      </c>
      <c r="I126" t="s">
        <v>3773</v>
      </c>
      <c r="J126">
        <f t="shared" si="2"/>
        <v>25.568181818181817</v>
      </c>
      <c r="K126">
        <v>2250</v>
      </c>
      <c r="L126" t="s">
        <v>4141</v>
      </c>
    </row>
    <row r="127" spans="1:12" ht="50.1" customHeight="1">
      <c r="A127">
        <v>118</v>
      </c>
      <c r="B127" t="s">
        <v>3952</v>
      </c>
      <c r="C127" t="s">
        <v>4142</v>
      </c>
      <c r="D127">
        <v>404470363</v>
      </c>
      <c r="E127" t="s">
        <v>3954</v>
      </c>
      <c r="F127" t="s">
        <v>4120</v>
      </c>
      <c r="G127" t="s">
        <v>4143</v>
      </c>
      <c r="H127" t="s">
        <v>3954</v>
      </c>
      <c r="I127" t="s">
        <v>3773</v>
      </c>
      <c r="J127">
        <f t="shared" si="2"/>
        <v>54.545454545454547</v>
      </c>
      <c r="K127">
        <v>4800</v>
      </c>
      <c r="L127" t="s">
        <v>4144</v>
      </c>
    </row>
    <row r="128" spans="1:12" ht="50.1" customHeight="1">
      <c r="A128">
        <v>119</v>
      </c>
      <c r="B128" t="s">
        <v>3952</v>
      </c>
      <c r="C128" t="s">
        <v>4142</v>
      </c>
      <c r="D128">
        <v>404470363</v>
      </c>
      <c r="E128" t="s">
        <v>3954</v>
      </c>
      <c r="F128" t="s">
        <v>4120</v>
      </c>
      <c r="H128" t="s">
        <v>3954</v>
      </c>
      <c r="J128">
        <f t="shared" si="2"/>
        <v>13.636363636363637</v>
      </c>
      <c r="K128">
        <v>1200</v>
      </c>
      <c r="L128" t="s">
        <v>4145</v>
      </c>
    </row>
    <row r="129" spans="1:12" ht="50.1" customHeight="1">
      <c r="A129">
        <v>120</v>
      </c>
      <c r="B129" t="s">
        <v>3952</v>
      </c>
      <c r="C129" t="s">
        <v>4146</v>
      </c>
      <c r="D129">
        <v>233109739</v>
      </c>
      <c r="E129" t="s">
        <v>3954</v>
      </c>
      <c r="F129" t="s">
        <v>4120</v>
      </c>
      <c r="G129" t="s">
        <v>4147</v>
      </c>
      <c r="H129" t="s">
        <v>3954</v>
      </c>
      <c r="I129" t="s">
        <v>3773</v>
      </c>
      <c r="J129">
        <f t="shared" si="2"/>
        <v>113.63636363636364</v>
      </c>
      <c r="K129">
        <v>10000</v>
      </c>
      <c r="L129" t="s">
        <v>4148</v>
      </c>
    </row>
    <row r="130" spans="1:12" ht="50.1" customHeight="1">
      <c r="A130">
        <v>121</v>
      </c>
      <c r="B130" t="s">
        <v>3952</v>
      </c>
      <c r="C130" t="s">
        <v>4149</v>
      </c>
      <c r="D130">
        <v>205075014</v>
      </c>
      <c r="E130" t="s">
        <v>3954</v>
      </c>
      <c r="F130" t="s">
        <v>4150</v>
      </c>
      <c r="H130" t="s">
        <v>3954</v>
      </c>
      <c r="J130">
        <f t="shared" ref="J130" si="3">K130/107</f>
        <v>39.219626168224302</v>
      </c>
      <c r="K130">
        <v>4196.5</v>
      </c>
      <c r="L130" t="s">
        <v>4151</v>
      </c>
    </row>
    <row r="131" spans="1:12" ht="50.1" customHeight="1">
      <c r="A131">
        <v>122</v>
      </c>
      <c r="B131" t="s">
        <v>3952</v>
      </c>
      <c r="C131" t="s">
        <v>4152</v>
      </c>
      <c r="D131">
        <v>405043643</v>
      </c>
      <c r="E131" t="s">
        <v>3954</v>
      </c>
      <c r="F131" t="s">
        <v>4153</v>
      </c>
      <c r="G131" t="s">
        <v>4154</v>
      </c>
      <c r="H131" t="s">
        <v>3954</v>
      </c>
      <c r="I131" t="s">
        <v>3773</v>
      </c>
      <c r="J131">
        <f t="shared" ref="J131:J142" si="4">K131/72</f>
        <v>156.39333333333332</v>
      </c>
      <c r="K131">
        <v>11260.32</v>
      </c>
      <c r="L131" t="s">
        <v>4155</v>
      </c>
    </row>
    <row r="132" spans="1:12" ht="50.1" customHeight="1">
      <c r="A132">
        <v>123</v>
      </c>
      <c r="B132" t="s">
        <v>3952</v>
      </c>
      <c r="C132" t="s">
        <v>4152</v>
      </c>
      <c r="D132">
        <v>405043643</v>
      </c>
      <c r="E132" t="s">
        <v>3954</v>
      </c>
      <c r="F132" t="s">
        <v>4153</v>
      </c>
      <c r="G132" t="s">
        <v>4156</v>
      </c>
      <c r="H132" t="s">
        <v>3954</v>
      </c>
      <c r="I132" t="s">
        <v>3773</v>
      </c>
      <c r="J132">
        <f t="shared" si="4"/>
        <v>781.9666666666667</v>
      </c>
      <c r="K132">
        <v>56301.599999999999</v>
      </c>
      <c r="L132" t="s">
        <v>4157</v>
      </c>
    </row>
    <row r="133" spans="1:12" ht="50.1" customHeight="1">
      <c r="A133">
        <v>124</v>
      </c>
      <c r="B133" t="s">
        <v>3952</v>
      </c>
      <c r="C133" t="s">
        <v>4152</v>
      </c>
      <c r="D133">
        <v>405043643</v>
      </c>
      <c r="E133" t="s">
        <v>3954</v>
      </c>
      <c r="F133" t="s">
        <v>4153</v>
      </c>
      <c r="G133" t="s">
        <v>4158</v>
      </c>
      <c r="H133" t="s">
        <v>3954</v>
      </c>
      <c r="I133" t="s">
        <v>3773</v>
      </c>
      <c r="J133">
        <f t="shared" si="4"/>
        <v>97.745833333333337</v>
      </c>
      <c r="K133">
        <v>7037.7</v>
      </c>
      <c r="L133" t="s">
        <v>4159</v>
      </c>
    </row>
    <row r="134" spans="1:12" ht="50.1" customHeight="1">
      <c r="A134">
        <v>125</v>
      </c>
      <c r="B134" t="s">
        <v>3952</v>
      </c>
      <c r="C134" t="s">
        <v>4152</v>
      </c>
      <c r="D134">
        <v>405043643</v>
      </c>
      <c r="E134" t="s">
        <v>3954</v>
      </c>
      <c r="F134" t="s">
        <v>4153</v>
      </c>
      <c r="G134" t="s">
        <v>4160</v>
      </c>
      <c r="H134" t="s">
        <v>3954</v>
      </c>
      <c r="I134" t="s">
        <v>3773</v>
      </c>
      <c r="J134">
        <f t="shared" si="4"/>
        <v>586.47499999999991</v>
      </c>
      <c r="K134">
        <v>42226.2</v>
      </c>
      <c r="L134" t="s">
        <v>4161</v>
      </c>
    </row>
    <row r="135" spans="1:12" ht="50.1" customHeight="1">
      <c r="A135">
        <v>126</v>
      </c>
      <c r="B135" t="s">
        <v>3952</v>
      </c>
      <c r="C135" t="s">
        <v>4152</v>
      </c>
      <c r="D135">
        <v>405043643</v>
      </c>
      <c r="E135" t="s">
        <v>3954</v>
      </c>
      <c r="F135" t="s">
        <v>4153</v>
      </c>
      <c r="G135" t="s">
        <v>4162</v>
      </c>
      <c r="H135" t="s">
        <v>3954</v>
      </c>
      <c r="I135" t="s">
        <v>3773</v>
      </c>
      <c r="J135">
        <f t="shared" si="4"/>
        <v>586.47499999999991</v>
      </c>
      <c r="K135">
        <v>42226.2</v>
      </c>
      <c r="L135" t="s">
        <v>4163</v>
      </c>
    </row>
    <row r="136" spans="1:12" ht="50.1" customHeight="1">
      <c r="A136">
        <v>127</v>
      </c>
      <c r="B136" t="s">
        <v>3952</v>
      </c>
      <c r="C136" t="s">
        <v>4152</v>
      </c>
      <c r="D136">
        <v>405043643</v>
      </c>
      <c r="E136" t="s">
        <v>3954</v>
      </c>
      <c r="F136" t="s">
        <v>4153</v>
      </c>
      <c r="G136" t="s">
        <v>4164</v>
      </c>
      <c r="H136" t="s">
        <v>3954</v>
      </c>
      <c r="I136" t="s">
        <v>3773</v>
      </c>
      <c r="J136">
        <f t="shared" si="4"/>
        <v>97.745833333333337</v>
      </c>
      <c r="K136">
        <v>7037.7</v>
      </c>
      <c r="L136" t="s">
        <v>4165</v>
      </c>
    </row>
    <row r="137" spans="1:12" ht="50.1" customHeight="1">
      <c r="A137">
        <v>128</v>
      </c>
      <c r="B137" t="s">
        <v>3952</v>
      </c>
      <c r="C137" t="s">
        <v>4152</v>
      </c>
      <c r="D137">
        <v>405043643</v>
      </c>
      <c r="E137" t="s">
        <v>3954</v>
      </c>
      <c r="F137" t="s">
        <v>4153</v>
      </c>
      <c r="G137" t="s">
        <v>4139</v>
      </c>
      <c r="H137" t="s">
        <v>3954</v>
      </c>
      <c r="I137" t="s">
        <v>3773</v>
      </c>
      <c r="J137">
        <f t="shared" si="4"/>
        <v>78.196666666666658</v>
      </c>
      <c r="K137">
        <v>5630.16</v>
      </c>
      <c r="L137" t="s">
        <v>4166</v>
      </c>
    </row>
    <row r="138" spans="1:12" ht="50.1" customHeight="1">
      <c r="A138">
        <v>129</v>
      </c>
      <c r="B138" t="s">
        <v>3952</v>
      </c>
      <c r="C138" t="s">
        <v>4152</v>
      </c>
      <c r="D138">
        <v>405043643</v>
      </c>
      <c r="E138" t="s">
        <v>3954</v>
      </c>
      <c r="F138" t="s">
        <v>4153</v>
      </c>
      <c r="G138" t="s">
        <v>4167</v>
      </c>
      <c r="H138" t="s">
        <v>3954</v>
      </c>
      <c r="I138" t="s">
        <v>3773</v>
      </c>
      <c r="J138">
        <f t="shared" si="4"/>
        <v>30.301388888888887</v>
      </c>
      <c r="K138">
        <v>2181.6999999999998</v>
      </c>
      <c r="L138" t="s">
        <v>4168</v>
      </c>
    </row>
    <row r="139" spans="1:12" ht="50.1" customHeight="1">
      <c r="A139">
        <v>130</v>
      </c>
      <c r="B139" t="s">
        <v>3952</v>
      </c>
      <c r="C139" t="s">
        <v>4152</v>
      </c>
      <c r="D139">
        <v>405043643</v>
      </c>
      <c r="E139" t="s">
        <v>3954</v>
      </c>
      <c r="F139" t="s">
        <v>4153</v>
      </c>
      <c r="G139" t="s">
        <v>4169</v>
      </c>
      <c r="H139" t="s">
        <v>3954</v>
      </c>
      <c r="I139" t="s">
        <v>3773</v>
      </c>
      <c r="J139">
        <f t="shared" si="4"/>
        <v>57.670138888888886</v>
      </c>
      <c r="K139">
        <v>4152.25</v>
      </c>
      <c r="L139" t="s">
        <v>4170</v>
      </c>
    </row>
    <row r="140" spans="1:12" ht="50.1" customHeight="1">
      <c r="A140">
        <v>131</v>
      </c>
      <c r="B140" t="s">
        <v>3952</v>
      </c>
      <c r="C140" t="s">
        <v>4152</v>
      </c>
      <c r="D140">
        <v>405043643</v>
      </c>
      <c r="E140" t="s">
        <v>3954</v>
      </c>
      <c r="F140" t="s">
        <v>4153</v>
      </c>
      <c r="G140" t="s">
        <v>4030</v>
      </c>
      <c r="H140" t="s">
        <v>3954</v>
      </c>
      <c r="I140" t="s">
        <v>3773</v>
      </c>
      <c r="J140">
        <f t="shared" si="4"/>
        <v>25.413888888888888</v>
      </c>
      <c r="K140">
        <v>1829.8</v>
      </c>
      <c r="L140" t="s">
        <v>4171</v>
      </c>
    </row>
    <row r="141" spans="1:12" ht="50.1" customHeight="1">
      <c r="A141">
        <v>132</v>
      </c>
      <c r="B141" t="s">
        <v>3952</v>
      </c>
      <c r="C141" t="s">
        <v>4172</v>
      </c>
      <c r="D141">
        <v>402003513</v>
      </c>
      <c r="E141" t="s">
        <v>3954</v>
      </c>
      <c r="F141" t="s">
        <v>4153</v>
      </c>
      <c r="G141" t="s">
        <v>4070</v>
      </c>
      <c r="H141" t="s">
        <v>3954</v>
      </c>
      <c r="I141" t="s">
        <v>3773</v>
      </c>
      <c r="J141">
        <f t="shared" si="4"/>
        <v>125</v>
      </c>
      <c r="K141">
        <v>9000</v>
      </c>
      <c r="L141" t="s">
        <v>4173</v>
      </c>
    </row>
    <row r="142" spans="1:12" ht="50.1" customHeight="1">
      <c r="A142">
        <v>133</v>
      </c>
      <c r="B142" t="s">
        <v>3952</v>
      </c>
      <c r="C142" t="s">
        <v>4172</v>
      </c>
      <c r="D142">
        <v>402003513</v>
      </c>
      <c r="E142" t="s">
        <v>3954</v>
      </c>
      <c r="F142" t="s">
        <v>4153</v>
      </c>
      <c r="H142" t="s">
        <v>3954</v>
      </c>
      <c r="I142" t="s">
        <v>3773</v>
      </c>
      <c r="J142">
        <f t="shared" si="4"/>
        <v>83.333333333333329</v>
      </c>
      <c r="K142">
        <v>6000</v>
      </c>
      <c r="L142" t="s">
        <v>4174</v>
      </c>
    </row>
    <row r="143" spans="1:12" ht="50.1" customHeight="1">
      <c r="A143">
        <v>134</v>
      </c>
      <c r="B143" t="s">
        <v>3952</v>
      </c>
      <c r="C143" t="s">
        <v>4175</v>
      </c>
      <c r="D143">
        <v>427716153</v>
      </c>
      <c r="E143" t="s">
        <v>3954</v>
      </c>
      <c r="F143" t="s">
        <v>4176</v>
      </c>
      <c r="G143" t="s">
        <v>4177</v>
      </c>
      <c r="H143" t="s">
        <v>3954</v>
      </c>
      <c r="I143" t="s">
        <v>3773</v>
      </c>
      <c r="J143">
        <f>K143/65</f>
        <v>44.307692307692307</v>
      </c>
      <c r="K143">
        <v>2880</v>
      </c>
      <c r="L143" t="s">
        <v>4178</v>
      </c>
    </row>
    <row r="144" spans="1:12" ht="50.1" customHeight="1">
      <c r="A144">
        <v>135</v>
      </c>
      <c r="B144" t="s">
        <v>3952</v>
      </c>
      <c r="C144" t="s">
        <v>4175</v>
      </c>
      <c r="D144">
        <v>427716153</v>
      </c>
      <c r="E144" t="s">
        <v>3954</v>
      </c>
      <c r="F144" t="s">
        <v>4176</v>
      </c>
      <c r="H144" t="s">
        <v>3954</v>
      </c>
      <c r="J144">
        <f>K144/65</f>
        <v>43.846153846153847</v>
      </c>
      <c r="K144">
        <v>2850</v>
      </c>
      <c r="L144" t="s">
        <v>4179</v>
      </c>
    </row>
    <row r="145" spans="1:12" ht="50.1" customHeight="1">
      <c r="A145">
        <v>136</v>
      </c>
      <c r="B145" t="s">
        <v>3977</v>
      </c>
      <c r="C145" t="s">
        <v>4175</v>
      </c>
      <c r="D145">
        <v>427716153</v>
      </c>
      <c r="E145" t="s">
        <v>3954</v>
      </c>
      <c r="F145" t="s">
        <v>4176</v>
      </c>
      <c r="G145">
        <v>4000</v>
      </c>
      <c r="H145" t="s">
        <v>3954</v>
      </c>
      <c r="I145" t="s">
        <v>3979</v>
      </c>
      <c r="J145">
        <f>K145/G145</f>
        <v>1.2</v>
      </c>
      <c r="K145">
        <v>4800</v>
      </c>
      <c r="L145" t="s">
        <v>4180</v>
      </c>
    </row>
    <row r="146" spans="1:12" ht="50.1" customHeight="1">
      <c r="A146">
        <v>137</v>
      </c>
      <c r="B146" t="s">
        <v>3952</v>
      </c>
      <c r="C146" t="s">
        <v>4181</v>
      </c>
      <c r="D146">
        <v>220014464</v>
      </c>
      <c r="E146" t="s">
        <v>3954</v>
      </c>
      <c r="F146" t="s">
        <v>4176</v>
      </c>
      <c r="G146" t="s">
        <v>4182</v>
      </c>
      <c r="H146" t="s">
        <v>3954</v>
      </c>
      <c r="I146" t="s">
        <v>3773</v>
      </c>
      <c r="J146">
        <f>K146/65</f>
        <v>20</v>
      </c>
      <c r="K146">
        <v>1300</v>
      </c>
      <c r="L146" t="s">
        <v>4183</v>
      </c>
    </row>
    <row r="147" spans="1:12" ht="50.1" customHeight="1">
      <c r="A147">
        <v>138</v>
      </c>
      <c r="B147" t="s">
        <v>3952</v>
      </c>
      <c r="C147" t="s">
        <v>4181</v>
      </c>
      <c r="D147">
        <v>220014464</v>
      </c>
      <c r="E147" t="s">
        <v>3954</v>
      </c>
      <c r="F147" t="s">
        <v>4176</v>
      </c>
      <c r="G147" t="s">
        <v>4182</v>
      </c>
      <c r="H147" t="s">
        <v>3954</v>
      </c>
      <c r="I147" t="s">
        <v>3773</v>
      </c>
      <c r="J147">
        <f>K147/65</f>
        <v>20</v>
      </c>
      <c r="K147">
        <v>1300</v>
      </c>
      <c r="L147" t="s">
        <v>4184</v>
      </c>
    </row>
    <row r="148" spans="1:12" ht="50.1" customHeight="1">
      <c r="A148">
        <v>139</v>
      </c>
      <c r="B148" t="s">
        <v>3977</v>
      </c>
      <c r="C148" t="s">
        <v>4185</v>
      </c>
      <c r="D148">
        <v>202375349</v>
      </c>
      <c r="E148" t="s">
        <v>3954</v>
      </c>
      <c r="F148" t="s">
        <v>4176</v>
      </c>
      <c r="G148">
        <v>54150</v>
      </c>
      <c r="H148" t="s">
        <v>3954</v>
      </c>
      <c r="I148" t="s">
        <v>3979</v>
      </c>
      <c r="J148">
        <f>K148/G148</f>
        <v>0.15789473684210525</v>
      </c>
      <c r="K148">
        <v>8550</v>
      </c>
      <c r="L148" t="s">
        <v>4186</v>
      </c>
    </row>
    <row r="149" spans="1:12" ht="50.1" customHeight="1">
      <c r="A149">
        <v>140</v>
      </c>
      <c r="B149" t="s">
        <v>3952</v>
      </c>
      <c r="C149" t="s">
        <v>4187</v>
      </c>
      <c r="D149">
        <v>202459259</v>
      </c>
      <c r="E149" t="s">
        <v>3954</v>
      </c>
      <c r="F149" t="s">
        <v>4188</v>
      </c>
      <c r="G149" t="s">
        <v>4189</v>
      </c>
      <c r="H149" t="s">
        <v>3954</v>
      </c>
      <c r="I149" t="s">
        <v>3773</v>
      </c>
      <c r="J149">
        <f t="shared" ref="J149:J154" si="5">K149/63</f>
        <v>100</v>
      </c>
      <c r="K149">
        <v>6300</v>
      </c>
      <c r="L149" t="s">
        <v>4190</v>
      </c>
    </row>
    <row r="150" spans="1:12" ht="50.1" customHeight="1">
      <c r="A150">
        <v>141</v>
      </c>
      <c r="B150" t="s">
        <v>3952</v>
      </c>
      <c r="C150" t="s">
        <v>4187</v>
      </c>
      <c r="D150">
        <v>202459259</v>
      </c>
      <c r="E150" t="s">
        <v>3954</v>
      </c>
      <c r="F150" t="s">
        <v>4188</v>
      </c>
      <c r="G150" t="s">
        <v>4191</v>
      </c>
      <c r="H150" t="s">
        <v>3954</v>
      </c>
      <c r="I150" t="s">
        <v>3773</v>
      </c>
      <c r="J150">
        <f t="shared" si="5"/>
        <v>27.38095238095238</v>
      </c>
      <c r="K150">
        <v>1725</v>
      </c>
      <c r="L150" t="s">
        <v>4192</v>
      </c>
    </row>
    <row r="151" spans="1:12" ht="50.1" customHeight="1">
      <c r="A151">
        <v>142</v>
      </c>
      <c r="B151" t="s">
        <v>3952</v>
      </c>
      <c r="C151" t="s">
        <v>4187</v>
      </c>
      <c r="D151">
        <v>202459259</v>
      </c>
      <c r="E151" t="s">
        <v>3954</v>
      </c>
      <c r="F151" t="s">
        <v>4188</v>
      </c>
      <c r="G151" t="s">
        <v>4191</v>
      </c>
      <c r="H151" t="s">
        <v>3954</v>
      </c>
      <c r="I151" t="s">
        <v>3773</v>
      </c>
      <c r="J151">
        <f t="shared" si="5"/>
        <v>27.38095238095238</v>
      </c>
      <c r="K151">
        <v>1725</v>
      </c>
      <c r="L151" t="s">
        <v>4193</v>
      </c>
    </row>
    <row r="152" spans="1:12" ht="50.1" customHeight="1">
      <c r="A152">
        <v>143</v>
      </c>
      <c r="B152" t="s">
        <v>3952</v>
      </c>
      <c r="C152" t="s">
        <v>4187</v>
      </c>
      <c r="D152">
        <v>202459259</v>
      </c>
      <c r="E152" t="s">
        <v>3954</v>
      </c>
      <c r="F152" t="s">
        <v>4188</v>
      </c>
      <c r="G152" t="s">
        <v>4194</v>
      </c>
      <c r="H152" t="s">
        <v>3954</v>
      </c>
      <c r="I152" t="s">
        <v>3773</v>
      </c>
      <c r="J152">
        <f t="shared" si="5"/>
        <v>27.38095238095238</v>
      </c>
      <c r="K152">
        <v>1725</v>
      </c>
      <c r="L152" t="s">
        <v>4195</v>
      </c>
    </row>
    <row r="153" spans="1:12" ht="50.1" customHeight="1">
      <c r="A153">
        <v>144</v>
      </c>
      <c r="B153" t="s">
        <v>3952</v>
      </c>
      <c r="C153" t="s">
        <v>4187</v>
      </c>
      <c r="D153">
        <v>202459259</v>
      </c>
      <c r="E153" t="s">
        <v>3954</v>
      </c>
      <c r="F153" t="s">
        <v>4188</v>
      </c>
      <c r="G153" t="s">
        <v>4194</v>
      </c>
      <c r="H153" t="s">
        <v>3954</v>
      </c>
      <c r="I153" t="s">
        <v>3773</v>
      </c>
      <c r="J153">
        <f t="shared" si="5"/>
        <v>27.38095238095238</v>
      </c>
      <c r="K153">
        <v>1725</v>
      </c>
      <c r="L153" t="s">
        <v>4196</v>
      </c>
    </row>
    <row r="154" spans="1:12" ht="50.1" customHeight="1">
      <c r="A154">
        <v>145</v>
      </c>
      <c r="B154" t="s">
        <v>3952</v>
      </c>
      <c r="C154" t="s">
        <v>4187</v>
      </c>
      <c r="D154">
        <v>202459259</v>
      </c>
      <c r="E154" t="s">
        <v>3954</v>
      </c>
      <c r="F154" t="s">
        <v>4188</v>
      </c>
      <c r="G154" t="s">
        <v>4197</v>
      </c>
      <c r="H154" t="s">
        <v>3954</v>
      </c>
      <c r="I154" t="s">
        <v>3773</v>
      </c>
      <c r="J154">
        <f t="shared" si="5"/>
        <v>44.444444444444443</v>
      </c>
      <c r="K154">
        <v>2800</v>
      </c>
      <c r="L154" t="s">
        <v>4198</v>
      </c>
    </row>
    <row r="155" spans="1:12" ht="50.1" customHeight="1">
      <c r="A155">
        <v>146</v>
      </c>
      <c r="B155" t="s">
        <v>3952</v>
      </c>
      <c r="C155" t="s">
        <v>4199</v>
      </c>
      <c r="D155">
        <v>415593432</v>
      </c>
      <c r="E155" t="s">
        <v>3954</v>
      </c>
      <c r="F155" t="s">
        <v>4200</v>
      </c>
      <c r="G155" t="s">
        <v>4201</v>
      </c>
      <c r="H155" t="s">
        <v>3954</v>
      </c>
      <c r="I155" t="s">
        <v>3773</v>
      </c>
      <c r="J155">
        <f>K155/61</f>
        <v>8.1967213114754092</v>
      </c>
      <c r="K155">
        <v>500</v>
      </c>
      <c r="L155" t="s">
        <v>4202</v>
      </c>
    </row>
    <row r="156" spans="1:12" ht="50.1" customHeight="1">
      <c r="A156">
        <v>147</v>
      </c>
      <c r="B156" t="s">
        <v>3952</v>
      </c>
      <c r="C156" t="s">
        <v>4199</v>
      </c>
      <c r="D156">
        <v>415593432</v>
      </c>
      <c r="E156" t="s">
        <v>3954</v>
      </c>
      <c r="F156" t="s">
        <v>4200</v>
      </c>
      <c r="H156" t="s">
        <v>3954</v>
      </c>
      <c r="J156">
        <f>K156/61</f>
        <v>4.918032786885246</v>
      </c>
      <c r="K156">
        <v>300</v>
      </c>
      <c r="L156" t="s">
        <v>4203</v>
      </c>
    </row>
    <row r="157" spans="1:12" ht="50.1" customHeight="1">
      <c r="A157">
        <v>148</v>
      </c>
      <c r="B157" t="s">
        <v>3952</v>
      </c>
      <c r="C157" t="s">
        <v>4152</v>
      </c>
      <c r="D157">
        <v>405043643</v>
      </c>
      <c r="E157" t="s">
        <v>3954</v>
      </c>
      <c r="F157" t="s">
        <v>4204</v>
      </c>
      <c r="G157" t="s">
        <v>4205</v>
      </c>
      <c r="H157" t="s">
        <v>3954</v>
      </c>
      <c r="I157" t="s">
        <v>3773</v>
      </c>
      <c r="J157">
        <f>K157/64</f>
        <v>18.4375</v>
      </c>
      <c r="K157">
        <v>1180</v>
      </c>
      <c r="L157" t="s">
        <v>4206</v>
      </c>
    </row>
    <row r="158" spans="1:12" ht="50.1" customHeight="1">
      <c r="A158">
        <v>149</v>
      </c>
      <c r="B158" t="s">
        <v>3952</v>
      </c>
      <c r="C158" t="s">
        <v>4152</v>
      </c>
      <c r="D158">
        <v>405043643</v>
      </c>
      <c r="E158" t="s">
        <v>3954</v>
      </c>
      <c r="F158" t="s">
        <v>4204</v>
      </c>
      <c r="G158" t="s">
        <v>4207</v>
      </c>
      <c r="H158" t="s">
        <v>3954</v>
      </c>
      <c r="I158" t="s">
        <v>3773</v>
      </c>
      <c r="J158">
        <f>K158/64</f>
        <v>18.4375</v>
      </c>
      <c r="K158">
        <v>1180</v>
      </c>
      <c r="L158" t="s">
        <v>4208</v>
      </c>
    </row>
    <row r="159" spans="1:12" ht="50.1" customHeight="1">
      <c r="A159">
        <v>150</v>
      </c>
      <c r="B159" t="s">
        <v>4209</v>
      </c>
      <c r="C159" t="s">
        <v>4210</v>
      </c>
      <c r="D159">
        <v>246958056</v>
      </c>
      <c r="E159" t="s">
        <v>3954</v>
      </c>
      <c r="F159" t="s">
        <v>4211</v>
      </c>
      <c r="G159">
        <v>36</v>
      </c>
      <c r="H159" t="s">
        <v>3954</v>
      </c>
      <c r="I159" t="s">
        <v>4212</v>
      </c>
      <c r="J159">
        <f t="shared" ref="J159:J178" si="6">K159/G159</f>
        <v>271.70382975000001</v>
      </c>
      <c r="K159">
        <v>9781.3378709999997</v>
      </c>
      <c r="L159" t="s">
        <v>4213</v>
      </c>
    </row>
    <row r="160" spans="1:12" ht="50.1" customHeight="1">
      <c r="A160">
        <v>151</v>
      </c>
      <c r="B160" t="s">
        <v>4209</v>
      </c>
      <c r="C160" t="s">
        <v>4210</v>
      </c>
      <c r="D160">
        <v>246958056</v>
      </c>
      <c r="E160" t="s">
        <v>3954</v>
      </c>
      <c r="F160" t="s">
        <v>4211</v>
      </c>
      <c r="G160">
        <v>18</v>
      </c>
      <c r="H160" t="s">
        <v>3954</v>
      </c>
      <c r="I160" t="s">
        <v>4212</v>
      </c>
      <c r="J160">
        <f t="shared" si="6"/>
        <v>271.70382975000001</v>
      </c>
      <c r="K160">
        <v>4890.6689354999999</v>
      </c>
      <c r="L160" t="s">
        <v>4214</v>
      </c>
    </row>
    <row r="161" spans="1:12" ht="50.1" customHeight="1">
      <c r="A161">
        <v>152</v>
      </c>
      <c r="B161" t="s">
        <v>4209</v>
      </c>
      <c r="C161" t="s">
        <v>4210</v>
      </c>
      <c r="D161">
        <v>246958056</v>
      </c>
      <c r="E161" t="s">
        <v>3954</v>
      </c>
      <c r="F161" t="s">
        <v>4211</v>
      </c>
      <c r="G161">
        <v>36</v>
      </c>
      <c r="H161" t="s">
        <v>3954</v>
      </c>
      <c r="I161" t="s">
        <v>4212</v>
      </c>
      <c r="J161">
        <f t="shared" si="6"/>
        <v>271.70382975000001</v>
      </c>
      <c r="K161">
        <v>9781.3378709999997</v>
      </c>
      <c r="L161" t="s">
        <v>4215</v>
      </c>
    </row>
    <row r="162" spans="1:12" ht="50.1" customHeight="1">
      <c r="A162">
        <v>153</v>
      </c>
      <c r="B162" t="s">
        <v>4209</v>
      </c>
      <c r="C162" t="s">
        <v>4210</v>
      </c>
      <c r="D162">
        <v>246958056</v>
      </c>
      <c r="E162" t="s">
        <v>3954</v>
      </c>
      <c r="F162" t="s">
        <v>4211</v>
      </c>
      <c r="G162">
        <v>27</v>
      </c>
      <c r="H162" t="s">
        <v>3954</v>
      </c>
      <c r="I162" t="s">
        <v>4212</v>
      </c>
      <c r="J162">
        <f t="shared" si="6"/>
        <v>271.70382975000001</v>
      </c>
      <c r="K162">
        <v>7336.0034032499998</v>
      </c>
      <c r="L162" t="s">
        <v>4216</v>
      </c>
    </row>
    <row r="163" spans="1:12" ht="50.1" customHeight="1">
      <c r="A163">
        <v>154</v>
      </c>
      <c r="B163" t="s">
        <v>4209</v>
      </c>
      <c r="C163" t="s">
        <v>4210</v>
      </c>
      <c r="D163">
        <v>246958056</v>
      </c>
      <c r="E163" t="s">
        <v>3954</v>
      </c>
      <c r="F163" t="s">
        <v>4211</v>
      </c>
      <c r="G163">
        <v>36</v>
      </c>
      <c r="H163" t="s">
        <v>3954</v>
      </c>
      <c r="I163" t="s">
        <v>4212</v>
      </c>
      <c r="J163">
        <f t="shared" si="6"/>
        <v>271.70382975000001</v>
      </c>
      <c r="K163">
        <v>9781.3378709999997</v>
      </c>
      <c r="L163" t="s">
        <v>4217</v>
      </c>
    </row>
    <row r="164" spans="1:12" ht="50.1" customHeight="1">
      <c r="A164">
        <v>155</v>
      </c>
      <c r="B164" t="s">
        <v>4209</v>
      </c>
      <c r="C164" t="s">
        <v>4210</v>
      </c>
      <c r="D164">
        <v>246958056</v>
      </c>
      <c r="E164" t="s">
        <v>3954</v>
      </c>
      <c r="F164" t="s">
        <v>4211</v>
      </c>
      <c r="G164">
        <v>36</v>
      </c>
      <c r="H164" t="s">
        <v>3954</v>
      </c>
      <c r="I164" t="s">
        <v>4212</v>
      </c>
      <c r="J164">
        <f t="shared" si="6"/>
        <v>271.70382975000001</v>
      </c>
      <c r="K164">
        <v>9781.3378709999997</v>
      </c>
      <c r="L164" t="s">
        <v>4218</v>
      </c>
    </row>
    <row r="165" spans="1:12" ht="50.1" customHeight="1">
      <c r="A165">
        <v>156</v>
      </c>
      <c r="B165" t="s">
        <v>4209</v>
      </c>
      <c r="C165" t="s">
        <v>4210</v>
      </c>
      <c r="D165">
        <v>246958056</v>
      </c>
      <c r="E165" t="s">
        <v>3954</v>
      </c>
      <c r="F165" t="s">
        <v>4211</v>
      </c>
      <c r="G165">
        <v>70</v>
      </c>
      <c r="H165" t="s">
        <v>3954</v>
      </c>
      <c r="I165" t="s">
        <v>4212</v>
      </c>
      <c r="J165">
        <f t="shared" si="6"/>
        <v>271.70382975000001</v>
      </c>
      <c r="K165">
        <v>19019.268082499999</v>
      </c>
      <c r="L165" t="s">
        <v>4219</v>
      </c>
    </row>
    <row r="166" spans="1:12" ht="50.1" customHeight="1">
      <c r="A166">
        <v>157</v>
      </c>
      <c r="B166" t="s">
        <v>4209</v>
      </c>
      <c r="C166" t="s">
        <v>4210</v>
      </c>
      <c r="D166">
        <v>246958056</v>
      </c>
      <c r="E166" t="s">
        <v>3954</v>
      </c>
      <c r="F166" t="s">
        <v>4211</v>
      </c>
      <c r="G166">
        <v>36</v>
      </c>
      <c r="H166" t="s">
        <v>3954</v>
      </c>
      <c r="I166" t="s">
        <v>4212</v>
      </c>
      <c r="J166">
        <f t="shared" si="6"/>
        <v>271.70382975000001</v>
      </c>
      <c r="K166">
        <v>9781.3378709999997</v>
      </c>
      <c r="L166" t="s">
        <v>4220</v>
      </c>
    </row>
    <row r="167" spans="1:12" ht="50.1" customHeight="1">
      <c r="A167">
        <v>158</v>
      </c>
      <c r="B167" t="s">
        <v>4209</v>
      </c>
      <c r="C167" t="s">
        <v>4210</v>
      </c>
      <c r="D167">
        <v>246958056</v>
      </c>
      <c r="E167" t="s">
        <v>3954</v>
      </c>
      <c r="F167" t="s">
        <v>4211</v>
      </c>
      <c r="G167">
        <v>36</v>
      </c>
      <c r="H167" t="s">
        <v>3954</v>
      </c>
      <c r="I167" t="s">
        <v>4212</v>
      </c>
      <c r="J167">
        <f t="shared" si="6"/>
        <v>271.70382975000001</v>
      </c>
      <c r="K167">
        <v>9781.3378709999997</v>
      </c>
      <c r="L167" t="s">
        <v>4221</v>
      </c>
    </row>
    <row r="168" spans="1:12" ht="50.1" customHeight="1">
      <c r="A168">
        <v>159</v>
      </c>
      <c r="B168" t="s">
        <v>4209</v>
      </c>
      <c r="C168" t="s">
        <v>4210</v>
      </c>
      <c r="D168">
        <v>246958056</v>
      </c>
      <c r="E168" t="s">
        <v>3954</v>
      </c>
      <c r="F168" t="s">
        <v>4211</v>
      </c>
      <c r="G168">
        <v>18</v>
      </c>
      <c r="H168" t="s">
        <v>3954</v>
      </c>
      <c r="I168" t="s">
        <v>4212</v>
      </c>
      <c r="J168">
        <f t="shared" si="6"/>
        <v>271.70382975000001</v>
      </c>
      <c r="K168">
        <v>4890.6689354999999</v>
      </c>
      <c r="L168" t="s">
        <v>4222</v>
      </c>
    </row>
    <row r="169" spans="1:12" ht="50.1" customHeight="1">
      <c r="A169">
        <v>160</v>
      </c>
      <c r="B169" t="s">
        <v>4209</v>
      </c>
      <c r="C169" t="s">
        <v>4210</v>
      </c>
      <c r="D169">
        <v>246958056</v>
      </c>
      <c r="E169" t="s">
        <v>3954</v>
      </c>
      <c r="F169" t="s">
        <v>4211</v>
      </c>
      <c r="G169">
        <v>105</v>
      </c>
      <c r="H169" t="s">
        <v>3954</v>
      </c>
      <c r="I169" t="s">
        <v>4212</v>
      </c>
      <c r="J169">
        <f t="shared" si="6"/>
        <v>271.70382974999995</v>
      </c>
      <c r="K169">
        <v>28528.902123749995</v>
      </c>
      <c r="L169" t="s">
        <v>4223</v>
      </c>
    </row>
    <row r="170" spans="1:12" ht="50.1" customHeight="1">
      <c r="A170">
        <v>161</v>
      </c>
      <c r="B170" t="s">
        <v>4209</v>
      </c>
      <c r="C170" t="s">
        <v>4210</v>
      </c>
      <c r="D170">
        <v>246958056</v>
      </c>
      <c r="E170" t="s">
        <v>3954</v>
      </c>
      <c r="F170" t="s">
        <v>4211</v>
      </c>
      <c r="G170">
        <v>36</v>
      </c>
      <c r="H170" t="s">
        <v>3954</v>
      </c>
      <c r="I170" t="s">
        <v>4212</v>
      </c>
      <c r="J170">
        <f t="shared" si="6"/>
        <v>271.70382975000001</v>
      </c>
      <c r="K170">
        <v>9781.3378709999997</v>
      </c>
      <c r="L170" t="s">
        <v>4224</v>
      </c>
    </row>
    <row r="171" spans="1:12" ht="50.1" customHeight="1">
      <c r="A171">
        <v>162</v>
      </c>
      <c r="B171" t="s">
        <v>4209</v>
      </c>
      <c r="C171" t="s">
        <v>4210</v>
      </c>
      <c r="D171">
        <v>246958056</v>
      </c>
      <c r="E171" t="s">
        <v>3954</v>
      </c>
      <c r="F171" t="s">
        <v>4211</v>
      </c>
      <c r="G171">
        <v>40</v>
      </c>
      <c r="H171" t="s">
        <v>3954</v>
      </c>
      <c r="I171" t="s">
        <v>4212</v>
      </c>
      <c r="J171">
        <f t="shared" si="6"/>
        <v>271.70382974999995</v>
      </c>
      <c r="K171">
        <v>10868.153189999999</v>
      </c>
      <c r="L171" t="s">
        <v>4225</v>
      </c>
    </row>
    <row r="172" spans="1:12" ht="50.1" customHeight="1">
      <c r="A172">
        <v>163</v>
      </c>
      <c r="B172" t="s">
        <v>4209</v>
      </c>
      <c r="C172" t="s">
        <v>4210</v>
      </c>
      <c r="D172">
        <v>246958056</v>
      </c>
      <c r="E172" t="s">
        <v>3954</v>
      </c>
      <c r="F172" t="s">
        <v>4211</v>
      </c>
      <c r="G172">
        <v>36</v>
      </c>
      <c r="H172" t="s">
        <v>3954</v>
      </c>
      <c r="I172" t="s">
        <v>4212</v>
      </c>
      <c r="J172">
        <f t="shared" si="6"/>
        <v>271.70382975000001</v>
      </c>
      <c r="K172">
        <v>9781.3378709999997</v>
      </c>
      <c r="L172" t="s">
        <v>4226</v>
      </c>
    </row>
    <row r="173" spans="1:12" ht="50.1" customHeight="1">
      <c r="A173">
        <v>164</v>
      </c>
      <c r="B173" t="s">
        <v>4209</v>
      </c>
      <c r="C173" t="s">
        <v>4210</v>
      </c>
      <c r="D173">
        <v>246958056</v>
      </c>
      <c r="E173" t="s">
        <v>3954</v>
      </c>
      <c r="F173" t="s">
        <v>4211</v>
      </c>
      <c r="G173">
        <v>54</v>
      </c>
      <c r="H173" t="s">
        <v>3954</v>
      </c>
      <c r="I173" t="s">
        <v>4212</v>
      </c>
      <c r="J173">
        <f t="shared" si="6"/>
        <v>271.70382975000001</v>
      </c>
      <c r="K173">
        <v>14672.0068065</v>
      </c>
      <c r="L173" t="s">
        <v>4227</v>
      </c>
    </row>
    <row r="174" spans="1:12" ht="50.1" customHeight="1">
      <c r="A174">
        <v>165</v>
      </c>
      <c r="B174" t="s">
        <v>4209</v>
      </c>
      <c r="C174" t="s">
        <v>4210</v>
      </c>
      <c r="D174">
        <v>246958056</v>
      </c>
      <c r="E174" t="s">
        <v>3954</v>
      </c>
      <c r="F174" t="s">
        <v>4211</v>
      </c>
      <c r="G174">
        <v>36</v>
      </c>
      <c r="H174" t="s">
        <v>3954</v>
      </c>
      <c r="I174" t="s">
        <v>4212</v>
      </c>
      <c r="J174">
        <f t="shared" si="6"/>
        <v>271.70382975000001</v>
      </c>
      <c r="K174">
        <v>9781.3378709999997</v>
      </c>
      <c r="L174" t="s">
        <v>4228</v>
      </c>
    </row>
    <row r="175" spans="1:12" ht="50.1" customHeight="1">
      <c r="A175">
        <v>166</v>
      </c>
      <c r="B175" t="s">
        <v>4209</v>
      </c>
      <c r="C175" t="s">
        <v>4210</v>
      </c>
      <c r="D175">
        <v>246958056</v>
      </c>
      <c r="E175" t="s">
        <v>3954</v>
      </c>
      <c r="F175" t="s">
        <v>4211</v>
      </c>
      <c r="G175">
        <v>36</v>
      </c>
      <c r="H175" t="s">
        <v>3954</v>
      </c>
      <c r="I175" t="s">
        <v>4212</v>
      </c>
      <c r="J175">
        <f t="shared" si="6"/>
        <v>271.70382975000001</v>
      </c>
      <c r="K175">
        <v>9781.3378709999997</v>
      </c>
      <c r="L175" t="s">
        <v>4229</v>
      </c>
    </row>
    <row r="176" spans="1:12" ht="50.1" customHeight="1">
      <c r="A176">
        <v>167</v>
      </c>
      <c r="B176" t="s">
        <v>4209</v>
      </c>
      <c r="C176" t="s">
        <v>4210</v>
      </c>
      <c r="D176">
        <v>246958056</v>
      </c>
      <c r="E176" t="s">
        <v>3954</v>
      </c>
      <c r="F176" t="s">
        <v>4211</v>
      </c>
      <c r="G176">
        <v>36</v>
      </c>
      <c r="H176" t="s">
        <v>3954</v>
      </c>
      <c r="I176" t="s">
        <v>4212</v>
      </c>
      <c r="J176">
        <f t="shared" si="6"/>
        <v>271.70382975000001</v>
      </c>
      <c r="K176">
        <v>9781.3378709999997</v>
      </c>
      <c r="L176" t="s">
        <v>4230</v>
      </c>
    </row>
    <row r="177" spans="1:12" ht="50.1" customHeight="1">
      <c r="A177">
        <v>168</v>
      </c>
      <c r="B177" t="s">
        <v>3977</v>
      </c>
      <c r="C177" t="s">
        <v>4231</v>
      </c>
      <c r="D177">
        <v>202224609</v>
      </c>
      <c r="E177" t="s">
        <v>3954</v>
      </c>
      <c r="F177" t="s">
        <v>4232</v>
      </c>
      <c r="G177">
        <v>9500</v>
      </c>
      <c r="H177" t="s">
        <v>3954</v>
      </c>
      <c r="I177" t="s">
        <v>3979</v>
      </c>
      <c r="J177">
        <f t="shared" si="6"/>
        <v>1.4736842105263157</v>
      </c>
      <c r="K177">
        <v>14000</v>
      </c>
      <c r="L177" t="s">
        <v>4233</v>
      </c>
    </row>
    <row r="178" spans="1:12" ht="50.1" customHeight="1">
      <c r="A178">
        <v>169</v>
      </c>
      <c r="B178" t="s">
        <v>3977</v>
      </c>
      <c r="C178" t="s">
        <v>4231</v>
      </c>
      <c r="D178">
        <v>202224609</v>
      </c>
      <c r="E178" t="s">
        <v>3954</v>
      </c>
      <c r="F178" t="s">
        <v>4232</v>
      </c>
      <c r="G178">
        <v>250</v>
      </c>
      <c r="H178" t="s">
        <v>3954</v>
      </c>
      <c r="I178" t="s">
        <v>3979</v>
      </c>
      <c r="J178">
        <f t="shared" si="6"/>
        <v>4</v>
      </c>
      <c r="K178">
        <v>1000</v>
      </c>
      <c r="L178" t="s">
        <v>4234</v>
      </c>
    </row>
    <row r="179" spans="1:12" ht="50.1" customHeight="1">
      <c r="A179">
        <v>170</v>
      </c>
      <c r="B179" t="s">
        <v>3952</v>
      </c>
      <c r="C179" t="s">
        <v>4231</v>
      </c>
      <c r="D179">
        <v>202224609</v>
      </c>
      <c r="E179" t="s">
        <v>3954</v>
      </c>
      <c r="F179" t="s">
        <v>4232</v>
      </c>
      <c r="H179" t="s">
        <v>3954</v>
      </c>
      <c r="K179">
        <v>600</v>
      </c>
      <c r="L179" t="s">
        <v>4235</v>
      </c>
    </row>
    <row r="180" spans="1:12" ht="50.1" customHeight="1">
      <c r="A180">
        <v>171</v>
      </c>
      <c r="B180" t="s">
        <v>3952</v>
      </c>
      <c r="C180" t="s">
        <v>4236</v>
      </c>
      <c r="D180">
        <v>243122820</v>
      </c>
      <c r="E180" t="s">
        <v>3954</v>
      </c>
      <c r="F180" t="s">
        <v>4237</v>
      </c>
      <c r="G180" t="s">
        <v>4034</v>
      </c>
      <c r="H180" t="s">
        <v>3954</v>
      </c>
      <c r="I180" t="s">
        <v>3773</v>
      </c>
      <c r="J180">
        <f>K180/50</f>
        <v>8.48</v>
      </c>
      <c r="K180">
        <v>424</v>
      </c>
      <c r="L180" t="s">
        <v>4238</v>
      </c>
    </row>
    <row r="181" spans="1:12" ht="50.1" customHeight="1">
      <c r="A181">
        <v>172</v>
      </c>
      <c r="B181" t="s">
        <v>3977</v>
      </c>
      <c r="C181" t="s">
        <v>4236</v>
      </c>
      <c r="D181">
        <v>243122820</v>
      </c>
      <c r="E181" t="s">
        <v>3954</v>
      </c>
      <c r="F181" t="s">
        <v>4237</v>
      </c>
      <c r="G181">
        <v>3500</v>
      </c>
      <c r="H181" t="s">
        <v>3954</v>
      </c>
      <c r="I181" t="s">
        <v>3979</v>
      </c>
      <c r="J181">
        <f>K181/G181</f>
        <v>0.14285714285714285</v>
      </c>
      <c r="K181">
        <v>500</v>
      </c>
      <c r="L181" t="s">
        <v>4239</v>
      </c>
    </row>
    <row r="182" spans="1:12" ht="50.1" customHeight="1">
      <c r="A182">
        <v>173</v>
      </c>
      <c r="B182" t="s">
        <v>3952</v>
      </c>
      <c r="C182" t="s">
        <v>4236</v>
      </c>
      <c r="D182">
        <v>243122820</v>
      </c>
      <c r="E182" t="s">
        <v>3954</v>
      </c>
      <c r="F182" t="s">
        <v>4237</v>
      </c>
      <c r="H182" t="s">
        <v>3954</v>
      </c>
      <c r="J182">
        <f>K182/50</f>
        <v>2</v>
      </c>
      <c r="K182">
        <v>100</v>
      </c>
      <c r="L182" t="s">
        <v>4240</v>
      </c>
    </row>
    <row r="183" spans="1:12" ht="50.1" customHeight="1">
      <c r="A183">
        <v>174</v>
      </c>
      <c r="B183" t="s">
        <v>3952</v>
      </c>
      <c r="C183" t="s">
        <v>4241</v>
      </c>
      <c r="D183">
        <v>405003106</v>
      </c>
      <c r="E183" t="s">
        <v>3954</v>
      </c>
      <c r="F183" t="s">
        <v>4237</v>
      </c>
      <c r="G183" t="s">
        <v>4034</v>
      </c>
      <c r="H183" t="s">
        <v>3954</v>
      </c>
      <c r="I183" t="s">
        <v>3773</v>
      </c>
      <c r="J183">
        <f>K183/50</f>
        <v>46</v>
      </c>
      <c r="K183">
        <v>2300</v>
      </c>
      <c r="L183" t="s">
        <v>4242</v>
      </c>
    </row>
    <row r="184" spans="1:12" ht="50.1" customHeight="1">
      <c r="A184">
        <v>175</v>
      </c>
      <c r="B184" t="s">
        <v>3952</v>
      </c>
      <c r="C184" t="s">
        <v>4241</v>
      </c>
      <c r="D184">
        <v>405003106</v>
      </c>
      <c r="E184" t="s">
        <v>3954</v>
      </c>
      <c r="F184" t="s">
        <v>4237</v>
      </c>
      <c r="H184" t="s">
        <v>3954</v>
      </c>
      <c r="J184">
        <f>K184/50</f>
        <v>31</v>
      </c>
      <c r="K184">
        <v>1550</v>
      </c>
      <c r="L184" t="s">
        <v>4243</v>
      </c>
    </row>
    <row r="185" spans="1:12" ht="50.1" customHeight="1">
      <c r="A185">
        <v>176</v>
      </c>
      <c r="B185" t="s">
        <v>3952</v>
      </c>
      <c r="C185" t="s">
        <v>4241</v>
      </c>
      <c r="D185">
        <v>405003106</v>
      </c>
      <c r="E185" t="s">
        <v>3954</v>
      </c>
      <c r="F185" t="s">
        <v>4237</v>
      </c>
      <c r="H185" t="s">
        <v>3954</v>
      </c>
      <c r="J185">
        <f>K185/50</f>
        <v>8</v>
      </c>
      <c r="K185">
        <v>400</v>
      </c>
      <c r="L185" t="s">
        <v>4244</v>
      </c>
    </row>
    <row r="186" spans="1:12" ht="50.1" customHeight="1">
      <c r="A186">
        <v>177</v>
      </c>
      <c r="B186" t="s">
        <v>3952</v>
      </c>
      <c r="C186" t="s">
        <v>4245</v>
      </c>
      <c r="D186">
        <v>225374387</v>
      </c>
      <c r="E186" t="s">
        <v>3954</v>
      </c>
      <c r="F186" t="s">
        <v>4246</v>
      </c>
      <c r="G186" t="s">
        <v>4247</v>
      </c>
      <c r="H186" t="s">
        <v>3954</v>
      </c>
      <c r="I186" t="s">
        <v>3773</v>
      </c>
      <c r="J186">
        <f>K186/48</f>
        <v>20.833333333333332</v>
      </c>
      <c r="K186">
        <v>1000</v>
      </c>
      <c r="L186" t="s">
        <v>4248</v>
      </c>
    </row>
    <row r="187" spans="1:12" ht="50.1" customHeight="1">
      <c r="A187">
        <v>178</v>
      </c>
      <c r="B187" t="s">
        <v>3952</v>
      </c>
      <c r="C187" t="s">
        <v>4245</v>
      </c>
      <c r="D187">
        <v>225374387</v>
      </c>
      <c r="E187" t="s">
        <v>3954</v>
      </c>
      <c r="F187" t="s">
        <v>4246</v>
      </c>
      <c r="H187" t="s">
        <v>3954</v>
      </c>
      <c r="J187">
        <f>K187/48</f>
        <v>6.25</v>
      </c>
      <c r="K187">
        <v>300</v>
      </c>
      <c r="L187" t="s">
        <v>4249</v>
      </c>
    </row>
    <row r="188" spans="1:12" ht="50.1" customHeight="1">
      <c r="A188">
        <v>179</v>
      </c>
      <c r="B188" t="s">
        <v>3977</v>
      </c>
      <c r="C188" t="s">
        <v>4245</v>
      </c>
      <c r="D188">
        <v>225374387</v>
      </c>
      <c r="E188" t="s">
        <v>3954</v>
      </c>
      <c r="F188" t="s">
        <v>4246</v>
      </c>
      <c r="G188">
        <v>660</v>
      </c>
      <c r="H188" t="s">
        <v>3954</v>
      </c>
      <c r="I188" t="s">
        <v>3979</v>
      </c>
      <c r="J188">
        <f>K188/G188</f>
        <v>0.45</v>
      </c>
      <c r="K188">
        <v>297</v>
      </c>
      <c r="L188" t="s">
        <v>4250</v>
      </c>
    </row>
    <row r="189" spans="1:12" ht="50.1" customHeight="1">
      <c r="A189">
        <v>180</v>
      </c>
      <c r="B189" t="s">
        <v>3977</v>
      </c>
      <c r="C189" t="s">
        <v>4245</v>
      </c>
      <c r="D189">
        <v>225374387</v>
      </c>
      <c r="E189" t="s">
        <v>3954</v>
      </c>
      <c r="F189" t="s">
        <v>4246</v>
      </c>
      <c r="G189">
        <v>1326</v>
      </c>
      <c r="H189" t="s">
        <v>3954</v>
      </c>
      <c r="I189" t="s">
        <v>3979</v>
      </c>
      <c r="J189">
        <f>K189/G189</f>
        <v>0.22000000000000003</v>
      </c>
      <c r="K189">
        <v>291.72000000000003</v>
      </c>
      <c r="L189" t="s">
        <v>4251</v>
      </c>
    </row>
    <row r="190" spans="1:12" ht="50.1" customHeight="1">
      <c r="A190">
        <v>181</v>
      </c>
      <c r="B190" t="s">
        <v>4252</v>
      </c>
      <c r="C190" t="s">
        <v>4253</v>
      </c>
      <c r="D190">
        <v>401959323</v>
      </c>
      <c r="E190" t="s">
        <v>3954</v>
      </c>
      <c r="F190" t="s">
        <v>4254</v>
      </c>
      <c r="G190">
        <v>46</v>
      </c>
      <c r="H190" t="s">
        <v>3954</v>
      </c>
      <c r="I190" t="s">
        <v>4212</v>
      </c>
      <c r="J190">
        <f t="shared" ref="J190:J253" si="7">K190/40</f>
        <v>58.129999999999995</v>
      </c>
      <c r="K190">
        <v>2325.1999999999998</v>
      </c>
      <c r="L190" t="s">
        <v>4255</v>
      </c>
    </row>
    <row r="191" spans="1:12" ht="50.1" customHeight="1">
      <c r="A191">
        <v>182</v>
      </c>
      <c r="B191" t="s">
        <v>4252</v>
      </c>
      <c r="C191" t="s">
        <v>4253</v>
      </c>
      <c r="D191">
        <v>401959323</v>
      </c>
      <c r="E191" t="s">
        <v>3954</v>
      </c>
      <c r="F191" t="s">
        <v>4254</v>
      </c>
      <c r="G191">
        <v>46</v>
      </c>
      <c r="H191" t="s">
        <v>3954</v>
      </c>
      <c r="I191" t="s">
        <v>4212</v>
      </c>
      <c r="J191">
        <f t="shared" si="7"/>
        <v>58.129999999999995</v>
      </c>
      <c r="K191">
        <v>2325.1999999999998</v>
      </c>
      <c r="L191" t="s">
        <v>4256</v>
      </c>
    </row>
    <row r="192" spans="1:12" ht="50.1" customHeight="1">
      <c r="A192">
        <v>183</v>
      </c>
      <c r="B192" t="s">
        <v>4252</v>
      </c>
      <c r="C192" t="s">
        <v>4253</v>
      </c>
      <c r="D192">
        <v>401959323</v>
      </c>
      <c r="E192" t="s">
        <v>3954</v>
      </c>
      <c r="F192" t="s">
        <v>4254</v>
      </c>
      <c r="G192">
        <v>46</v>
      </c>
      <c r="H192" t="s">
        <v>3954</v>
      </c>
      <c r="I192" t="s">
        <v>4212</v>
      </c>
      <c r="J192">
        <f t="shared" si="7"/>
        <v>58.129999999999995</v>
      </c>
      <c r="K192">
        <v>2325.1999999999998</v>
      </c>
      <c r="L192" t="s">
        <v>4257</v>
      </c>
    </row>
    <row r="193" spans="1:12" ht="50.1" customHeight="1">
      <c r="A193">
        <v>184</v>
      </c>
      <c r="B193" t="s">
        <v>4252</v>
      </c>
      <c r="C193" t="s">
        <v>4253</v>
      </c>
      <c r="D193">
        <v>401959323</v>
      </c>
      <c r="E193" t="s">
        <v>3954</v>
      </c>
      <c r="F193" t="s">
        <v>4254</v>
      </c>
      <c r="G193">
        <v>23</v>
      </c>
      <c r="H193" t="s">
        <v>3954</v>
      </c>
      <c r="I193" t="s">
        <v>4212</v>
      </c>
      <c r="J193">
        <f t="shared" si="7"/>
        <v>29.064999999999998</v>
      </c>
      <c r="K193">
        <v>1162.5999999999999</v>
      </c>
      <c r="L193" t="s">
        <v>4258</v>
      </c>
    </row>
    <row r="194" spans="1:12" ht="50.1" customHeight="1">
      <c r="A194">
        <v>185</v>
      </c>
      <c r="B194" t="s">
        <v>4252</v>
      </c>
      <c r="C194" t="s">
        <v>4253</v>
      </c>
      <c r="D194">
        <v>401959323</v>
      </c>
      <c r="E194" t="s">
        <v>3954</v>
      </c>
      <c r="F194" t="s">
        <v>4254</v>
      </c>
      <c r="G194">
        <v>11.5</v>
      </c>
      <c r="H194" t="s">
        <v>3954</v>
      </c>
      <c r="I194" t="s">
        <v>4212</v>
      </c>
      <c r="J194">
        <f t="shared" si="7"/>
        <v>14.532499999999999</v>
      </c>
      <c r="K194">
        <v>581.29999999999995</v>
      </c>
      <c r="L194" t="s">
        <v>4259</v>
      </c>
    </row>
    <row r="195" spans="1:12" ht="50.1" customHeight="1">
      <c r="A195">
        <v>186</v>
      </c>
      <c r="B195" t="s">
        <v>4252</v>
      </c>
      <c r="C195" t="s">
        <v>4253</v>
      </c>
      <c r="D195">
        <v>401959323</v>
      </c>
      <c r="E195" t="s">
        <v>3954</v>
      </c>
      <c r="F195" t="s">
        <v>4254</v>
      </c>
      <c r="G195">
        <v>11.5</v>
      </c>
      <c r="H195" t="s">
        <v>3954</v>
      </c>
      <c r="I195" t="s">
        <v>4212</v>
      </c>
      <c r="J195">
        <f t="shared" si="7"/>
        <v>14.532499999999999</v>
      </c>
      <c r="K195">
        <v>581.29999999999995</v>
      </c>
      <c r="L195" t="s">
        <v>4260</v>
      </c>
    </row>
    <row r="196" spans="1:12" ht="50.1" customHeight="1">
      <c r="A196">
        <v>187</v>
      </c>
      <c r="B196" t="s">
        <v>4252</v>
      </c>
      <c r="C196" t="s">
        <v>4253</v>
      </c>
      <c r="D196">
        <v>401959323</v>
      </c>
      <c r="E196" t="s">
        <v>3954</v>
      </c>
      <c r="F196" t="s">
        <v>4254</v>
      </c>
      <c r="G196">
        <v>23</v>
      </c>
      <c r="H196" t="s">
        <v>3954</v>
      </c>
      <c r="I196" t="s">
        <v>4212</v>
      </c>
      <c r="J196">
        <f t="shared" si="7"/>
        <v>29.064999999999998</v>
      </c>
      <c r="K196">
        <v>1162.5999999999999</v>
      </c>
      <c r="L196" t="s">
        <v>4261</v>
      </c>
    </row>
    <row r="197" spans="1:12" ht="50.1" customHeight="1">
      <c r="A197">
        <v>188</v>
      </c>
      <c r="B197" t="s">
        <v>4252</v>
      </c>
      <c r="C197" t="s">
        <v>4253</v>
      </c>
      <c r="D197">
        <v>401959323</v>
      </c>
      <c r="E197" t="s">
        <v>3954</v>
      </c>
      <c r="F197" t="s">
        <v>4254</v>
      </c>
      <c r="G197">
        <v>80.5</v>
      </c>
      <c r="H197" t="s">
        <v>3954</v>
      </c>
      <c r="I197" t="s">
        <v>4212</v>
      </c>
      <c r="J197">
        <f t="shared" si="7"/>
        <v>101.72750000000001</v>
      </c>
      <c r="K197">
        <v>4069.1000000000004</v>
      </c>
      <c r="L197" t="s">
        <v>4262</v>
      </c>
    </row>
    <row r="198" spans="1:12" ht="50.1" customHeight="1">
      <c r="A198">
        <v>189</v>
      </c>
      <c r="B198" t="s">
        <v>4252</v>
      </c>
      <c r="C198" t="s">
        <v>4253</v>
      </c>
      <c r="D198">
        <v>401959323</v>
      </c>
      <c r="E198" t="s">
        <v>3954</v>
      </c>
      <c r="F198" t="s">
        <v>4254</v>
      </c>
      <c r="G198">
        <v>23</v>
      </c>
      <c r="H198" t="s">
        <v>3954</v>
      </c>
      <c r="I198" t="s">
        <v>4212</v>
      </c>
      <c r="J198">
        <f t="shared" si="7"/>
        <v>29.064999999999998</v>
      </c>
      <c r="K198">
        <v>1162.5999999999999</v>
      </c>
      <c r="L198" t="s">
        <v>4263</v>
      </c>
    </row>
    <row r="199" spans="1:12" ht="50.1" customHeight="1">
      <c r="A199">
        <v>190</v>
      </c>
      <c r="B199" t="s">
        <v>4252</v>
      </c>
      <c r="C199" t="s">
        <v>4253</v>
      </c>
      <c r="D199">
        <v>401959323</v>
      </c>
      <c r="E199" t="s">
        <v>3954</v>
      </c>
      <c r="F199" t="s">
        <v>4254</v>
      </c>
      <c r="G199">
        <v>46</v>
      </c>
      <c r="H199" t="s">
        <v>3954</v>
      </c>
      <c r="I199" t="s">
        <v>4212</v>
      </c>
      <c r="J199">
        <f t="shared" si="7"/>
        <v>58.129999999999995</v>
      </c>
      <c r="K199">
        <v>2325.1999999999998</v>
      </c>
      <c r="L199" t="s">
        <v>4264</v>
      </c>
    </row>
    <row r="200" spans="1:12" ht="50.1" customHeight="1">
      <c r="A200">
        <v>191</v>
      </c>
      <c r="B200" t="s">
        <v>4252</v>
      </c>
      <c r="C200" t="s">
        <v>4253</v>
      </c>
      <c r="D200">
        <v>401959323</v>
      </c>
      <c r="E200" t="s">
        <v>3954</v>
      </c>
      <c r="F200" t="s">
        <v>4254</v>
      </c>
      <c r="G200">
        <v>34.5</v>
      </c>
      <c r="H200" t="s">
        <v>3954</v>
      </c>
      <c r="I200" t="s">
        <v>4212</v>
      </c>
      <c r="J200">
        <f t="shared" si="7"/>
        <v>43.597500000000004</v>
      </c>
      <c r="K200">
        <v>1743.9</v>
      </c>
      <c r="L200" t="s">
        <v>4265</v>
      </c>
    </row>
    <row r="201" spans="1:12" ht="50.1" customHeight="1">
      <c r="A201">
        <v>192</v>
      </c>
      <c r="B201" t="s">
        <v>4252</v>
      </c>
      <c r="C201" t="s">
        <v>4253</v>
      </c>
      <c r="D201">
        <v>401959323</v>
      </c>
      <c r="E201" t="s">
        <v>3954</v>
      </c>
      <c r="F201" t="s">
        <v>4254</v>
      </c>
      <c r="G201">
        <v>34.5</v>
      </c>
      <c r="H201" t="s">
        <v>3954</v>
      </c>
      <c r="I201" t="s">
        <v>4212</v>
      </c>
      <c r="J201">
        <f t="shared" si="7"/>
        <v>43.597500000000004</v>
      </c>
      <c r="K201">
        <v>1743.9</v>
      </c>
      <c r="L201" t="s">
        <v>4266</v>
      </c>
    </row>
    <row r="202" spans="1:12" ht="50.1" customHeight="1">
      <c r="A202">
        <v>193</v>
      </c>
      <c r="B202" t="s">
        <v>4252</v>
      </c>
      <c r="C202" t="s">
        <v>4253</v>
      </c>
      <c r="D202">
        <v>401959323</v>
      </c>
      <c r="E202" t="s">
        <v>3954</v>
      </c>
      <c r="F202" t="s">
        <v>4254</v>
      </c>
      <c r="G202">
        <v>57.5</v>
      </c>
      <c r="H202" t="s">
        <v>3954</v>
      </c>
      <c r="I202" t="s">
        <v>4212</v>
      </c>
      <c r="J202">
        <f t="shared" si="7"/>
        <v>72.662499999999994</v>
      </c>
      <c r="K202">
        <v>2906.5</v>
      </c>
      <c r="L202" t="s">
        <v>4267</v>
      </c>
    </row>
    <row r="203" spans="1:12" ht="50.1" customHeight="1">
      <c r="A203">
        <v>194</v>
      </c>
      <c r="B203" t="s">
        <v>4252</v>
      </c>
      <c r="C203" t="s">
        <v>4253</v>
      </c>
      <c r="D203">
        <v>401959323</v>
      </c>
      <c r="E203" t="s">
        <v>3954</v>
      </c>
      <c r="F203" t="s">
        <v>4254</v>
      </c>
      <c r="G203">
        <v>57.5</v>
      </c>
      <c r="H203" t="s">
        <v>3954</v>
      </c>
      <c r="I203" t="s">
        <v>4212</v>
      </c>
      <c r="J203">
        <f t="shared" si="7"/>
        <v>72.662499999999994</v>
      </c>
      <c r="K203">
        <v>2906.5</v>
      </c>
      <c r="L203" t="s">
        <v>4268</v>
      </c>
    </row>
    <row r="204" spans="1:12" ht="50.1" customHeight="1">
      <c r="A204">
        <v>195</v>
      </c>
      <c r="B204" t="s">
        <v>4252</v>
      </c>
      <c r="C204" t="s">
        <v>4253</v>
      </c>
      <c r="D204">
        <v>401959323</v>
      </c>
      <c r="E204" t="s">
        <v>3954</v>
      </c>
      <c r="F204" t="s">
        <v>4254</v>
      </c>
      <c r="G204">
        <v>46</v>
      </c>
      <c r="H204" t="s">
        <v>3954</v>
      </c>
      <c r="I204" t="s">
        <v>4212</v>
      </c>
      <c r="J204">
        <f t="shared" si="7"/>
        <v>58.129999999999995</v>
      </c>
      <c r="K204">
        <v>2325.1999999999998</v>
      </c>
      <c r="L204" t="s">
        <v>4269</v>
      </c>
    </row>
    <row r="205" spans="1:12" ht="50.1" customHeight="1">
      <c r="A205">
        <v>196</v>
      </c>
      <c r="B205" t="s">
        <v>4252</v>
      </c>
      <c r="C205" t="s">
        <v>4253</v>
      </c>
      <c r="D205">
        <v>401959323</v>
      </c>
      <c r="E205" t="s">
        <v>3954</v>
      </c>
      <c r="F205" t="s">
        <v>4254</v>
      </c>
      <c r="G205">
        <v>57.5</v>
      </c>
      <c r="H205" t="s">
        <v>3954</v>
      </c>
      <c r="I205" t="s">
        <v>4212</v>
      </c>
      <c r="J205">
        <f t="shared" si="7"/>
        <v>72.662499999999994</v>
      </c>
      <c r="K205">
        <v>2906.5</v>
      </c>
      <c r="L205" t="s">
        <v>4270</v>
      </c>
    </row>
    <row r="206" spans="1:12" ht="50.1" customHeight="1">
      <c r="A206">
        <v>197</v>
      </c>
      <c r="B206" t="s">
        <v>4252</v>
      </c>
      <c r="C206" t="s">
        <v>4253</v>
      </c>
      <c r="D206">
        <v>401959323</v>
      </c>
      <c r="E206" t="s">
        <v>3954</v>
      </c>
      <c r="F206" t="s">
        <v>4254</v>
      </c>
      <c r="G206">
        <v>46</v>
      </c>
      <c r="H206" t="s">
        <v>3954</v>
      </c>
      <c r="I206" t="s">
        <v>4212</v>
      </c>
      <c r="J206">
        <f t="shared" si="7"/>
        <v>58.129999999999995</v>
      </c>
      <c r="K206">
        <v>2325.1999999999998</v>
      </c>
      <c r="L206" t="s">
        <v>4271</v>
      </c>
    </row>
    <row r="207" spans="1:12" ht="50.1" customHeight="1">
      <c r="A207">
        <v>198</v>
      </c>
      <c r="B207" t="s">
        <v>4252</v>
      </c>
      <c r="C207" t="s">
        <v>4253</v>
      </c>
      <c r="D207">
        <v>401959323</v>
      </c>
      <c r="E207" t="s">
        <v>3954</v>
      </c>
      <c r="F207" t="s">
        <v>4254</v>
      </c>
      <c r="G207">
        <v>46</v>
      </c>
      <c r="H207" t="s">
        <v>3954</v>
      </c>
      <c r="I207" t="s">
        <v>4212</v>
      </c>
      <c r="J207">
        <f t="shared" si="7"/>
        <v>58.129999999999995</v>
      </c>
      <c r="K207">
        <v>2325.1999999999998</v>
      </c>
      <c r="L207" t="s">
        <v>4272</v>
      </c>
    </row>
    <row r="208" spans="1:12" ht="50.1" customHeight="1">
      <c r="A208">
        <v>199</v>
      </c>
      <c r="B208" t="s">
        <v>4252</v>
      </c>
      <c r="C208" t="s">
        <v>4253</v>
      </c>
      <c r="D208">
        <v>401959323</v>
      </c>
      <c r="E208" t="s">
        <v>3954</v>
      </c>
      <c r="F208" t="s">
        <v>4254</v>
      </c>
      <c r="G208">
        <v>23</v>
      </c>
      <c r="H208" t="s">
        <v>3954</v>
      </c>
      <c r="I208" t="s">
        <v>4212</v>
      </c>
      <c r="J208">
        <f t="shared" si="7"/>
        <v>29.064999999999998</v>
      </c>
      <c r="K208">
        <v>1162.5999999999999</v>
      </c>
      <c r="L208" t="s">
        <v>4273</v>
      </c>
    </row>
    <row r="209" spans="1:12" ht="50.1" customHeight="1">
      <c r="A209">
        <v>200</v>
      </c>
      <c r="B209" t="s">
        <v>4252</v>
      </c>
      <c r="C209" t="s">
        <v>4253</v>
      </c>
      <c r="D209">
        <v>401959323</v>
      </c>
      <c r="E209" t="s">
        <v>3954</v>
      </c>
      <c r="F209" t="s">
        <v>4254</v>
      </c>
      <c r="G209">
        <v>23</v>
      </c>
      <c r="H209" t="s">
        <v>3954</v>
      </c>
      <c r="I209" t="s">
        <v>4212</v>
      </c>
      <c r="J209">
        <f t="shared" si="7"/>
        <v>29.064999999999998</v>
      </c>
      <c r="K209">
        <v>1162.5999999999999</v>
      </c>
      <c r="L209" t="s">
        <v>4274</v>
      </c>
    </row>
    <row r="210" spans="1:12" ht="50.1" customHeight="1">
      <c r="A210">
        <v>201</v>
      </c>
      <c r="B210" t="s">
        <v>4252</v>
      </c>
      <c r="C210" t="s">
        <v>4253</v>
      </c>
      <c r="D210">
        <v>401959323</v>
      </c>
      <c r="E210" t="s">
        <v>3954</v>
      </c>
      <c r="F210" t="s">
        <v>4254</v>
      </c>
      <c r="G210">
        <v>46</v>
      </c>
      <c r="H210" t="s">
        <v>3954</v>
      </c>
      <c r="I210" t="s">
        <v>4212</v>
      </c>
      <c r="J210">
        <f t="shared" si="7"/>
        <v>58.129999999999995</v>
      </c>
      <c r="K210">
        <v>2325.1999999999998</v>
      </c>
      <c r="L210" t="s">
        <v>4275</v>
      </c>
    </row>
    <row r="211" spans="1:12" ht="50.1" customHeight="1">
      <c r="A211">
        <v>202</v>
      </c>
      <c r="B211" t="s">
        <v>4252</v>
      </c>
      <c r="C211" t="s">
        <v>4253</v>
      </c>
      <c r="D211">
        <v>401959323</v>
      </c>
      <c r="E211" t="s">
        <v>3954</v>
      </c>
      <c r="F211" t="s">
        <v>4254</v>
      </c>
      <c r="G211">
        <v>46</v>
      </c>
      <c r="H211" t="s">
        <v>3954</v>
      </c>
      <c r="I211" t="s">
        <v>4212</v>
      </c>
      <c r="J211">
        <f t="shared" si="7"/>
        <v>58.129999999999995</v>
      </c>
      <c r="K211">
        <v>2325.1999999999998</v>
      </c>
      <c r="L211" t="s">
        <v>4276</v>
      </c>
    </row>
    <row r="212" spans="1:12" ht="50.1" customHeight="1">
      <c r="A212">
        <v>203</v>
      </c>
      <c r="B212" t="s">
        <v>4252</v>
      </c>
      <c r="C212" t="s">
        <v>4253</v>
      </c>
      <c r="D212">
        <v>401959323</v>
      </c>
      <c r="E212" t="s">
        <v>3954</v>
      </c>
      <c r="F212" t="s">
        <v>4254</v>
      </c>
      <c r="G212">
        <v>23</v>
      </c>
      <c r="H212" t="s">
        <v>3954</v>
      </c>
      <c r="I212" t="s">
        <v>4212</v>
      </c>
      <c r="J212">
        <f t="shared" si="7"/>
        <v>29.064999999999998</v>
      </c>
      <c r="K212">
        <v>1162.5999999999999</v>
      </c>
      <c r="L212" t="s">
        <v>4277</v>
      </c>
    </row>
    <row r="213" spans="1:12" ht="50.1" customHeight="1">
      <c r="A213">
        <v>204</v>
      </c>
      <c r="B213" t="s">
        <v>4252</v>
      </c>
      <c r="C213" t="s">
        <v>4253</v>
      </c>
      <c r="D213">
        <v>401959323</v>
      </c>
      <c r="E213" t="s">
        <v>3954</v>
      </c>
      <c r="F213" t="s">
        <v>4254</v>
      </c>
      <c r="G213">
        <v>46</v>
      </c>
      <c r="H213" t="s">
        <v>3954</v>
      </c>
      <c r="I213" t="s">
        <v>4212</v>
      </c>
      <c r="J213">
        <f t="shared" si="7"/>
        <v>58.129999999999995</v>
      </c>
      <c r="K213">
        <v>2325.1999999999998</v>
      </c>
      <c r="L213" t="s">
        <v>4278</v>
      </c>
    </row>
    <row r="214" spans="1:12" ht="50.1" customHeight="1">
      <c r="A214">
        <v>205</v>
      </c>
      <c r="B214" t="s">
        <v>4252</v>
      </c>
      <c r="C214" t="s">
        <v>4253</v>
      </c>
      <c r="D214">
        <v>401959323</v>
      </c>
      <c r="E214" t="s">
        <v>3954</v>
      </c>
      <c r="F214" t="s">
        <v>4254</v>
      </c>
      <c r="G214">
        <v>46</v>
      </c>
      <c r="H214" t="s">
        <v>3954</v>
      </c>
      <c r="I214" t="s">
        <v>4212</v>
      </c>
      <c r="J214">
        <f t="shared" si="7"/>
        <v>58.129999999999995</v>
      </c>
      <c r="K214">
        <v>2325.1999999999998</v>
      </c>
      <c r="L214" t="s">
        <v>4279</v>
      </c>
    </row>
    <row r="215" spans="1:12" ht="50.1" customHeight="1">
      <c r="A215">
        <v>206</v>
      </c>
      <c r="B215" t="s">
        <v>4252</v>
      </c>
      <c r="C215" t="s">
        <v>4253</v>
      </c>
      <c r="D215">
        <v>401959323</v>
      </c>
      <c r="E215" t="s">
        <v>3954</v>
      </c>
      <c r="F215" t="s">
        <v>4254</v>
      </c>
      <c r="G215">
        <v>34.5</v>
      </c>
      <c r="H215" t="s">
        <v>3954</v>
      </c>
      <c r="I215" t="s">
        <v>4212</v>
      </c>
      <c r="J215">
        <f t="shared" si="7"/>
        <v>43.597500000000004</v>
      </c>
      <c r="K215">
        <v>1743.9</v>
      </c>
      <c r="L215" t="s">
        <v>4280</v>
      </c>
    </row>
    <row r="216" spans="1:12" ht="50.1" customHeight="1">
      <c r="A216">
        <v>207</v>
      </c>
      <c r="B216" t="s">
        <v>4252</v>
      </c>
      <c r="C216" t="s">
        <v>4253</v>
      </c>
      <c r="D216">
        <v>401959323</v>
      </c>
      <c r="E216" t="s">
        <v>3954</v>
      </c>
      <c r="F216" t="s">
        <v>4254</v>
      </c>
      <c r="G216">
        <v>46</v>
      </c>
      <c r="H216" t="s">
        <v>3954</v>
      </c>
      <c r="I216" t="s">
        <v>4212</v>
      </c>
      <c r="J216">
        <f t="shared" si="7"/>
        <v>58.129999999999995</v>
      </c>
      <c r="K216">
        <v>2325.1999999999998</v>
      </c>
      <c r="L216" t="s">
        <v>4281</v>
      </c>
    </row>
    <row r="217" spans="1:12" ht="50.1" customHeight="1">
      <c r="A217">
        <v>208</v>
      </c>
      <c r="B217" t="s">
        <v>4252</v>
      </c>
      <c r="C217" t="s">
        <v>4253</v>
      </c>
      <c r="D217">
        <v>401959323</v>
      </c>
      <c r="E217" t="s">
        <v>3954</v>
      </c>
      <c r="F217" t="s">
        <v>4254</v>
      </c>
      <c r="G217">
        <v>34.5</v>
      </c>
      <c r="H217" t="s">
        <v>3954</v>
      </c>
      <c r="I217" t="s">
        <v>4212</v>
      </c>
      <c r="J217">
        <f t="shared" si="7"/>
        <v>43.597500000000004</v>
      </c>
      <c r="K217">
        <v>1743.9</v>
      </c>
      <c r="L217" t="s">
        <v>4282</v>
      </c>
    </row>
    <row r="218" spans="1:12" ht="50.1" customHeight="1">
      <c r="A218">
        <v>209</v>
      </c>
      <c r="B218" t="s">
        <v>4252</v>
      </c>
      <c r="C218" t="s">
        <v>4253</v>
      </c>
      <c r="D218">
        <v>401959323</v>
      </c>
      <c r="E218" t="s">
        <v>3954</v>
      </c>
      <c r="F218" t="s">
        <v>4254</v>
      </c>
      <c r="G218">
        <v>46</v>
      </c>
      <c r="H218" t="s">
        <v>3954</v>
      </c>
      <c r="I218" t="s">
        <v>4212</v>
      </c>
      <c r="J218">
        <f t="shared" si="7"/>
        <v>58.129999999999995</v>
      </c>
      <c r="K218">
        <v>2325.1999999999998</v>
      </c>
      <c r="L218" t="s">
        <v>4283</v>
      </c>
    </row>
    <row r="219" spans="1:12" ht="50.1" customHeight="1">
      <c r="A219">
        <v>210</v>
      </c>
      <c r="B219" t="s">
        <v>4252</v>
      </c>
      <c r="C219" t="s">
        <v>4253</v>
      </c>
      <c r="D219">
        <v>401959323</v>
      </c>
      <c r="E219" t="s">
        <v>3954</v>
      </c>
      <c r="F219" t="s">
        <v>4254</v>
      </c>
      <c r="G219">
        <v>57.5</v>
      </c>
      <c r="H219" t="s">
        <v>3954</v>
      </c>
      <c r="I219" t="s">
        <v>4212</v>
      </c>
      <c r="J219">
        <f t="shared" si="7"/>
        <v>72.662499999999994</v>
      </c>
      <c r="K219">
        <v>2906.5</v>
      </c>
      <c r="L219" t="s">
        <v>4284</v>
      </c>
    </row>
    <row r="220" spans="1:12" ht="50.1" customHeight="1">
      <c r="A220">
        <v>211</v>
      </c>
      <c r="B220" t="s">
        <v>4252</v>
      </c>
      <c r="C220" t="s">
        <v>4253</v>
      </c>
      <c r="D220">
        <v>401959323</v>
      </c>
      <c r="E220" t="s">
        <v>3954</v>
      </c>
      <c r="F220" t="s">
        <v>4254</v>
      </c>
      <c r="G220">
        <v>23</v>
      </c>
      <c r="H220" t="s">
        <v>3954</v>
      </c>
      <c r="I220" t="s">
        <v>4212</v>
      </c>
      <c r="J220">
        <f t="shared" si="7"/>
        <v>29.064999999999998</v>
      </c>
      <c r="K220">
        <v>1162.5999999999999</v>
      </c>
      <c r="L220" t="s">
        <v>4285</v>
      </c>
    </row>
    <row r="221" spans="1:12" ht="50.1" customHeight="1">
      <c r="A221">
        <v>212</v>
      </c>
      <c r="B221" t="s">
        <v>4252</v>
      </c>
      <c r="C221" t="s">
        <v>4253</v>
      </c>
      <c r="D221">
        <v>401959323</v>
      </c>
      <c r="E221" t="s">
        <v>3954</v>
      </c>
      <c r="F221" t="s">
        <v>4254</v>
      </c>
      <c r="G221">
        <v>34.5</v>
      </c>
      <c r="H221" t="s">
        <v>3954</v>
      </c>
      <c r="I221" t="s">
        <v>4212</v>
      </c>
      <c r="J221">
        <f t="shared" si="7"/>
        <v>43.597500000000004</v>
      </c>
      <c r="K221">
        <v>1743.9</v>
      </c>
      <c r="L221" t="s">
        <v>4286</v>
      </c>
    </row>
    <row r="222" spans="1:12" ht="50.1" customHeight="1">
      <c r="A222">
        <v>213</v>
      </c>
      <c r="B222" t="s">
        <v>4252</v>
      </c>
      <c r="C222" t="s">
        <v>4253</v>
      </c>
      <c r="D222">
        <v>401959323</v>
      </c>
      <c r="E222" t="s">
        <v>3954</v>
      </c>
      <c r="F222" t="s">
        <v>4254</v>
      </c>
      <c r="G222">
        <v>46</v>
      </c>
      <c r="H222" t="s">
        <v>3954</v>
      </c>
      <c r="I222" t="s">
        <v>4212</v>
      </c>
      <c r="J222">
        <f t="shared" si="7"/>
        <v>58.129999999999995</v>
      </c>
      <c r="K222">
        <v>2325.1999999999998</v>
      </c>
      <c r="L222" t="s">
        <v>4287</v>
      </c>
    </row>
    <row r="223" spans="1:12" ht="50.1" customHeight="1">
      <c r="A223">
        <v>214</v>
      </c>
      <c r="B223" t="s">
        <v>4252</v>
      </c>
      <c r="C223" t="s">
        <v>4253</v>
      </c>
      <c r="D223">
        <v>401959323</v>
      </c>
      <c r="E223" t="s">
        <v>3954</v>
      </c>
      <c r="F223" t="s">
        <v>4254</v>
      </c>
      <c r="G223">
        <v>57.5</v>
      </c>
      <c r="H223" t="s">
        <v>3954</v>
      </c>
      <c r="I223" t="s">
        <v>4212</v>
      </c>
      <c r="J223">
        <f t="shared" si="7"/>
        <v>72.662499999999994</v>
      </c>
      <c r="K223">
        <v>2906.5</v>
      </c>
      <c r="L223" t="s">
        <v>4288</v>
      </c>
    </row>
    <row r="224" spans="1:12" ht="50.1" customHeight="1">
      <c r="A224">
        <v>215</v>
      </c>
      <c r="B224" t="s">
        <v>4252</v>
      </c>
      <c r="C224" t="s">
        <v>4253</v>
      </c>
      <c r="D224">
        <v>401959323</v>
      </c>
      <c r="E224" t="s">
        <v>3954</v>
      </c>
      <c r="F224" t="s">
        <v>4254</v>
      </c>
      <c r="G224">
        <v>23</v>
      </c>
      <c r="H224" t="s">
        <v>3954</v>
      </c>
      <c r="I224" t="s">
        <v>4212</v>
      </c>
      <c r="J224">
        <f t="shared" si="7"/>
        <v>29.064999999999998</v>
      </c>
      <c r="K224">
        <v>1162.5999999999999</v>
      </c>
      <c r="L224" t="s">
        <v>4289</v>
      </c>
    </row>
    <row r="225" spans="1:12" ht="50.1" customHeight="1">
      <c r="A225">
        <v>216</v>
      </c>
      <c r="B225" t="s">
        <v>4252</v>
      </c>
      <c r="C225" t="s">
        <v>4253</v>
      </c>
      <c r="D225">
        <v>401959323</v>
      </c>
      <c r="E225" t="s">
        <v>3954</v>
      </c>
      <c r="F225" t="s">
        <v>4254</v>
      </c>
      <c r="G225">
        <v>57.5</v>
      </c>
      <c r="H225" t="s">
        <v>3954</v>
      </c>
      <c r="I225" t="s">
        <v>4212</v>
      </c>
      <c r="J225">
        <f t="shared" si="7"/>
        <v>72.662499999999994</v>
      </c>
      <c r="K225">
        <v>2906.5</v>
      </c>
      <c r="L225" t="s">
        <v>4290</v>
      </c>
    </row>
    <row r="226" spans="1:12" ht="50.1" customHeight="1">
      <c r="A226">
        <v>217</v>
      </c>
      <c r="B226" t="s">
        <v>4252</v>
      </c>
      <c r="C226" t="s">
        <v>4253</v>
      </c>
      <c r="D226">
        <v>401959323</v>
      </c>
      <c r="E226" t="s">
        <v>3954</v>
      </c>
      <c r="F226" t="s">
        <v>4254</v>
      </c>
      <c r="G226">
        <v>23</v>
      </c>
      <c r="H226" t="s">
        <v>3954</v>
      </c>
      <c r="I226" t="s">
        <v>4212</v>
      </c>
      <c r="J226">
        <f t="shared" si="7"/>
        <v>29.064999999999998</v>
      </c>
      <c r="K226">
        <v>1162.5999999999999</v>
      </c>
      <c r="L226" t="s">
        <v>4291</v>
      </c>
    </row>
    <row r="227" spans="1:12" ht="50.1" customHeight="1">
      <c r="A227">
        <v>218</v>
      </c>
      <c r="B227" t="s">
        <v>4252</v>
      </c>
      <c r="C227" t="s">
        <v>4253</v>
      </c>
      <c r="D227">
        <v>401959323</v>
      </c>
      <c r="E227" t="s">
        <v>3954</v>
      </c>
      <c r="F227" t="s">
        <v>4254</v>
      </c>
      <c r="G227">
        <v>23</v>
      </c>
      <c r="H227" t="s">
        <v>3954</v>
      </c>
      <c r="I227" t="s">
        <v>4212</v>
      </c>
      <c r="J227">
        <f t="shared" si="7"/>
        <v>29.064999999999998</v>
      </c>
      <c r="K227">
        <v>1162.5999999999999</v>
      </c>
      <c r="L227" t="s">
        <v>4292</v>
      </c>
    </row>
    <row r="228" spans="1:12" ht="50.1" customHeight="1">
      <c r="A228">
        <v>219</v>
      </c>
      <c r="B228" t="s">
        <v>4252</v>
      </c>
      <c r="C228" t="s">
        <v>4253</v>
      </c>
      <c r="D228">
        <v>401959323</v>
      </c>
      <c r="E228" t="s">
        <v>3954</v>
      </c>
      <c r="F228" t="s">
        <v>4254</v>
      </c>
      <c r="G228">
        <v>57.5</v>
      </c>
      <c r="H228" t="s">
        <v>3954</v>
      </c>
      <c r="I228" t="s">
        <v>4212</v>
      </c>
      <c r="J228">
        <f t="shared" si="7"/>
        <v>72.662499999999994</v>
      </c>
      <c r="K228">
        <v>2906.5</v>
      </c>
      <c r="L228" t="s">
        <v>4293</v>
      </c>
    </row>
    <row r="229" spans="1:12" ht="50.1" customHeight="1">
      <c r="A229">
        <v>220</v>
      </c>
      <c r="B229" t="s">
        <v>4252</v>
      </c>
      <c r="C229" t="s">
        <v>4253</v>
      </c>
      <c r="D229">
        <v>401959323</v>
      </c>
      <c r="E229" t="s">
        <v>3954</v>
      </c>
      <c r="F229" t="s">
        <v>4254</v>
      </c>
      <c r="G229">
        <v>23</v>
      </c>
      <c r="H229" t="s">
        <v>3954</v>
      </c>
      <c r="I229" t="s">
        <v>4212</v>
      </c>
      <c r="J229">
        <f t="shared" si="7"/>
        <v>29.064999999999998</v>
      </c>
      <c r="K229">
        <v>1162.5999999999999</v>
      </c>
      <c r="L229" t="s">
        <v>4294</v>
      </c>
    </row>
    <row r="230" spans="1:12" ht="50.1" customHeight="1">
      <c r="A230">
        <v>221</v>
      </c>
      <c r="B230" t="s">
        <v>4252</v>
      </c>
      <c r="C230" t="s">
        <v>4253</v>
      </c>
      <c r="D230">
        <v>401959323</v>
      </c>
      <c r="E230" t="s">
        <v>3954</v>
      </c>
      <c r="F230" t="s">
        <v>4254</v>
      </c>
      <c r="G230">
        <v>46</v>
      </c>
      <c r="H230" t="s">
        <v>3954</v>
      </c>
      <c r="I230" t="s">
        <v>4212</v>
      </c>
      <c r="J230">
        <f t="shared" si="7"/>
        <v>58.129999999999995</v>
      </c>
      <c r="K230">
        <v>2325.1999999999998</v>
      </c>
      <c r="L230" t="s">
        <v>4295</v>
      </c>
    </row>
    <row r="231" spans="1:12" ht="50.1" customHeight="1">
      <c r="A231">
        <v>222</v>
      </c>
      <c r="B231" t="s">
        <v>4252</v>
      </c>
      <c r="C231" t="s">
        <v>4253</v>
      </c>
      <c r="D231">
        <v>401959323</v>
      </c>
      <c r="E231" t="s">
        <v>3954</v>
      </c>
      <c r="F231" t="s">
        <v>4254</v>
      </c>
      <c r="G231">
        <v>46</v>
      </c>
      <c r="H231" t="s">
        <v>3954</v>
      </c>
      <c r="I231" t="s">
        <v>4212</v>
      </c>
      <c r="J231">
        <f t="shared" si="7"/>
        <v>58.129999999999995</v>
      </c>
      <c r="K231">
        <v>2325.1999999999998</v>
      </c>
      <c r="L231" t="s">
        <v>4296</v>
      </c>
    </row>
    <row r="232" spans="1:12" ht="50.1" customHeight="1">
      <c r="A232">
        <v>223</v>
      </c>
      <c r="B232" t="s">
        <v>4252</v>
      </c>
      <c r="C232" t="s">
        <v>4253</v>
      </c>
      <c r="D232">
        <v>401959323</v>
      </c>
      <c r="E232" t="s">
        <v>3954</v>
      </c>
      <c r="F232" t="s">
        <v>4254</v>
      </c>
      <c r="G232">
        <v>23</v>
      </c>
      <c r="H232" t="s">
        <v>3954</v>
      </c>
      <c r="I232" t="s">
        <v>4212</v>
      </c>
      <c r="J232">
        <f t="shared" si="7"/>
        <v>29.064999999999998</v>
      </c>
      <c r="K232">
        <v>1162.5999999999999</v>
      </c>
      <c r="L232" t="s">
        <v>4297</v>
      </c>
    </row>
    <row r="233" spans="1:12" ht="50.1" customHeight="1">
      <c r="A233">
        <v>224</v>
      </c>
      <c r="B233" t="s">
        <v>4252</v>
      </c>
      <c r="C233" t="s">
        <v>4253</v>
      </c>
      <c r="D233">
        <v>401959323</v>
      </c>
      <c r="E233" t="s">
        <v>3954</v>
      </c>
      <c r="F233" t="s">
        <v>4254</v>
      </c>
      <c r="G233">
        <v>57.5</v>
      </c>
      <c r="H233" t="s">
        <v>3954</v>
      </c>
      <c r="I233" t="s">
        <v>4212</v>
      </c>
      <c r="J233">
        <f t="shared" si="7"/>
        <v>72.662499999999994</v>
      </c>
      <c r="K233">
        <v>2906.5</v>
      </c>
      <c r="L233" t="s">
        <v>4298</v>
      </c>
    </row>
    <row r="234" spans="1:12" ht="50.1" customHeight="1">
      <c r="A234">
        <v>225</v>
      </c>
      <c r="B234" t="s">
        <v>4252</v>
      </c>
      <c r="C234" t="s">
        <v>4253</v>
      </c>
      <c r="D234">
        <v>401959323</v>
      </c>
      <c r="E234" t="s">
        <v>3954</v>
      </c>
      <c r="F234" t="s">
        <v>4254</v>
      </c>
      <c r="G234">
        <v>34.5</v>
      </c>
      <c r="H234" t="s">
        <v>3954</v>
      </c>
      <c r="I234" t="s">
        <v>4212</v>
      </c>
      <c r="J234">
        <f t="shared" si="7"/>
        <v>43.597500000000004</v>
      </c>
      <c r="K234">
        <v>1743.9</v>
      </c>
      <c r="L234" t="s">
        <v>4299</v>
      </c>
    </row>
    <row r="235" spans="1:12" ht="50.1" customHeight="1">
      <c r="A235">
        <v>226</v>
      </c>
      <c r="B235" t="s">
        <v>4252</v>
      </c>
      <c r="C235" t="s">
        <v>4253</v>
      </c>
      <c r="D235">
        <v>401959323</v>
      </c>
      <c r="E235" t="s">
        <v>3954</v>
      </c>
      <c r="F235" t="s">
        <v>4254</v>
      </c>
      <c r="G235">
        <v>46</v>
      </c>
      <c r="H235" t="s">
        <v>3954</v>
      </c>
      <c r="I235" t="s">
        <v>4212</v>
      </c>
      <c r="J235">
        <f t="shared" si="7"/>
        <v>58.129999999999995</v>
      </c>
      <c r="K235">
        <v>2325.1999999999998</v>
      </c>
      <c r="L235" t="s">
        <v>4300</v>
      </c>
    </row>
    <row r="236" spans="1:12" ht="50.1" customHeight="1">
      <c r="A236">
        <v>227</v>
      </c>
      <c r="B236" t="s">
        <v>4252</v>
      </c>
      <c r="C236" t="s">
        <v>4253</v>
      </c>
      <c r="D236">
        <v>401959323</v>
      </c>
      <c r="E236" t="s">
        <v>3954</v>
      </c>
      <c r="F236" t="s">
        <v>4254</v>
      </c>
      <c r="G236">
        <v>23</v>
      </c>
      <c r="H236" t="s">
        <v>3954</v>
      </c>
      <c r="I236" t="s">
        <v>4212</v>
      </c>
      <c r="J236">
        <f t="shared" si="7"/>
        <v>29.064999999999998</v>
      </c>
      <c r="K236">
        <v>1162.5999999999999</v>
      </c>
      <c r="L236" t="s">
        <v>4301</v>
      </c>
    </row>
    <row r="237" spans="1:12" ht="50.1" customHeight="1">
      <c r="A237">
        <v>228</v>
      </c>
      <c r="B237" t="s">
        <v>4252</v>
      </c>
      <c r="C237" t="s">
        <v>4253</v>
      </c>
      <c r="D237">
        <v>401959323</v>
      </c>
      <c r="E237" t="s">
        <v>3954</v>
      </c>
      <c r="F237" t="s">
        <v>4254</v>
      </c>
      <c r="G237">
        <v>57.5</v>
      </c>
      <c r="H237" t="s">
        <v>3954</v>
      </c>
      <c r="I237" t="s">
        <v>4212</v>
      </c>
      <c r="J237">
        <f t="shared" si="7"/>
        <v>72.662499999999994</v>
      </c>
      <c r="K237">
        <v>2906.5</v>
      </c>
      <c r="L237" t="s">
        <v>4302</v>
      </c>
    </row>
    <row r="238" spans="1:12" ht="50.1" customHeight="1">
      <c r="A238">
        <v>229</v>
      </c>
      <c r="B238" t="s">
        <v>4252</v>
      </c>
      <c r="C238" t="s">
        <v>4253</v>
      </c>
      <c r="D238">
        <v>401959323</v>
      </c>
      <c r="E238" t="s">
        <v>3954</v>
      </c>
      <c r="F238" t="s">
        <v>4254</v>
      </c>
      <c r="G238">
        <v>57.5</v>
      </c>
      <c r="H238" t="s">
        <v>3954</v>
      </c>
      <c r="I238" t="s">
        <v>4212</v>
      </c>
      <c r="J238">
        <f t="shared" si="7"/>
        <v>72.662499999999994</v>
      </c>
      <c r="K238">
        <v>2906.5</v>
      </c>
      <c r="L238" t="s">
        <v>4303</v>
      </c>
    </row>
    <row r="239" spans="1:12" ht="50.1" customHeight="1">
      <c r="A239">
        <v>230</v>
      </c>
      <c r="B239" t="s">
        <v>4252</v>
      </c>
      <c r="C239" t="s">
        <v>4253</v>
      </c>
      <c r="D239">
        <v>401959323</v>
      </c>
      <c r="E239" t="s">
        <v>3954</v>
      </c>
      <c r="F239" t="s">
        <v>4254</v>
      </c>
      <c r="G239">
        <v>57.5</v>
      </c>
      <c r="H239" t="s">
        <v>3954</v>
      </c>
      <c r="I239" t="s">
        <v>4212</v>
      </c>
      <c r="J239">
        <f t="shared" si="7"/>
        <v>72.662499999999994</v>
      </c>
      <c r="K239">
        <v>2906.5</v>
      </c>
      <c r="L239" t="s">
        <v>4304</v>
      </c>
    </row>
    <row r="240" spans="1:12" ht="50.1" customHeight="1">
      <c r="A240">
        <v>231</v>
      </c>
      <c r="B240" t="s">
        <v>4252</v>
      </c>
      <c r="C240" t="s">
        <v>4253</v>
      </c>
      <c r="D240">
        <v>401959323</v>
      </c>
      <c r="E240" t="s">
        <v>3954</v>
      </c>
      <c r="F240" t="s">
        <v>4254</v>
      </c>
      <c r="G240">
        <v>57.5</v>
      </c>
      <c r="H240" t="s">
        <v>3954</v>
      </c>
      <c r="I240" t="s">
        <v>4212</v>
      </c>
      <c r="J240">
        <f t="shared" si="7"/>
        <v>72.662499999999994</v>
      </c>
      <c r="K240">
        <v>2906.5</v>
      </c>
      <c r="L240" t="s">
        <v>4305</v>
      </c>
    </row>
    <row r="241" spans="1:12" ht="50.1" customHeight="1">
      <c r="A241">
        <v>232</v>
      </c>
      <c r="B241" t="s">
        <v>4252</v>
      </c>
      <c r="C241" t="s">
        <v>4253</v>
      </c>
      <c r="D241">
        <v>401959323</v>
      </c>
      <c r="E241" t="s">
        <v>3954</v>
      </c>
      <c r="F241" t="s">
        <v>4254</v>
      </c>
      <c r="G241">
        <v>46</v>
      </c>
      <c r="H241" t="s">
        <v>3954</v>
      </c>
      <c r="I241" t="s">
        <v>4212</v>
      </c>
      <c r="J241">
        <f t="shared" si="7"/>
        <v>58.129999999999995</v>
      </c>
      <c r="K241">
        <v>2325.1999999999998</v>
      </c>
      <c r="L241" t="s">
        <v>4306</v>
      </c>
    </row>
    <row r="242" spans="1:12" ht="50.1" customHeight="1">
      <c r="A242">
        <v>233</v>
      </c>
      <c r="B242" t="s">
        <v>4252</v>
      </c>
      <c r="C242" t="s">
        <v>4253</v>
      </c>
      <c r="D242">
        <v>401959323</v>
      </c>
      <c r="E242" t="s">
        <v>3954</v>
      </c>
      <c r="F242" t="s">
        <v>4254</v>
      </c>
      <c r="G242">
        <v>46</v>
      </c>
      <c r="H242" t="s">
        <v>3954</v>
      </c>
      <c r="I242" t="s">
        <v>4212</v>
      </c>
      <c r="J242">
        <f t="shared" si="7"/>
        <v>58.129999999999995</v>
      </c>
      <c r="K242">
        <v>2325.1999999999998</v>
      </c>
      <c r="L242" t="s">
        <v>4307</v>
      </c>
    </row>
    <row r="243" spans="1:12" ht="50.1" customHeight="1">
      <c r="A243">
        <v>234</v>
      </c>
      <c r="B243" t="s">
        <v>4252</v>
      </c>
      <c r="C243" t="s">
        <v>4253</v>
      </c>
      <c r="D243">
        <v>401959323</v>
      </c>
      <c r="E243" t="s">
        <v>3954</v>
      </c>
      <c r="F243" t="s">
        <v>4254</v>
      </c>
      <c r="G243">
        <v>46</v>
      </c>
      <c r="H243" t="s">
        <v>3954</v>
      </c>
      <c r="I243" t="s">
        <v>4212</v>
      </c>
      <c r="J243">
        <f t="shared" si="7"/>
        <v>58.129999999999995</v>
      </c>
      <c r="K243">
        <v>2325.1999999999998</v>
      </c>
      <c r="L243" t="s">
        <v>4308</v>
      </c>
    </row>
    <row r="244" spans="1:12" ht="50.1" customHeight="1">
      <c r="A244">
        <v>235</v>
      </c>
      <c r="B244" t="s">
        <v>4252</v>
      </c>
      <c r="C244" t="s">
        <v>4253</v>
      </c>
      <c r="D244">
        <v>401959323</v>
      </c>
      <c r="E244" t="s">
        <v>3954</v>
      </c>
      <c r="F244" t="s">
        <v>4254</v>
      </c>
      <c r="G244">
        <v>46</v>
      </c>
      <c r="H244" t="s">
        <v>3954</v>
      </c>
      <c r="I244" t="s">
        <v>4212</v>
      </c>
      <c r="J244">
        <f t="shared" si="7"/>
        <v>58.129999999999995</v>
      </c>
      <c r="K244">
        <v>2325.1999999999998</v>
      </c>
      <c r="L244" t="s">
        <v>4309</v>
      </c>
    </row>
    <row r="245" spans="1:12" ht="50.1" customHeight="1">
      <c r="A245">
        <v>236</v>
      </c>
      <c r="B245" t="s">
        <v>4252</v>
      </c>
      <c r="C245" t="s">
        <v>4253</v>
      </c>
      <c r="D245">
        <v>401959323</v>
      </c>
      <c r="E245" t="s">
        <v>3954</v>
      </c>
      <c r="F245" t="s">
        <v>4254</v>
      </c>
      <c r="G245">
        <v>34.5</v>
      </c>
      <c r="H245" t="s">
        <v>3954</v>
      </c>
      <c r="I245" t="s">
        <v>4212</v>
      </c>
      <c r="J245">
        <f t="shared" si="7"/>
        <v>43.597500000000004</v>
      </c>
      <c r="K245">
        <v>1743.9</v>
      </c>
      <c r="L245" t="s">
        <v>4310</v>
      </c>
    </row>
    <row r="246" spans="1:12" ht="50.1" customHeight="1">
      <c r="A246">
        <v>237</v>
      </c>
      <c r="B246" t="s">
        <v>4252</v>
      </c>
      <c r="C246" t="s">
        <v>4253</v>
      </c>
      <c r="D246">
        <v>401959323</v>
      </c>
      <c r="E246" t="s">
        <v>3954</v>
      </c>
      <c r="F246" t="s">
        <v>4254</v>
      </c>
      <c r="G246">
        <v>23</v>
      </c>
      <c r="H246" t="s">
        <v>3954</v>
      </c>
      <c r="I246" t="s">
        <v>4212</v>
      </c>
      <c r="J246">
        <f t="shared" si="7"/>
        <v>29.064999999999998</v>
      </c>
      <c r="K246">
        <v>1162.5999999999999</v>
      </c>
      <c r="L246" t="s">
        <v>4311</v>
      </c>
    </row>
    <row r="247" spans="1:12" ht="50.1" customHeight="1">
      <c r="A247">
        <v>238</v>
      </c>
      <c r="B247" t="s">
        <v>4252</v>
      </c>
      <c r="C247" t="s">
        <v>4253</v>
      </c>
      <c r="D247">
        <v>401959323</v>
      </c>
      <c r="E247" t="s">
        <v>3954</v>
      </c>
      <c r="F247" t="s">
        <v>4254</v>
      </c>
      <c r="G247">
        <v>23</v>
      </c>
      <c r="H247" t="s">
        <v>3954</v>
      </c>
      <c r="I247" t="s">
        <v>4212</v>
      </c>
      <c r="J247">
        <f t="shared" si="7"/>
        <v>29.064999999999998</v>
      </c>
      <c r="K247">
        <v>1162.5999999999999</v>
      </c>
      <c r="L247" t="s">
        <v>4312</v>
      </c>
    </row>
    <row r="248" spans="1:12" ht="50.1" customHeight="1">
      <c r="A248">
        <v>239</v>
      </c>
      <c r="B248" t="s">
        <v>4252</v>
      </c>
      <c r="C248" t="s">
        <v>4253</v>
      </c>
      <c r="D248">
        <v>401959323</v>
      </c>
      <c r="E248" t="s">
        <v>3954</v>
      </c>
      <c r="F248" t="s">
        <v>4254</v>
      </c>
      <c r="G248">
        <v>57.5</v>
      </c>
      <c r="H248" t="s">
        <v>3954</v>
      </c>
      <c r="I248" t="s">
        <v>4212</v>
      </c>
      <c r="J248">
        <f t="shared" si="7"/>
        <v>72.662499999999994</v>
      </c>
      <c r="K248">
        <v>2906.5</v>
      </c>
      <c r="L248" t="s">
        <v>4313</v>
      </c>
    </row>
    <row r="249" spans="1:12" ht="50.1" customHeight="1">
      <c r="A249">
        <v>240</v>
      </c>
      <c r="B249" t="s">
        <v>4252</v>
      </c>
      <c r="C249" t="s">
        <v>4253</v>
      </c>
      <c r="D249">
        <v>401959323</v>
      </c>
      <c r="E249" t="s">
        <v>3954</v>
      </c>
      <c r="F249" t="s">
        <v>4254</v>
      </c>
      <c r="G249">
        <v>23</v>
      </c>
      <c r="H249" t="s">
        <v>3954</v>
      </c>
      <c r="I249" t="s">
        <v>4212</v>
      </c>
      <c r="J249">
        <f t="shared" si="7"/>
        <v>29.064999999999998</v>
      </c>
      <c r="K249">
        <v>1162.5999999999999</v>
      </c>
      <c r="L249" t="s">
        <v>4314</v>
      </c>
    </row>
    <row r="250" spans="1:12" ht="50.1" customHeight="1">
      <c r="A250">
        <v>241</v>
      </c>
      <c r="B250" t="s">
        <v>4252</v>
      </c>
      <c r="C250" t="s">
        <v>4253</v>
      </c>
      <c r="D250">
        <v>401959323</v>
      </c>
      <c r="E250" t="s">
        <v>3954</v>
      </c>
      <c r="F250" t="s">
        <v>4254</v>
      </c>
      <c r="G250">
        <v>57.5</v>
      </c>
      <c r="H250" t="s">
        <v>3954</v>
      </c>
      <c r="I250" t="s">
        <v>4212</v>
      </c>
      <c r="J250">
        <f t="shared" si="7"/>
        <v>72.662499999999994</v>
      </c>
      <c r="K250">
        <v>2906.5</v>
      </c>
      <c r="L250" t="s">
        <v>4315</v>
      </c>
    </row>
    <row r="251" spans="1:12" ht="50.1" customHeight="1">
      <c r="A251">
        <v>242</v>
      </c>
      <c r="B251" t="s">
        <v>4252</v>
      </c>
      <c r="C251" t="s">
        <v>4253</v>
      </c>
      <c r="D251">
        <v>401959323</v>
      </c>
      <c r="E251" t="s">
        <v>3954</v>
      </c>
      <c r="F251" t="s">
        <v>4254</v>
      </c>
      <c r="G251">
        <v>46</v>
      </c>
      <c r="H251" t="s">
        <v>3954</v>
      </c>
      <c r="I251" t="s">
        <v>4212</v>
      </c>
      <c r="J251">
        <f t="shared" si="7"/>
        <v>58.129999999999995</v>
      </c>
      <c r="K251">
        <v>2325.1999999999998</v>
      </c>
      <c r="L251" t="s">
        <v>4316</v>
      </c>
    </row>
    <row r="252" spans="1:12" ht="50.1" customHeight="1">
      <c r="A252">
        <v>243</v>
      </c>
      <c r="B252" t="s">
        <v>4252</v>
      </c>
      <c r="C252" t="s">
        <v>4253</v>
      </c>
      <c r="D252">
        <v>401959323</v>
      </c>
      <c r="E252" t="s">
        <v>3954</v>
      </c>
      <c r="F252" t="s">
        <v>4254</v>
      </c>
      <c r="G252">
        <v>11.5</v>
      </c>
      <c r="H252" t="s">
        <v>3954</v>
      </c>
      <c r="I252" t="s">
        <v>4212</v>
      </c>
      <c r="J252">
        <f t="shared" si="7"/>
        <v>14.532499999999999</v>
      </c>
      <c r="K252">
        <v>581.29999999999995</v>
      </c>
      <c r="L252" t="s">
        <v>4317</v>
      </c>
    </row>
    <row r="253" spans="1:12" ht="50.1" customHeight="1">
      <c r="A253">
        <v>244</v>
      </c>
      <c r="B253" t="s">
        <v>4252</v>
      </c>
      <c r="C253" t="s">
        <v>4253</v>
      </c>
      <c r="D253">
        <v>401959323</v>
      </c>
      <c r="E253" t="s">
        <v>3954</v>
      </c>
      <c r="F253" t="s">
        <v>4254</v>
      </c>
      <c r="G253">
        <v>46</v>
      </c>
      <c r="H253" t="s">
        <v>3954</v>
      </c>
      <c r="I253" t="s">
        <v>4212</v>
      </c>
      <c r="J253">
        <f t="shared" si="7"/>
        <v>58.129999999999995</v>
      </c>
      <c r="K253">
        <v>2325.1999999999998</v>
      </c>
      <c r="L253" t="s">
        <v>4318</v>
      </c>
    </row>
    <row r="254" spans="1:12" ht="50.1" customHeight="1">
      <c r="A254">
        <v>245</v>
      </c>
      <c r="B254" t="s">
        <v>4252</v>
      </c>
      <c r="C254" t="s">
        <v>4253</v>
      </c>
      <c r="D254">
        <v>401959323</v>
      </c>
      <c r="E254" t="s">
        <v>3954</v>
      </c>
      <c r="F254" t="s">
        <v>4254</v>
      </c>
      <c r="G254">
        <v>11.5</v>
      </c>
      <c r="H254" t="s">
        <v>3954</v>
      </c>
      <c r="I254" t="s">
        <v>4212</v>
      </c>
      <c r="J254">
        <f t="shared" ref="J254:J261" si="8">K254/40</f>
        <v>14.532499999999999</v>
      </c>
      <c r="K254">
        <v>581.29999999999995</v>
      </c>
      <c r="L254" t="s">
        <v>4319</v>
      </c>
    </row>
    <row r="255" spans="1:12" ht="50.1" customHeight="1">
      <c r="A255">
        <v>246</v>
      </c>
      <c r="B255" t="s">
        <v>4252</v>
      </c>
      <c r="C255" t="s">
        <v>4253</v>
      </c>
      <c r="D255">
        <v>401959323</v>
      </c>
      <c r="E255" t="s">
        <v>3954</v>
      </c>
      <c r="F255" t="s">
        <v>4254</v>
      </c>
      <c r="G255">
        <v>11.5</v>
      </c>
      <c r="H255" t="s">
        <v>3954</v>
      </c>
      <c r="I255" t="s">
        <v>4212</v>
      </c>
      <c r="J255">
        <f t="shared" si="8"/>
        <v>14.532499999999999</v>
      </c>
      <c r="K255">
        <v>581.29999999999995</v>
      </c>
      <c r="L255" t="s">
        <v>4320</v>
      </c>
    </row>
    <row r="256" spans="1:12" ht="50.1" customHeight="1">
      <c r="A256">
        <v>247</v>
      </c>
      <c r="B256" t="s">
        <v>4252</v>
      </c>
      <c r="C256" t="s">
        <v>4253</v>
      </c>
      <c r="D256">
        <v>401959323</v>
      </c>
      <c r="E256" t="s">
        <v>3954</v>
      </c>
      <c r="F256" t="s">
        <v>4254</v>
      </c>
      <c r="G256">
        <v>46</v>
      </c>
      <c r="H256" t="s">
        <v>3954</v>
      </c>
      <c r="I256" t="s">
        <v>4212</v>
      </c>
      <c r="J256">
        <f t="shared" si="8"/>
        <v>58.129999999999995</v>
      </c>
      <c r="K256">
        <v>2325.1999999999998</v>
      </c>
      <c r="L256" t="s">
        <v>4321</v>
      </c>
    </row>
    <row r="257" spans="1:12" ht="50.1" customHeight="1">
      <c r="A257">
        <v>248</v>
      </c>
      <c r="B257" t="s">
        <v>4252</v>
      </c>
      <c r="C257" t="s">
        <v>4253</v>
      </c>
      <c r="D257">
        <v>401959323</v>
      </c>
      <c r="E257" t="s">
        <v>3954</v>
      </c>
      <c r="F257" t="s">
        <v>4254</v>
      </c>
      <c r="G257">
        <v>46</v>
      </c>
      <c r="H257" t="s">
        <v>3954</v>
      </c>
      <c r="I257" t="s">
        <v>4212</v>
      </c>
      <c r="J257">
        <f t="shared" si="8"/>
        <v>58.129999999999995</v>
      </c>
      <c r="K257">
        <v>2325.1999999999998</v>
      </c>
      <c r="L257" t="s">
        <v>4322</v>
      </c>
    </row>
    <row r="258" spans="1:12" ht="50.1" customHeight="1">
      <c r="A258">
        <v>249</v>
      </c>
      <c r="B258" t="s">
        <v>4252</v>
      </c>
      <c r="C258" t="s">
        <v>4253</v>
      </c>
      <c r="D258">
        <v>401959323</v>
      </c>
      <c r="E258" t="s">
        <v>3954</v>
      </c>
      <c r="F258" t="s">
        <v>4254</v>
      </c>
      <c r="G258">
        <v>34.5</v>
      </c>
      <c r="H258" t="s">
        <v>3954</v>
      </c>
      <c r="I258" t="s">
        <v>4212</v>
      </c>
      <c r="J258">
        <f t="shared" si="8"/>
        <v>43.597500000000004</v>
      </c>
      <c r="K258">
        <v>1743.9</v>
      </c>
      <c r="L258" t="s">
        <v>4323</v>
      </c>
    </row>
    <row r="259" spans="1:12" ht="50.1" customHeight="1">
      <c r="A259">
        <v>250</v>
      </c>
      <c r="B259" t="s">
        <v>4252</v>
      </c>
      <c r="C259" t="s">
        <v>4253</v>
      </c>
      <c r="D259">
        <v>401959323</v>
      </c>
      <c r="E259" t="s">
        <v>3954</v>
      </c>
      <c r="F259" t="s">
        <v>4254</v>
      </c>
      <c r="G259">
        <v>23</v>
      </c>
      <c r="H259" t="s">
        <v>3954</v>
      </c>
      <c r="I259" t="s">
        <v>4212</v>
      </c>
      <c r="J259">
        <f t="shared" si="8"/>
        <v>29.064999999999998</v>
      </c>
      <c r="K259">
        <v>1162.5999999999999</v>
      </c>
      <c r="L259" t="s">
        <v>4324</v>
      </c>
    </row>
    <row r="260" spans="1:12" ht="50.1" customHeight="1">
      <c r="A260">
        <v>251</v>
      </c>
      <c r="B260" t="s">
        <v>4252</v>
      </c>
      <c r="C260" t="s">
        <v>4253</v>
      </c>
      <c r="D260">
        <v>401959323</v>
      </c>
      <c r="E260" t="s">
        <v>3954</v>
      </c>
      <c r="F260" t="s">
        <v>4254</v>
      </c>
      <c r="G260">
        <v>57.5</v>
      </c>
      <c r="H260" t="s">
        <v>3954</v>
      </c>
      <c r="I260" t="s">
        <v>4212</v>
      </c>
      <c r="J260">
        <f t="shared" si="8"/>
        <v>72.662499999999994</v>
      </c>
      <c r="K260">
        <v>2906.5</v>
      </c>
      <c r="L260" t="s">
        <v>4325</v>
      </c>
    </row>
    <row r="261" spans="1:12" ht="50.1" customHeight="1">
      <c r="A261">
        <v>252</v>
      </c>
      <c r="B261" t="s">
        <v>4252</v>
      </c>
      <c r="C261" t="s">
        <v>4253</v>
      </c>
      <c r="D261">
        <v>401959323</v>
      </c>
      <c r="E261" t="s">
        <v>3954</v>
      </c>
      <c r="F261" t="s">
        <v>4254</v>
      </c>
      <c r="G261">
        <v>57.5</v>
      </c>
      <c r="H261" t="s">
        <v>3954</v>
      </c>
      <c r="I261" t="s">
        <v>4212</v>
      </c>
      <c r="J261">
        <f t="shared" si="8"/>
        <v>72.662499999999994</v>
      </c>
      <c r="K261">
        <v>2906.5</v>
      </c>
      <c r="L261" t="s">
        <v>4326</v>
      </c>
    </row>
    <row r="262" spans="1:12" ht="50.1" customHeight="1">
      <c r="A262">
        <v>253</v>
      </c>
      <c r="B262" t="s">
        <v>4209</v>
      </c>
      <c r="C262" t="s">
        <v>4327</v>
      </c>
      <c r="D262" t="s">
        <v>4328</v>
      </c>
      <c r="E262" t="s">
        <v>3954</v>
      </c>
      <c r="F262" t="s">
        <v>4329</v>
      </c>
      <c r="G262">
        <v>72</v>
      </c>
      <c r="H262" t="s">
        <v>3954</v>
      </c>
      <c r="I262" t="s">
        <v>4212</v>
      </c>
      <c r="J262">
        <f>K262/30</f>
        <v>295.66933333333333</v>
      </c>
      <c r="K262">
        <v>8870.08</v>
      </c>
      <c r="L262" t="s">
        <v>4330</v>
      </c>
    </row>
    <row r="263" spans="1:12" ht="50.1" customHeight="1">
      <c r="A263">
        <v>254</v>
      </c>
      <c r="B263" t="s">
        <v>3952</v>
      </c>
      <c r="C263" t="s">
        <v>4331</v>
      </c>
      <c r="D263">
        <v>404409252</v>
      </c>
      <c r="E263" t="s">
        <v>3954</v>
      </c>
      <c r="F263" t="s">
        <v>4332</v>
      </c>
      <c r="G263" t="s">
        <v>4333</v>
      </c>
      <c r="H263" t="s">
        <v>3954</v>
      </c>
      <c r="I263" t="s">
        <v>3773</v>
      </c>
      <c r="J263">
        <f>K263/46</f>
        <v>16.478260869565219</v>
      </c>
      <c r="K263">
        <v>758</v>
      </c>
      <c r="L263" t="s">
        <v>4334</v>
      </c>
    </row>
    <row r="264" spans="1:12" ht="50.1" customHeight="1">
      <c r="A264">
        <v>255</v>
      </c>
      <c r="B264" t="s">
        <v>3952</v>
      </c>
      <c r="C264" t="s">
        <v>4331</v>
      </c>
      <c r="D264">
        <v>404409252</v>
      </c>
      <c r="E264" t="s">
        <v>3954</v>
      </c>
      <c r="F264" t="s">
        <v>4332</v>
      </c>
      <c r="H264" t="s">
        <v>3954</v>
      </c>
      <c r="J264">
        <f>K264/46</f>
        <v>26.369565217391305</v>
      </c>
      <c r="K264">
        <v>1213</v>
      </c>
      <c r="L264" t="s">
        <v>4335</v>
      </c>
    </row>
    <row r="265" spans="1:12" ht="50.1" customHeight="1">
      <c r="A265">
        <v>256</v>
      </c>
      <c r="B265" t="s">
        <v>3977</v>
      </c>
      <c r="C265" t="s">
        <v>4331</v>
      </c>
      <c r="D265">
        <v>404409252</v>
      </c>
      <c r="E265" t="s">
        <v>3954</v>
      </c>
      <c r="F265" t="s">
        <v>4332</v>
      </c>
      <c r="G265">
        <v>560</v>
      </c>
      <c r="H265" t="s">
        <v>3954</v>
      </c>
      <c r="I265" t="s">
        <v>4212</v>
      </c>
      <c r="J265">
        <f t="shared" ref="J265:J266" si="9">K265/G265</f>
        <v>5</v>
      </c>
      <c r="K265">
        <v>2800</v>
      </c>
      <c r="L265" t="s">
        <v>4336</v>
      </c>
    </row>
    <row r="266" spans="1:12" ht="50.1" customHeight="1">
      <c r="A266">
        <v>257</v>
      </c>
      <c r="B266" t="s">
        <v>3977</v>
      </c>
      <c r="C266" t="s">
        <v>4331</v>
      </c>
      <c r="D266">
        <v>404409252</v>
      </c>
      <c r="E266" t="s">
        <v>3954</v>
      </c>
      <c r="F266" t="s">
        <v>4332</v>
      </c>
      <c r="G266">
        <v>8323</v>
      </c>
      <c r="H266" t="s">
        <v>3954</v>
      </c>
      <c r="I266" t="s">
        <v>4212</v>
      </c>
      <c r="J266">
        <f t="shared" si="9"/>
        <v>0.58873002523128681</v>
      </c>
      <c r="K266">
        <v>4900</v>
      </c>
      <c r="L266" t="s">
        <v>4337</v>
      </c>
    </row>
    <row r="267" spans="1:12" ht="50.1" customHeight="1">
      <c r="A267">
        <v>258</v>
      </c>
      <c r="B267" t="s">
        <v>3952</v>
      </c>
      <c r="C267" t="s">
        <v>4338</v>
      </c>
      <c r="D267">
        <v>404399664</v>
      </c>
      <c r="E267" t="s">
        <v>3954</v>
      </c>
      <c r="F267" t="s">
        <v>4339</v>
      </c>
      <c r="G267" t="s">
        <v>4340</v>
      </c>
      <c r="H267" t="s">
        <v>3954</v>
      </c>
      <c r="I267" t="s">
        <v>3773</v>
      </c>
      <c r="J267">
        <f>K267/68</f>
        <v>310.84499999999997</v>
      </c>
      <c r="K267">
        <v>21137.46</v>
      </c>
      <c r="L267" t="s">
        <v>4341</v>
      </c>
    </row>
    <row r="268" spans="1:12" ht="50.1" customHeight="1">
      <c r="A268">
        <v>259</v>
      </c>
      <c r="B268" t="s">
        <v>3952</v>
      </c>
      <c r="C268" t="s">
        <v>4338</v>
      </c>
      <c r="D268">
        <v>404399664</v>
      </c>
      <c r="E268" t="s">
        <v>3954</v>
      </c>
      <c r="F268" t="s">
        <v>4339</v>
      </c>
      <c r="H268" t="s">
        <v>3954</v>
      </c>
      <c r="J268">
        <f>K268/68</f>
        <v>420.55500000000001</v>
      </c>
      <c r="K268">
        <v>28597.74</v>
      </c>
      <c r="L268" t="s">
        <v>4342</v>
      </c>
    </row>
    <row r="269" spans="1:12" ht="50.1" customHeight="1">
      <c r="A269">
        <v>260</v>
      </c>
      <c r="B269" t="s">
        <v>3952</v>
      </c>
      <c r="C269" t="s">
        <v>4119</v>
      </c>
      <c r="D269">
        <v>227746259</v>
      </c>
      <c r="E269" t="s">
        <v>3954</v>
      </c>
      <c r="F269" t="s">
        <v>4343</v>
      </c>
      <c r="G269" t="s">
        <v>4344</v>
      </c>
      <c r="H269" t="s">
        <v>3954</v>
      </c>
      <c r="I269" t="s">
        <v>3773</v>
      </c>
      <c r="J269">
        <f>K269/36</f>
        <v>25.916666666666668</v>
      </c>
      <c r="K269">
        <v>933</v>
      </c>
      <c r="L269" t="s">
        <v>4345</v>
      </c>
    </row>
    <row r="270" spans="1:12" ht="50.1" customHeight="1">
      <c r="A270">
        <v>261</v>
      </c>
      <c r="B270" t="s">
        <v>3952</v>
      </c>
      <c r="C270" t="s">
        <v>4119</v>
      </c>
      <c r="D270">
        <v>227746259</v>
      </c>
      <c r="E270" t="s">
        <v>3954</v>
      </c>
      <c r="F270" t="s">
        <v>4343</v>
      </c>
      <c r="H270" t="s">
        <v>3954</v>
      </c>
      <c r="J270">
        <f>K270/36</f>
        <v>32.388888888888886</v>
      </c>
      <c r="K270">
        <v>1166</v>
      </c>
      <c r="L270" t="s">
        <v>4346</v>
      </c>
    </row>
    <row r="271" spans="1:12" ht="50.1" customHeight="1">
      <c r="A271">
        <v>262</v>
      </c>
      <c r="B271" t="s">
        <v>4209</v>
      </c>
      <c r="C271" t="s">
        <v>4347</v>
      </c>
      <c r="D271">
        <v>212918020</v>
      </c>
      <c r="E271" t="s">
        <v>3954</v>
      </c>
      <c r="F271" t="s">
        <v>4348</v>
      </c>
      <c r="G271">
        <v>54</v>
      </c>
      <c r="H271" t="s">
        <v>3954</v>
      </c>
      <c r="I271" t="s">
        <v>4212</v>
      </c>
      <c r="J271">
        <f t="shared" ref="J271:J279" si="10">K271/31</f>
        <v>264.77419354838707</v>
      </c>
      <c r="K271">
        <f>6858+864+486</f>
        <v>8208</v>
      </c>
      <c r="L271" t="s">
        <v>4349</v>
      </c>
    </row>
    <row r="272" spans="1:12" ht="50.1" customHeight="1">
      <c r="A272">
        <v>263</v>
      </c>
      <c r="B272" t="s">
        <v>4209</v>
      </c>
      <c r="C272" t="s">
        <v>4347</v>
      </c>
      <c r="D272">
        <v>212918020</v>
      </c>
      <c r="E272" t="s">
        <v>3954</v>
      </c>
      <c r="F272" t="s">
        <v>4348</v>
      </c>
      <c r="G272">
        <v>36</v>
      </c>
      <c r="H272" t="s">
        <v>3954</v>
      </c>
      <c r="I272" t="s">
        <v>4212</v>
      </c>
      <c r="J272">
        <f t="shared" si="10"/>
        <v>176.51612903225808</v>
      </c>
      <c r="K272">
        <f>4572+576+324</f>
        <v>5472</v>
      </c>
      <c r="L272" t="s">
        <v>4350</v>
      </c>
    </row>
    <row r="273" spans="1:12" ht="50.1" customHeight="1">
      <c r="A273">
        <v>264</v>
      </c>
      <c r="B273" t="s">
        <v>4209</v>
      </c>
      <c r="C273" t="s">
        <v>4347</v>
      </c>
      <c r="D273">
        <v>212918020</v>
      </c>
      <c r="E273" t="s">
        <v>3954</v>
      </c>
      <c r="F273" t="s">
        <v>4348</v>
      </c>
      <c r="G273">
        <v>36</v>
      </c>
      <c r="H273" t="s">
        <v>3954</v>
      </c>
      <c r="I273" t="s">
        <v>4212</v>
      </c>
      <c r="J273">
        <f t="shared" si="10"/>
        <v>176.51612903225808</v>
      </c>
      <c r="K273">
        <f>4572+576+324</f>
        <v>5472</v>
      </c>
      <c r="L273" t="s">
        <v>4351</v>
      </c>
    </row>
    <row r="274" spans="1:12" ht="50.1" customHeight="1">
      <c r="A274">
        <v>265</v>
      </c>
      <c r="B274" t="s">
        <v>4209</v>
      </c>
      <c r="C274" t="s">
        <v>4347</v>
      </c>
      <c r="D274">
        <v>212918020</v>
      </c>
      <c r="E274" t="s">
        <v>3954</v>
      </c>
      <c r="F274" t="s">
        <v>4348</v>
      </c>
      <c r="G274">
        <v>18</v>
      </c>
      <c r="H274" t="s">
        <v>3954</v>
      </c>
      <c r="I274" t="s">
        <v>4212</v>
      </c>
      <c r="J274">
        <f t="shared" si="10"/>
        <v>49.935483870967744</v>
      </c>
      <c r="K274">
        <f>900+288+360</f>
        <v>1548</v>
      </c>
      <c r="L274" t="s">
        <v>4352</v>
      </c>
    </row>
    <row r="275" spans="1:12" ht="50.1" customHeight="1">
      <c r="A275">
        <v>266</v>
      </c>
      <c r="B275" t="s">
        <v>3952</v>
      </c>
      <c r="C275" t="s">
        <v>4353</v>
      </c>
      <c r="D275">
        <v>237074535</v>
      </c>
      <c r="E275" t="s">
        <v>3954</v>
      </c>
      <c r="F275" t="s">
        <v>4354</v>
      </c>
      <c r="G275" t="s">
        <v>4355</v>
      </c>
      <c r="H275" t="s">
        <v>3954</v>
      </c>
      <c r="I275" t="s">
        <v>3773</v>
      </c>
      <c r="J275">
        <f t="shared" si="10"/>
        <v>9.67741935483871</v>
      </c>
      <c r="K275">
        <v>300</v>
      </c>
      <c r="L275" t="s">
        <v>4356</v>
      </c>
    </row>
    <row r="276" spans="1:12" ht="50.1" customHeight="1">
      <c r="A276">
        <v>267</v>
      </c>
      <c r="B276" t="s">
        <v>3977</v>
      </c>
      <c r="C276" t="s">
        <v>4353</v>
      </c>
      <c r="D276">
        <v>237074535</v>
      </c>
      <c r="E276" t="s">
        <v>3954</v>
      </c>
      <c r="F276" t="s">
        <v>4354</v>
      </c>
      <c r="G276">
        <v>2025</v>
      </c>
      <c r="H276" t="s">
        <v>3954</v>
      </c>
      <c r="I276" t="s">
        <v>3979</v>
      </c>
      <c r="J276">
        <f t="shared" si="10"/>
        <v>96.774193548387103</v>
      </c>
      <c r="K276">
        <v>3000</v>
      </c>
      <c r="L276" t="s">
        <v>4357</v>
      </c>
    </row>
    <row r="277" spans="1:12" ht="50.1" customHeight="1">
      <c r="A277">
        <v>268</v>
      </c>
      <c r="B277" t="s">
        <v>3977</v>
      </c>
      <c r="C277" t="s">
        <v>4353</v>
      </c>
      <c r="D277">
        <v>237074535</v>
      </c>
      <c r="E277" t="s">
        <v>3954</v>
      </c>
      <c r="F277" t="s">
        <v>4354</v>
      </c>
      <c r="G277">
        <v>4050</v>
      </c>
      <c r="H277" t="s">
        <v>3954</v>
      </c>
      <c r="I277" t="s">
        <v>3979</v>
      </c>
      <c r="J277">
        <f t="shared" si="10"/>
        <v>48.387096774193552</v>
      </c>
      <c r="K277">
        <v>1500</v>
      </c>
      <c r="L277" t="s">
        <v>4358</v>
      </c>
    </row>
    <row r="278" spans="1:12" ht="50.1" customHeight="1">
      <c r="A278">
        <v>269</v>
      </c>
      <c r="B278" t="s">
        <v>4209</v>
      </c>
      <c r="C278" t="s">
        <v>4359</v>
      </c>
      <c r="D278">
        <v>400166146</v>
      </c>
      <c r="E278" t="s">
        <v>3954</v>
      </c>
      <c r="F278" t="s">
        <v>4348</v>
      </c>
      <c r="G278">
        <v>24</v>
      </c>
      <c r="H278" t="s">
        <v>3954</v>
      </c>
      <c r="I278" t="s">
        <v>4212</v>
      </c>
      <c r="J278">
        <f t="shared" si="10"/>
        <v>44.516129032258064</v>
      </c>
      <c r="K278">
        <f>480+420+480</f>
        <v>1380</v>
      </c>
      <c r="L278" t="s">
        <v>4360</v>
      </c>
    </row>
    <row r="279" spans="1:12" ht="50.1" customHeight="1">
      <c r="A279">
        <v>270</v>
      </c>
      <c r="B279" t="s">
        <v>4209</v>
      </c>
      <c r="C279" t="s">
        <v>4359</v>
      </c>
      <c r="D279">
        <v>400166146</v>
      </c>
      <c r="E279" t="s">
        <v>3954</v>
      </c>
      <c r="F279" t="s">
        <v>4348</v>
      </c>
      <c r="G279">
        <v>24</v>
      </c>
      <c r="H279" t="s">
        <v>3954</v>
      </c>
      <c r="I279" t="s">
        <v>4212</v>
      </c>
      <c r="J279">
        <f t="shared" si="10"/>
        <v>44.516129032258064</v>
      </c>
      <c r="K279">
        <f>480+420+480</f>
        <v>1380</v>
      </c>
      <c r="L279" t="s">
        <v>4361</v>
      </c>
    </row>
    <row r="280" spans="1:12" ht="50.1" customHeight="1">
      <c r="A280">
        <v>271</v>
      </c>
      <c r="B280" t="s">
        <v>3952</v>
      </c>
      <c r="C280" t="s">
        <v>4362</v>
      </c>
      <c r="D280">
        <v>404413773</v>
      </c>
      <c r="E280" t="s">
        <v>3954</v>
      </c>
      <c r="F280" t="s">
        <v>4363</v>
      </c>
      <c r="G280" t="s">
        <v>4364</v>
      </c>
      <c r="H280" t="s">
        <v>3954</v>
      </c>
      <c r="I280" t="s">
        <v>3773</v>
      </c>
      <c r="J280">
        <f>K280/30</f>
        <v>15</v>
      </c>
      <c r="K280">
        <v>450</v>
      </c>
      <c r="L280" t="s">
        <v>4365</v>
      </c>
    </row>
    <row r="281" spans="1:12" ht="50.1" customHeight="1">
      <c r="A281">
        <v>272</v>
      </c>
      <c r="B281" t="s">
        <v>3952</v>
      </c>
      <c r="C281" t="s">
        <v>4362</v>
      </c>
      <c r="D281">
        <v>404413773</v>
      </c>
      <c r="E281" t="s">
        <v>3954</v>
      </c>
      <c r="F281" t="s">
        <v>4363</v>
      </c>
      <c r="H281" t="s">
        <v>3954</v>
      </c>
      <c r="J281">
        <f>K281/30</f>
        <v>15</v>
      </c>
      <c r="K281">
        <v>450</v>
      </c>
      <c r="L281" t="s">
        <v>4366</v>
      </c>
    </row>
    <row r="282" spans="1:12" ht="50.1" customHeight="1">
      <c r="A282">
        <v>273</v>
      </c>
      <c r="B282" t="s">
        <v>4367</v>
      </c>
      <c r="C282" t="s">
        <v>4368</v>
      </c>
      <c r="D282">
        <v>401993820</v>
      </c>
      <c r="E282" t="s">
        <v>3954</v>
      </c>
      <c r="F282" t="s">
        <v>4369</v>
      </c>
      <c r="G282">
        <v>423.75</v>
      </c>
      <c r="H282" t="s">
        <v>3954</v>
      </c>
      <c r="I282" t="s">
        <v>4370</v>
      </c>
      <c r="J282">
        <f>K282/G282</f>
        <v>108.40424778761063</v>
      </c>
      <c r="K282">
        <v>45936.3</v>
      </c>
      <c r="L282" t="s">
        <v>4371</v>
      </c>
    </row>
    <row r="283" spans="1:12" ht="50.1" customHeight="1">
      <c r="A283">
        <v>274</v>
      </c>
      <c r="B283" t="s">
        <v>3952</v>
      </c>
      <c r="C283" t="s">
        <v>4372</v>
      </c>
      <c r="D283">
        <v>215112036</v>
      </c>
      <c r="E283" t="s">
        <v>3954</v>
      </c>
      <c r="F283" t="s">
        <v>4363</v>
      </c>
      <c r="G283" t="s">
        <v>4030</v>
      </c>
      <c r="H283" t="s">
        <v>3954</v>
      </c>
      <c r="I283" t="s">
        <v>3773</v>
      </c>
      <c r="J283">
        <f>K283/31</f>
        <v>14.516129032258064</v>
      </c>
      <c r="K283">
        <v>450</v>
      </c>
      <c r="L283" t="s">
        <v>4373</v>
      </c>
    </row>
    <row r="284" spans="1:12" ht="50.1" customHeight="1">
      <c r="A284">
        <v>275</v>
      </c>
      <c r="B284" t="s">
        <v>3952</v>
      </c>
      <c r="C284" t="s">
        <v>4372</v>
      </c>
      <c r="D284">
        <v>215112036</v>
      </c>
      <c r="E284" t="s">
        <v>3954</v>
      </c>
      <c r="F284" t="s">
        <v>4363</v>
      </c>
      <c r="H284" t="s">
        <v>3954</v>
      </c>
      <c r="K284">
        <v>400</v>
      </c>
      <c r="L284" t="s">
        <v>4374</v>
      </c>
    </row>
    <row r="285" spans="1:12" ht="50.1" customHeight="1">
      <c r="A285">
        <v>276</v>
      </c>
      <c r="B285" t="s">
        <v>4209</v>
      </c>
      <c r="C285" t="s">
        <v>4375</v>
      </c>
      <c r="D285">
        <v>206330228</v>
      </c>
      <c r="E285" t="s">
        <v>3954</v>
      </c>
      <c r="F285" t="s">
        <v>4376</v>
      </c>
      <c r="G285">
        <v>36</v>
      </c>
      <c r="H285" t="s">
        <v>3954</v>
      </c>
      <c r="I285" t="s">
        <v>4212</v>
      </c>
      <c r="J285">
        <f>K285/30</f>
        <v>132.293532</v>
      </c>
      <c r="K285">
        <f>(1274.4+339.84+109.08)*2.303</f>
        <v>3968.8059599999997</v>
      </c>
      <c r="L285" t="s">
        <v>4377</v>
      </c>
    </row>
    <row r="286" spans="1:12" ht="50.1" customHeight="1">
      <c r="A286">
        <v>277</v>
      </c>
      <c r="B286" t="s">
        <v>4209</v>
      </c>
      <c r="C286" t="s">
        <v>4375</v>
      </c>
      <c r="D286">
        <v>206330228</v>
      </c>
      <c r="E286" t="s">
        <v>3954</v>
      </c>
      <c r="F286" t="s">
        <v>4376</v>
      </c>
      <c r="G286">
        <v>36</v>
      </c>
      <c r="H286" t="s">
        <v>3954</v>
      </c>
      <c r="I286" t="s">
        <v>4212</v>
      </c>
      <c r="J286">
        <f>K286/30</f>
        <v>132.293532</v>
      </c>
      <c r="K286">
        <f>(1274.4+339.84+109.08)*2.303</f>
        <v>3968.8059599999997</v>
      </c>
      <c r="L286" t="s">
        <v>4378</v>
      </c>
    </row>
    <row r="287" spans="1:12" ht="50.1" customHeight="1">
      <c r="A287">
        <v>278</v>
      </c>
      <c r="B287" t="s">
        <v>4209</v>
      </c>
      <c r="C287" t="s">
        <v>4375</v>
      </c>
      <c r="D287">
        <v>206330228</v>
      </c>
      <c r="E287" t="s">
        <v>3954</v>
      </c>
      <c r="F287" t="s">
        <v>4376</v>
      </c>
      <c r="G287">
        <v>36</v>
      </c>
      <c r="H287" t="s">
        <v>3954</v>
      </c>
      <c r="I287" t="s">
        <v>4212</v>
      </c>
      <c r="J287">
        <f>K287/30</f>
        <v>132.293532</v>
      </c>
      <c r="K287">
        <f>(1274.4+339.84+109.08)*2.303</f>
        <v>3968.8059599999997</v>
      </c>
      <c r="L287" t="s">
        <v>4379</v>
      </c>
    </row>
    <row r="288" spans="1:12" ht="50.1" customHeight="1">
      <c r="A288">
        <v>279</v>
      </c>
      <c r="B288" t="s">
        <v>4380</v>
      </c>
      <c r="C288" t="s">
        <v>4381</v>
      </c>
      <c r="D288">
        <v>412688319</v>
      </c>
      <c r="E288" t="s">
        <v>3954</v>
      </c>
      <c r="F288" t="s">
        <v>4382</v>
      </c>
      <c r="G288">
        <v>15</v>
      </c>
      <c r="H288" t="s">
        <v>3954</v>
      </c>
      <c r="I288" t="s">
        <v>4212</v>
      </c>
      <c r="J288">
        <f t="shared" ref="J288:J296" si="11">K288/37</f>
        <v>27.027027027027028</v>
      </c>
      <c r="K288">
        <v>1000</v>
      </c>
      <c r="L288" t="s">
        <v>4383</v>
      </c>
    </row>
    <row r="289" spans="1:12" ht="50.1" customHeight="1">
      <c r="A289">
        <v>280</v>
      </c>
      <c r="B289" t="s">
        <v>4380</v>
      </c>
      <c r="C289" t="s">
        <v>4381</v>
      </c>
      <c r="D289">
        <v>412688319</v>
      </c>
      <c r="E289" t="s">
        <v>3954</v>
      </c>
      <c r="F289" t="s">
        <v>4382</v>
      </c>
      <c r="G289">
        <v>15</v>
      </c>
      <c r="H289" t="s">
        <v>3954</v>
      </c>
      <c r="I289" t="s">
        <v>4212</v>
      </c>
      <c r="J289">
        <f t="shared" si="11"/>
        <v>27.027027027027028</v>
      </c>
      <c r="K289">
        <v>1000</v>
      </c>
      <c r="L289" t="s">
        <v>4384</v>
      </c>
    </row>
    <row r="290" spans="1:12" ht="50.1" customHeight="1">
      <c r="A290">
        <v>281</v>
      </c>
      <c r="B290" t="s">
        <v>4380</v>
      </c>
      <c r="C290" t="s">
        <v>4381</v>
      </c>
      <c r="D290">
        <v>412688319</v>
      </c>
      <c r="E290" t="s">
        <v>3954</v>
      </c>
      <c r="F290" t="s">
        <v>4382</v>
      </c>
      <c r="G290">
        <v>15</v>
      </c>
      <c r="H290" t="s">
        <v>3954</v>
      </c>
      <c r="I290" t="s">
        <v>4212</v>
      </c>
      <c r="J290">
        <f t="shared" si="11"/>
        <v>27.027027027027028</v>
      </c>
      <c r="K290">
        <v>1000</v>
      </c>
      <c r="L290" t="s">
        <v>4385</v>
      </c>
    </row>
    <row r="291" spans="1:12" ht="50.1" customHeight="1">
      <c r="A291">
        <v>282</v>
      </c>
      <c r="B291" t="s">
        <v>4252</v>
      </c>
      <c r="C291" t="s">
        <v>4381</v>
      </c>
      <c r="D291">
        <v>412688319</v>
      </c>
      <c r="E291" t="s">
        <v>3954</v>
      </c>
      <c r="F291" t="s">
        <v>4382</v>
      </c>
      <c r="G291">
        <v>0.30599999999999999</v>
      </c>
      <c r="H291" t="s">
        <v>3954</v>
      </c>
      <c r="I291" t="s">
        <v>4212</v>
      </c>
      <c r="J291">
        <f t="shared" si="11"/>
        <v>4.5054054054054049</v>
      </c>
      <c r="K291">
        <v>166.7</v>
      </c>
      <c r="L291" t="s">
        <v>4386</v>
      </c>
    </row>
    <row r="292" spans="1:12" ht="50.1" customHeight="1">
      <c r="A292">
        <v>283</v>
      </c>
      <c r="B292" t="s">
        <v>4252</v>
      </c>
      <c r="C292" t="s">
        <v>4381</v>
      </c>
      <c r="D292">
        <v>412688319</v>
      </c>
      <c r="E292" t="s">
        <v>3954</v>
      </c>
      <c r="F292" t="s">
        <v>4382</v>
      </c>
      <c r="G292">
        <v>0.30599999999999999</v>
      </c>
      <c r="H292" t="s">
        <v>3954</v>
      </c>
      <c r="I292" t="s">
        <v>4212</v>
      </c>
      <c r="J292">
        <f t="shared" si="11"/>
        <v>4.5054054054054049</v>
      </c>
      <c r="K292">
        <v>166.7</v>
      </c>
      <c r="L292" t="s">
        <v>4387</v>
      </c>
    </row>
    <row r="293" spans="1:12" ht="50.1" customHeight="1">
      <c r="A293">
        <v>284</v>
      </c>
      <c r="B293" t="s">
        <v>4252</v>
      </c>
      <c r="C293" t="s">
        <v>4381</v>
      </c>
      <c r="D293">
        <v>412688319</v>
      </c>
      <c r="E293" t="s">
        <v>3954</v>
      </c>
      <c r="F293" t="s">
        <v>4382</v>
      </c>
      <c r="G293">
        <v>0.30599999999999999</v>
      </c>
      <c r="H293" t="s">
        <v>3954</v>
      </c>
      <c r="I293" t="s">
        <v>4212</v>
      </c>
      <c r="J293">
        <f t="shared" si="11"/>
        <v>4.5054054054054049</v>
      </c>
      <c r="K293">
        <v>166.7</v>
      </c>
      <c r="L293" t="s">
        <v>4388</v>
      </c>
    </row>
    <row r="294" spans="1:12" ht="50.1" customHeight="1">
      <c r="A294">
        <v>285</v>
      </c>
      <c r="B294" t="s">
        <v>4252</v>
      </c>
      <c r="C294" t="s">
        <v>4381</v>
      </c>
      <c r="D294">
        <v>412688319</v>
      </c>
      <c r="E294" t="s">
        <v>3954</v>
      </c>
      <c r="F294" t="s">
        <v>4382</v>
      </c>
      <c r="G294">
        <v>0.30599999999999999</v>
      </c>
      <c r="H294" t="s">
        <v>3954</v>
      </c>
      <c r="I294" t="s">
        <v>4212</v>
      </c>
      <c r="J294">
        <f t="shared" si="11"/>
        <v>4.5054054054054049</v>
      </c>
      <c r="K294">
        <v>166.7</v>
      </c>
      <c r="L294" t="s">
        <v>4389</v>
      </c>
    </row>
    <row r="295" spans="1:12" ht="50.1" customHeight="1">
      <c r="A295">
        <v>286</v>
      </c>
      <c r="B295" t="s">
        <v>4252</v>
      </c>
      <c r="C295" t="s">
        <v>4381</v>
      </c>
      <c r="D295">
        <v>412688319</v>
      </c>
      <c r="E295" t="s">
        <v>3954</v>
      </c>
      <c r="F295" t="s">
        <v>4382</v>
      </c>
      <c r="G295">
        <v>0.30599999999999999</v>
      </c>
      <c r="H295" t="s">
        <v>3954</v>
      </c>
      <c r="I295" t="s">
        <v>4212</v>
      </c>
      <c r="J295">
        <f t="shared" si="11"/>
        <v>4.5054054054054049</v>
      </c>
      <c r="K295">
        <v>166.7</v>
      </c>
      <c r="L295" t="s">
        <v>4390</v>
      </c>
    </row>
    <row r="296" spans="1:12" ht="50.1" customHeight="1">
      <c r="A296">
        <v>287</v>
      </c>
      <c r="B296" t="s">
        <v>4252</v>
      </c>
      <c r="C296" t="s">
        <v>4381</v>
      </c>
      <c r="D296">
        <v>412688319</v>
      </c>
      <c r="E296" t="s">
        <v>3954</v>
      </c>
      <c r="F296" t="s">
        <v>4382</v>
      </c>
      <c r="G296">
        <v>0.30599999999999999</v>
      </c>
      <c r="H296" t="s">
        <v>3954</v>
      </c>
      <c r="I296" t="s">
        <v>4212</v>
      </c>
      <c r="J296">
        <f t="shared" si="11"/>
        <v>4.5054054054054049</v>
      </c>
      <c r="K296">
        <v>166.7</v>
      </c>
      <c r="L296" t="s">
        <v>4391</v>
      </c>
    </row>
    <row r="297" spans="1:12" ht="50.1" customHeight="1">
      <c r="A297">
        <v>288</v>
      </c>
      <c r="B297" t="s">
        <v>4209</v>
      </c>
      <c r="C297" t="s">
        <v>4392</v>
      </c>
      <c r="D297">
        <v>202886788</v>
      </c>
      <c r="E297" t="s">
        <v>3954</v>
      </c>
      <c r="F297" t="s">
        <v>4393</v>
      </c>
      <c r="G297">
        <v>13.77</v>
      </c>
      <c r="H297" t="s">
        <v>3954</v>
      </c>
      <c r="I297" t="s">
        <v>4212</v>
      </c>
      <c r="J297">
        <f t="shared" ref="J297:J360" si="12">K297/G297</f>
        <v>76.5</v>
      </c>
      <c r="K297">
        <v>1053.405</v>
      </c>
      <c r="L297" t="s">
        <v>4394</v>
      </c>
    </row>
    <row r="298" spans="1:12" ht="50.1" customHeight="1">
      <c r="A298">
        <v>289</v>
      </c>
      <c r="B298" t="s">
        <v>4209</v>
      </c>
      <c r="C298" t="s">
        <v>4392</v>
      </c>
      <c r="D298">
        <v>202886788</v>
      </c>
      <c r="E298" t="s">
        <v>3954</v>
      </c>
      <c r="F298" t="s">
        <v>4393</v>
      </c>
      <c r="G298">
        <v>16.830000000000002</v>
      </c>
      <c r="H298" t="s">
        <v>3954</v>
      </c>
      <c r="I298" t="s">
        <v>4212</v>
      </c>
      <c r="J298">
        <f t="shared" si="12"/>
        <v>76.5</v>
      </c>
      <c r="K298">
        <v>1287.4950000000001</v>
      </c>
      <c r="L298" t="s">
        <v>4395</v>
      </c>
    </row>
    <row r="299" spans="1:12" ht="50.1" customHeight="1">
      <c r="A299">
        <v>290</v>
      </c>
      <c r="B299" t="s">
        <v>4209</v>
      </c>
      <c r="C299" t="s">
        <v>4392</v>
      </c>
      <c r="D299">
        <v>202886788</v>
      </c>
      <c r="E299" t="s">
        <v>3954</v>
      </c>
      <c r="F299" t="s">
        <v>4393</v>
      </c>
      <c r="G299">
        <v>13.896000000000001</v>
      </c>
      <c r="H299" t="s">
        <v>3954</v>
      </c>
      <c r="I299" t="s">
        <v>4212</v>
      </c>
      <c r="J299">
        <f t="shared" si="12"/>
        <v>73.497409326424858</v>
      </c>
      <c r="K299">
        <v>1021.3199999999999</v>
      </c>
      <c r="L299" t="s">
        <v>4396</v>
      </c>
    </row>
    <row r="300" spans="1:12" ht="50.1" customHeight="1">
      <c r="A300">
        <v>291</v>
      </c>
      <c r="B300" t="s">
        <v>4209</v>
      </c>
      <c r="C300" t="s">
        <v>4392</v>
      </c>
      <c r="D300">
        <v>202886788</v>
      </c>
      <c r="E300" t="s">
        <v>3954</v>
      </c>
      <c r="F300" t="s">
        <v>4393</v>
      </c>
      <c r="G300">
        <v>12.24</v>
      </c>
      <c r="H300" t="s">
        <v>3954</v>
      </c>
      <c r="I300" t="s">
        <v>4212</v>
      </c>
      <c r="J300">
        <f t="shared" si="12"/>
        <v>63.000000000000007</v>
      </c>
      <c r="K300">
        <v>771.12000000000012</v>
      </c>
      <c r="L300" t="s">
        <v>4397</v>
      </c>
    </row>
    <row r="301" spans="1:12" ht="50.1" customHeight="1">
      <c r="A301">
        <v>292</v>
      </c>
      <c r="B301" t="s">
        <v>4209</v>
      </c>
      <c r="C301" t="s">
        <v>4392</v>
      </c>
      <c r="D301">
        <v>202886788</v>
      </c>
      <c r="E301" t="s">
        <v>3954</v>
      </c>
      <c r="F301" t="s">
        <v>4393</v>
      </c>
      <c r="G301">
        <v>12.24</v>
      </c>
      <c r="H301" t="s">
        <v>3954</v>
      </c>
      <c r="I301" t="s">
        <v>4212</v>
      </c>
      <c r="J301">
        <f t="shared" si="12"/>
        <v>63.000000000000007</v>
      </c>
      <c r="K301">
        <v>771.12000000000012</v>
      </c>
      <c r="L301" t="s">
        <v>4398</v>
      </c>
    </row>
    <row r="302" spans="1:12" ht="50.1" customHeight="1">
      <c r="A302">
        <v>293</v>
      </c>
      <c r="B302" t="s">
        <v>4209</v>
      </c>
      <c r="C302" t="s">
        <v>4392</v>
      </c>
      <c r="D302">
        <v>202886788</v>
      </c>
      <c r="E302" t="s">
        <v>3954</v>
      </c>
      <c r="F302" t="s">
        <v>4393</v>
      </c>
      <c r="G302">
        <v>12.24</v>
      </c>
      <c r="H302" t="s">
        <v>3954</v>
      </c>
      <c r="I302" t="s">
        <v>4212</v>
      </c>
      <c r="J302">
        <f t="shared" si="12"/>
        <v>82.5</v>
      </c>
      <c r="K302">
        <v>1009.8000000000001</v>
      </c>
      <c r="L302" t="s">
        <v>4399</v>
      </c>
    </row>
    <row r="303" spans="1:12" ht="50.1" customHeight="1">
      <c r="A303">
        <v>294</v>
      </c>
      <c r="B303" t="s">
        <v>4209</v>
      </c>
      <c r="C303" t="s">
        <v>4392</v>
      </c>
      <c r="D303">
        <v>202886788</v>
      </c>
      <c r="E303" t="s">
        <v>3954</v>
      </c>
      <c r="F303" t="s">
        <v>4393</v>
      </c>
      <c r="G303">
        <v>25.248000000000001</v>
      </c>
      <c r="H303" t="s">
        <v>3954</v>
      </c>
      <c r="I303" t="s">
        <v>4212</v>
      </c>
      <c r="J303">
        <f t="shared" si="12"/>
        <v>112.49999999999999</v>
      </c>
      <c r="K303">
        <v>2840.3999999999996</v>
      </c>
      <c r="L303" t="s">
        <v>4399</v>
      </c>
    </row>
    <row r="304" spans="1:12" ht="50.1" customHeight="1">
      <c r="A304">
        <v>295</v>
      </c>
      <c r="B304" t="s">
        <v>4209</v>
      </c>
      <c r="C304" t="s">
        <v>4392</v>
      </c>
      <c r="D304">
        <v>202886788</v>
      </c>
      <c r="E304" t="s">
        <v>3954</v>
      </c>
      <c r="F304" t="s">
        <v>4393</v>
      </c>
      <c r="G304">
        <v>50.496000000000002</v>
      </c>
      <c r="H304" t="s">
        <v>3954</v>
      </c>
      <c r="I304" t="s">
        <v>4212</v>
      </c>
      <c r="J304">
        <f t="shared" si="12"/>
        <v>97.499999999999986</v>
      </c>
      <c r="K304">
        <v>4923.3599999999997</v>
      </c>
      <c r="L304" t="s">
        <v>4400</v>
      </c>
    </row>
    <row r="305" spans="1:12" ht="50.1" customHeight="1">
      <c r="A305">
        <v>296</v>
      </c>
      <c r="B305" t="s">
        <v>4209</v>
      </c>
      <c r="C305" t="s">
        <v>4392</v>
      </c>
      <c r="D305">
        <v>202886788</v>
      </c>
      <c r="E305" t="s">
        <v>3954</v>
      </c>
      <c r="F305" t="s">
        <v>4393</v>
      </c>
      <c r="G305">
        <v>50.496000000000002</v>
      </c>
      <c r="H305" t="s">
        <v>3954</v>
      </c>
      <c r="I305" t="s">
        <v>4212</v>
      </c>
      <c r="J305">
        <f t="shared" si="12"/>
        <v>81.000475285171106</v>
      </c>
      <c r="K305">
        <v>4090.2000000000003</v>
      </c>
      <c r="L305" t="s">
        <v>4401</v>
      </c>
    </row>
    <row r="306" spans="1:12" ht="50.1" customHeight="1">
      <c r="A306">
        <v>297</v>
      </c>
      <c r="B306" t="s">
        <v>4209</v>
      </c>
      <c r="C306" t="s">
        <v>4392</v>
      </c>
      <c r="D306">
        <v>202886788</v>
      </c>
      <c r="E306" t="s">
        <v>3954</v>
      </c>
      <c r="F306" t="s">
        <v>4393</v>
      </c>
      <c r="G306">
        <v>32</v>
      </c>
      <c r="H306" t="s">
        <v>3954</v>
      </c>
      <c r="I306" t="s">
        <v>4212</v>
      </c>
      <c r="J306">
        <f t="shared" si="12"/>
        <v>112.5</v>
      </c>
      <c r="K306">
        <v>3600</v>
      </c>
      <c r="L306" t="s">
        <v>4394</v>
      </c>
    </row>
    <row r="307" spans="1:12" ht="50.1" customHeight="1">
      <c r="A307">
        <v>298</v>
      </c>
      <c r="B307" t="s">
        <v>4209</v>
      </c>
      <c r="C307" t="s">
        <v>4392</v>
      </c>
      <c r="D307">
        <v>202886788</v>
      </c>
      <c r="E307" t="s">
        <v>3954</v>
      </c>
      <c r="F307" t="s">
        <v>4393</v>
      </c>
      <c r="G307">
        <v>32</v>
      </c>
      <c r="H307" t="s">
        <v>3954</v>
      </c>
      <c r="I307" t="s">
        <v>4212</v>
      </c>
      <c r="J307">
        <f t="shared" si="12"/>
        <v>97.5</v>
      </c>
      <c r="K307">
        <v>3120</v>
      </c>
      <c r="L307" t="s">
        <v>4402</v>
      </c>
    </row>
    <row r="308" spans="1:12" ht="50.1" customHeight="1">
      <c r="A308">
        <v>299</v>
      </c>
      <c r="B308" t="s">
        <v>4209</v>
      </c>
      <c r="C308" t="s">
        <v>4392</v>
      </c>
      <c r="D308">
        <v>202886788</v>
      </c>
      <c r="E308" t="s">
        <v>3954</v>
      </c>
      <c r="F308" t="s">
        <v>4393</v>
      </c>
      <c r="G308">
        <v>16</v>
      </c>
      <c r="H308" t="s">
        <v>3954</v>
      </c>
      <c r="I308" t="s">
        <v>4212</v>
      </c>
      <c r="J308">
        <f t="shared" si="12"/>
        <v>112.5</v>
      </c>
      <c r="K308">
        <v>1800</v>
      </c>
      <c r="L308" t="s">
        <v>4395</v>
      </c>
    </row>
    <row r="309" spans="1:12" ht="50.1" customHeight="1">
      <c r="A309">
        <v>300</v>
      </c>
      <c r="B309" t="s">
        <v>4209</v>
      </c>
      <c r="C309" t="s">
        <v>4392</v>
      </c>
      <c r="D309">
        <v>202886788</v>
      </c>
      <c r="E309" t="s">
        <v>3954</v>
      </c>
      <c r="F309" t="s">
        <v>4393</v>
      </c>
      <c r="G309">
        <v>16</v>
      </c>
      <c r="H309" t="s">
        <v>3954</v>
      </c>
      <c r="I309" t="s">
        <v>4212</v>
      </c>
      <c r="J309">
        <f t="shared" si="12"/>
        <v>112.5</v>
      </c>
      <c r="K309">
        <v>1800</v>
      </c>
      <c r="L309" t="s">
        <v>4396</v>
      </c>
    </row>
    <row r="310" spans="1:12" ht="50.1" customHeight="1">
      <c r="A310">
        <v>301</v>
      </c>
      <c r="B310" t="s">
        <v>4209</v>
      </c>
      <c r="C310" t="s">
        <v>4392</v>
      </c>
      <c r="D310">
        <v>202886788</v>
      </c>
      <c r="E310" t="s">
        <v>3954</v>
      </c>
      <c r="F310" t="s">
        <v>4393</v>
      </c>
      <c r="G310">
        <v>50.496000000000002</v>
      </c>
      <c r="H310" t="s">
        <v>3954</v>
      </c>
      <c r="I310" t="s">
        <v>4212</v>
      </c>
      <c r="J310">
        <f t="shared" si="12"/>
        <v>112.49999999999999</v>
      </c>
      <c r="K310">
        <v>5680.7999999999993</v>
      </c>
      <c r="L310" t="s">
        <v>4403</v>
      </c>
    </row>
    <row r="311" spans="1:12" ht="50.1" customHeight="1">
      <c r="A311">
        <v>302</v>
      </c>
      <c r="B311" t="s">
        <v>4209</v>
      </c>
      <c r="C311" t="s">
        <v>4392</v>
      </c>
      <c r="D311">
        <v>202886788</v>
      </c>
      <c r="E311" t="s">
        <v>3954</v>
      </c>
      <c r="F311" t="s">
        <v>4393</v>
      </c>
      <c r="G311">
        <v>50.496000000000002</v>
      </c>
      <c r="H311" t="s">
        <v>3954</v>
      </c>
      <c r="I311" t="s">
        <v>4212</v>
      </c>
      <c r="J311">
        <f t="shared" si="12"/>
        <v>112.49999999999999</v>
      </c>
      <c r="K311">
        <v>5680.7999999999993</v>
      </c>
      <c r="L311" t="s">
        <v>4404</v>
      </c>
    </row>
    <row r="312" spans="1:12" ht="50.1" customHeight="1">
      <c r="A312">
        <v>303</v>
      </c>
      <c r="B312" t="s">
        <v>4209</v>
      </c>
      <c r="C312" t="s">
        <v>4392</v>
      </c>
      <c r="D312">
        <v>202886788</v>
      </c>
      <c r="E312" t="s">
        <v>3954</v>
      </c>
      <c r="F312" t="s">
        <v>4393</v>
      </c>
      <c r="G312">
        <v>50.496000000000002</v>
      </c>
      <c r="H312" t="s">
        <v>3954</v>
      </c>
      <c r="I312" t="s">
        <v>4212</v>
      </c>
      <c r="J312">
        <f t="shared" si="12"/>
        <v>112.49999999999999</v>
      </c>
      <c r="K312">
        <v>5680.7999999999993</v>
      </c>
      <c r="L312" t="s">
        <v>4405</v>
      </c>
    </row>
    <row r="313" spans="1:12" ht="50.1" customHeight="1">
      <c r="A313">
        <v>304</v>
      </c>
      <c r="B313" t="s">
        <v>4209</v>
      </c>
      <c r="C313" t="s">
        <v>4392</v>
      </c>
      <c r="D313">
        <v>202886788</v>
      </c>
      <c r="E313" t="s">
        <v>3954</v>
      </c>
      <c r="F313" t="s">
        <v>4393</v>
      </c>
      <c r="G313">
        <v>19.5</v>
      </c>
      <c r="H313" t="s">
        <v>3954</v>
      </c>
      <c r="I313" t="s">
        <v>4212</v>
      </c>
      <c r="J313">
        <f t="shared" si="12"/>
        <v>112.5</v>
      </c>
      <c r="K313">
        <v>2193.75</v>
      </c>
      <c r="L313" t="s">
        <v>4406</v>
      </c>
    </row>
    <row r="314" spans="1:12" ht="50.1" customHeight="1">
      <c r="A314">
        <v>305</v>
      </c>
      <c r="B314" t="s">
        <v>4209</v>
      </c>
      <c r="C314" t="s">
        <v>4392</v>
      </c>
      <c r="D314">
        <v>202886788</v>
      </c>
      <c r="E314" t="s">
        <v>3954</v>
      </c>
      <c r="F314" t="s">
        <v>4393</v>
      </c>
      <c r="G314">
        <v>53.8</v>
      </c>
      <c r="H314" t="s">
        <v>3954</v>
      </c>
      <c r="I314" t="s">
        <v>4212</v>
      </c>
      <c r="J314">
        <f t="shared" si="12"/>
        <v>97.5</v>
      </c>
      <c r="K314">
        <v>5245.5</v>
      </c>
      <c r="L314" t="s">
        <v>4407</v>
      </c>
    </row>
    <row r="315" spans="1:12" ht="50.1" customHeight="1">
      <c r="A315">
        <v>306</v>
      </c>
      <c r="B315" t="s">
        <v>4209</v>
      </c>
      <c r="C315" t="s">
        <v>4392</v>
      </c>
      <c r="D315">
        <v>202886788</v>
      </c>
      <c r="E315" t="s">
        <v>3954</v>
      </c>
      <c r="F315" t="s">
        <v>4393</v>
      </c>
      <c r="G315">
        <v>50.496000000000002</v>
      </c>
      <c r="H315" t="s">
        <v>3954</v>
      </c>
      <c r="I315" t="s">
        <v>4212</v>
      </c>
      <c r="J315">
        <f t="shared" si="12"/>
        <v>81.000475285171106</v>
      </c>
      <c r="K315">
        <v>4090.2000000000003</v>
      </c>
      <c r="L315" t="s">
        <v>4408</v>
      </c>
    </row>
    <row r="316" spans="1:12" ht="50.1" customHeight="1">
      <c r="A316">
        <v>307</v>
      </c>
      <c r="B316" t="s">
        <v>4209</v>
      </c>
      <c r="C316" t="s">
        <v>4392</v>
      </c>
      <c r="D316">
        <v>202886788</v>
      </c>
      <c r="E316" t="s">
        <v>3954</v>
      </c>
      <c r="F316" t="s">
        <v>4393</v>
      </c>
      <c r="G316">
        <v>50.496000000000002</v>
      </c>
      <c r="H316" t="s">
        <v>3954</v>
      </c>
      <c r="I316" t="s">
        <v>4212</v>
      </c>
      <c r="J316">
        <f t="shared" si="12"/>
        <v>81.000475285171106</v>
      </c>
      <c r="K316">
        <v>4090.2000000000003</v>
      </c>
      <c r="L316" t="s">
        <v>4409</v>
      </c>
    </row>
    <row r="317" spans="1:12" ht="50.1" customHeight="1">
      <c r="A317">
        <v>308</v>
      </c>
      <c r="B317" t="s">
        <v>4209</v>
      </c>
      <c r="C317" t="s">
        <v>4392</v>
      </c>
      <c r="D317">
        <v>202886788</v>
      </c>
      <c r="E317" t="s">
        <v>3954</v>
      </c>
      <c r="F317" t="s">
        <v>4393</v>
      </c>
      <c r="G317">
        <v>32</v>
      </c>
      <c r="H317" t="s">
        <v>3954</v>
      </c>
      <c r="I317" t="s">
        <v>4212</v>
      </c>
      <c r="J317">
        <f t="shared" si="12"/>
        <v>81</v>
      </c>
      <c r="K317">
        <v>2592</v>
      </c>
      <c r="L317" t="s">
        <v>4410</v>
      </c>
    </row>
    <row r="318" spans="1:12" ht="50.1" customHeight="1">
      <c r="A318">
        <v>309</v>
      </c>
      <c r="B318" t="s">
        <v>4209</v>
      </c>
      <c r="C318" t="s">
        <v>4392</v>
      </c>
      <c r="D318">
        <v>202886788</v>
      </c>
      <c r="E318" t="s">
        <v>3954</v>
      </c>
      <c r="F318" t="s">
        <v>4393</v>
      </c>
      <c r="G318">
        <v>50.496000000000002</v>
      </c>
      <c r="H318" t="s">
        <v>3954</v>
      </c>
      <c r="I318" t="s">
        <v>4212</v>
      </c>
      <c r="J318">
        <f t="shared" si="12"/>
        <v>64.499762357414454</v>
      </c>
      <c r="K318">
        <v>3256.9800000000005</v>
      </c>
      <c r="L318" t="s">
        <v>4411</v>
      </c>
    </row>
    <row r="319" spans="1:12" ht="50.1" customHeight="1">
      <c r="A319">
        <v>310</v>
      </c>
      <c r="B319" t="s">
        <v>4209</v>
      </c>
      <c r="C319" t="s">
        <v>4392</v>
      </c>
      <c r="D319">
        <v>202886788</v>
      </c>
      <c r="E319" t="s">
        <v>3954</v>
      </c>
      <c r="F319" t="s">
        <v>4393</v>
      </c>
      <c r="G319">
        <v>50.496000000000002</v>
      </c>
      <c r="H319" t="s">
        <v>3954</v>
      </c>
      <c r="I319" t="s">
        <v>4212</v>
      </c>
      <c r="J319">
        <f t="shared" si="12"/>
        <v>64.499762357414454</v>
      </c>
      <c r="K319">
        <v>3256.9800000000005</v>
      </c>
      <c r="L319" t="s">
        <v>3881</v>
      </c>
    </row>
    <row r="320" spans="1:12" ht="50.1" customHeight="1">
      <c r="A320">
        <v>311</v>
      </c>
      <c r="B320" t="s">
        <v>4209</v>
      </c>
      <c r="C320" t="s">
        <v>4392</v>
      </c>
      <c r="D320">
        <v>202886788</v>
      </c>
      <c r="E320" t="s">
        <v>3954</v>
      </c>
      <c r="F320" t="s">
        <v>4393</v>
      </c>
      <c r="G320">
        <v>50.496000000000002</v>
      </c>
      <c r="H320" t="s">
        <v>3954</v>
      </c>
      <c r="I320" t="s">
        <v>4212</v>
      </c>
      <c r="J320">
        <f t="shared" si="12"/>
        <v>64.499762357414454</v>
      </c>
      <c r="K320">
        <v>3256.9800000000005</v>
      </c>
      <c r="L320" t="s">
        <v>4412</v>
      </c>
    </row>
    <row r="321" spans="1:12" ht="50.1" customHeight="1">
      <c r="A321">
        <v>312</v>
      </c>
      <c r="B321" t="s">
        <v>4209</v>
      </c>
      <c r="C321" t="s">
        <v>4392</v>
      </c>
      <c r="D321">
        <v>202886788</v>
      </c>
      <c r="E321" t="s">
        <v>3954</v>
      </c>
      <c r="F321" t="s">
        <v>4393</v>
      </c>
      <c r="G321">
        <v>25.248000000000001</v>
      </c>
      <c r="H321" t="s">
        <v>3954</v>
      </c>
      <c r="I321" t="s">
        <v>4212</v>
      </c>
      <c r="J321">
        <f t="shared" si="12"/>
        <v>64.499762357414454</v>
      </c>
      <c r="K321">
        <v>1628.4900000000002</v>
      </c>
      <c r="L321" t="s">
        <v>4413</v>
      </c>
    </row>
    <row r="322" spans="1:12" ht="50.1" customHeight="1">
      <c r="A322">
        <v>313</v>
      </c>
      <c r="B322" t="s">
        <v>4252</v>
      </c>
      <c r="C322" t="s">
        <v>4392</v>
      </c>
      <c r="D322">
        <v>202886788</v>
      </c>
      <c r="E322" t="s">
        <v>3954</v>
      </c>
      <c r="F322" t="s">
        <v>4393</v>
      </c>
      <c r="G322">
        <v>29.576000000000001</v>
      </c>
      <c r="H322" t="s">
        <v>3954</v>
      </c>
      <c r="I322" t="s">
        <v>4212</v>
      </c>
      <c r="J322">
        <f t="shared" si="12"/>
        <v>82.5</v>
      </c>
      <c r="K322">
        <v>2440.02</v>
      </c>
      <c r="L322" t="s">
        <v>4414</v>
      </c>
    </row>
    <row r="323" spans="1:12" ht="50.1" customHeight="1">
      <c r="A323">
        <v>314</v>
      </c>
      <c r="B323" t="s">
        <v>4252</v>
      </c>
      <c r="C323" t="s">
        <v>4392</v>
      </c>
      <c r="D323">
        <v>202886788</v>
      </c>
      <c r="E323" t="s">
        <v>3954</v>
      </c>
      <c r="F323" t="s">
        <v>4393</v>
      </c>
      <c r="G323">
        <v>73.94</v>
      </c>
      <c r="H323" t="s">
        <v>3954</v>
      </c>
      <c r="I323" t="s">
        <v>4212</v>
      </c>
      <c r="J323">
        <f t="shared" si="12"/>
        <v>82.499999999999986</v>
      </c>
      <c r="K323">
        <v>6100.0499999999993</v>
      </c>
      <c r="L323" t="s">
        <v>4415</v>
      </c>
    </row>
    <row r="324" spans="1:12" ht="50.1" customHeight="1">
      <c r="A324">
        <v>315</v>
      </c>
      <c r="B324" t="s">
        <v>4252</v>
      </c>
      <c r="C324" t="s">
        <v>4392</v>
      </c>
      <c r="D324">
        <v>202886788</v>
      </c>
      <c r="E324" t="s">
        <v>3954</v>
      </c>
      <c r="F324" t="s">
        <v>4393</v>
      </c>
      <c r="G324">
        <v>29.576000000000001</v>
      </c>
      <c r="H324" t="s">
        <v>3954</v>
      </c>
      <c r="I324" t="s">
        <v>4212</v>
      </c>
      <c r="J324">
        <f t="shared" si="12"/>
        <v>82.5</v>
      </c>
      <c r="K324">
        <v>2440.02</v>
      </c>
      <c r="L324" t="s">
        <v>4416</v>
      </c>
    </row>
    <row r="325" spans="1:12" ht="50.1" customHeight="1">
      <c r="A325">
        <v>316</v>
      </c>
      <c r="B325" t="s">
        <v>4252</v>
      </c>
      <c r="C325" t="s">
        <v>4392</v>
      </c>
      <c r="D325">
        <v>202886788</v>
      </c>
      <c r="E325" t="s">
        <v>3954</v>
      </c>
      <c r="F325" t="s">
        <v>4393</v>
      </c>
      <c r="G325">
        <v>14.788</v>
      </c>
      <c r="H325" t="s">
        <v>3954</v>
      </c>
      <c r="I325" t="s">
        <v>4212</v>
      </c>
      <c r="J325">
        <f t="shared" si="12"/>
        <v>82.5</v>
      </c>
      <c r="K325">
        <v>1220.01</v>
      </c>
      <c r="L325" t="s">
        <v>4417</v>
      </c>
    </row>
    <row r="326" spans="1:12" ht="50.1" customHeight="1">
      <c r="A326">
        <v>317</v>
      </c>
      <c r="B326" t="s">
        <v>4252</v>
      </c>
      <c r="C326" t="s">
        <v>4392</v>
      </c>
      <c r="D326">
        <v>202886788</v>
      </c>
      <c r="E326" t="s">
        <v>3954</v>
      </c>
      <c r="F326" t="s">
        <v>4393</v>
      </c>
      <c r="G326">
        <v>14.788</v>
      </c>
      <c r="H326" t="s">
        <v>3954</v>
      </c>
      <c r="I326" t="s">
        <v>4212</v>
      </c>
      <c r="J326">
        <f t="shared" si="12"/>
        <v>82.5</v>
      </c>
      <c r="K326">
        <v>1220.01</v>
      </c>
      <c r="L326" t="s">
        <v>4418</v>
      </c>
    </row>
    <row r="327" spans="1:12" ht="50.1" customHeight="1">
      <c r="A327">
        <v>318</v>
      </c>
      <c r="B327" t="s">
        <v>4252</v>
      </c>
      <c r="C327" t="s">
        <v>4392</v>
      </c>
      <c r="D327">
        <v>202886788</v>
      </c>
      <c r="E327" t="s">
        <v>3954</v>
      </c>
      <c r="F327" t="s">
        <v>4393</v>
      </c>
      <c r="G327">
        <v>36.97</v>
      </c>
      <c r="H327" t="s">
        <v>3954</v>
      </c>
      <c r="I327" t="s">
        <v>4212</v>
      </c>
      <c r="J327">
        <f t="shared" si="12"/>
        <v>82.499999999999986</v>
      </c>
      <c r="K327">
        <v>3050.0249999999996</v>
      </c>
      <c r="L327" t="s">
        <v>4419</v>
      </c>
    </row>
    <row r="328" spans="1:12" ht="50.1" customHeight="1">
      <c r="A328">
        <v>319</v>
      </c>
      <c r="B328" t="s">
        <v>4252</v>
      </c>
      <c r="C328" t="s">
        <v>4392</v>
      </c>
      <c r="D328">
        <v>202886788</v>
      </c>
      <c r="E328" t="s">
        <v>3954</v>
      </c>
      <c r="F328" t="s">
        <v>4393</v>
      </c>
      <c r="G328">
        <v>14.788</v>
      </c>
      <c r="H328" t="s">
        <v>3954</v>
      </c>
      <c r="I328" t="s">
        <v>4212</v>
      </c>
      <c r="J328">
        <f t="shared" si="12"/>
        <v>82.5</v>
      </c>
      <c r="K328">
        <v>1220.01</v>
      </c>
      <c r="L328" t="s">
        <v>4420</v>
      </c>
    </row>
    <row r="329" spans="1:12" ht="50.1" customHeight="1">
      <c r="A329">
        <v>320</v>
      </c>
      <c r="B329" t="s">
        <v>4252</v>
      </c>
      <c r="C329" t="s">
        <v>4392</v>
      </c>
      <c r="D329">
        <v>202886788</v>
      </c>
      <c r="E329" t="s">
        <v>3954</v>
      </c>
      <c r="F329" t="s">
        <v>4393</v>
      </c>
      <c r="G329">
        <v>47.1</v>
      </c>
      <c r="H329" t="s">
        <v>3954</v>
      </c>
      <c r="I329" t="s">
        <v>4212</v>
      </c>
      <c r="J329">
        <f t="shared" si="12"/>
        <v>82.5</v>
      </c>
      <c r="K329">
        <v>3885.75</v>
      </c>
      <c r="L329" t="s">
        <v>4421</v>
      </c>
    </row>
    <row r="330" spans="1:12" ht="50.1" customHeight="1">
      <c r="A330">
        <v>321</v>
      </c>
      <c r="B330" t="s">
        <v>4252</v>
      </c>
      <c r="C330" t="s">
        <v>4392</v>
      </c>
      <c r="D330">
        <v>202886788</v>
      </c>
      <c r="E330" t="s">
        <v>3954</v>
      </c>
      <c r="F330" t="s">
        <v>4393</v>
      </c>
      <c r="G330">
        <v>14.788</v>
      </c>
      <c r="H330" t="s">
        <v>3954</v>
      </c>
      <c r="I330" t="s">
        <v>4212</v>
      </c>
      <c r="J330">
        <f t="shared" si="12"/>
        <v>82.5</v>
      </c>
      <c r="K330">
        <v>1220.01</v>
      </c>
      <c r="L330" t="s">
        <v>4422</v>
      </c>
    </row>
    <row r="331" spans="1:12" ht="50.1" customHeight="1">
      <c r="A331">
        <v>322</v>
      </c>
      <c r="B331" t="s">
        <v>4252</v>
      </c>
      <c r="C331" t="s">
        <v>4392</v>
      </c>
      <c r="D331">
        <v>202886788</v>
      </c>
      <c r="E331" t="s">
        <v>3954</v>
      </c>
      <c r="F331" t="s">
        <v>4393</v>
      </c>
      <c r="G331">
        <v>36.97</v>
      </c>
      <c r="H331" t="s">
        <v>3954</v>
      </c>
      <c r="I331" t="s">
        <v>4212</v>
      </c>
      <c r="J331">
        <f t="shared" si="12"/>
        <v>82.499999999999986</v>
      </c>
      <c r="K331">
        <v>3050.0249999999996</v>
      </c>
      <c r="L331" t="s">
        <v>4423</v>
      </c>
    </row>
    <row r="332" spans="1:12" ht="50.1" customHeight="1">
      <c r="A332">
        <v>323</v>
      </c>
      <c r="B332" t="s">
        <v>4252</v>
      </c>
      <c r="C332" t="s">
        <v>4392</v>
      </c>
      <c r="D332">
        <v>202886788</v>
      </c>
      <c r="E332" t="s">
        <v>3954</v>
      </c>
      <c r="F332" t="s">
        <v>4393</v>
      </c>
      <c r="G332">
        <v>14.788</v>
      </c>
      <c r="H332" t="s">
        <v>3954</v>
      </c>
      <c r="I332" t="s">
        <v>4212</v>
      </c>
      <c r="J332">
        <f t="shared" si="12"/>
        <v>82.5</v>
      </c>
      <c r="K332">
        <v>1220.01</v>
      </c>
      <c r="L332" t="s">
        <v>4424</v>
      </c>
    </row>
    <row r="333" spans="1:12" ht="50.1" customHeight="1">
      <c r="A333">
        <v>324</v>
      </c>
      <c r="B333" t="s">
        <v>4252</v>
      </c>
      <c r="C333" t="s">
        <v>4392</v>
      </c>
      <c r="D333">
        <v>202886788</v>
      </c>
      <c r="E333" t="s">
        <v>3954</v>
      </c>
      <c r="F333" t="s">
        <v>4393</v>
      </c>
      <c r="G333">
        <v>70.650000000000006</v>
      </c>
      <c r="H333" t="s">
        <v>3954</v>
      </c>
      <c r="I333" t="s">
        <v>4212</v>
      </c>
      <c r="J333">
        <f t="shared" si="12"/>
        <v>82.5</v>
      </c>
      <c r="K333">
        <v>5828.6250000000009</v>
      </c>
      <c r="L333" t="s">
        <v>4425</v>
      </c>
    </row>
    <row r="334" spans="1:12" ht="50.1" customHeight="1">
      <c r="A334">
        <v>325</v>
      </c>
      <c r="B334" t="s">
        <v>4252</v>
      </c>
      <c r="C334" t="s">
        <v>4392</v>
      </c>
      <c r="D334">
        <v>202886788</v>
      </c>
      <c r="E334" t="s">
        <v>3954</v>
      </c>
      <c r="F334" t="s">
        <v>4393</v>
      </c>
      <c r="G334">
        <v>14.788</v>
      </c>
      <c r="H334" t="s">
        <v>3954</v>
      </c>
      <c r="I334" t="s">
        <v>4212</v>
      </c>
      <c r="J334">
        <f t="shared" si="12"/>
        <v>82.5</v>
      </c>
      <c r="K334">
        <v>1220.01</v>
      </c>
      <c r="L334" t="s">
        <v>4426</v>
      </c>
    </row>
    <row r="335" spans="1:12" ht="50.1" customHeight="1">
      <c r="A335">
        <v>326</v>
      </c>
      <c r="B335" t="s">
        <v>4252</v>
      </c>
      <c r="C335" t="s">
        <v>4392</v>
      </c>
      <c r="D335">
        <v>202886788</v>
      </c>
      <c r="E335" t="s">
        <v>3954</v>
      </c>
      <c r="F335" t="s">
        <v>4393</v>
      </c>
      <c r="G335">
        <v>44.364000000000004</v>
      </c>
      <c r="H335" t="s">
        <v>3954</v>
      </c>
      <c r="I335" t="s">
        <v>4212</v>
      </c>
      <c r="J335">
        <f t="shared" si="12"/>
        <v>82.5</v>
      </c>
      <c r="K335">
        <v>3660.0300000000007</v>
      </c>
      <c r="L335" t="s">
        <v>4427</v>
      </c>
    </row>
    <row r="336" spans="1:12" ht="50.1" customHeight="1">
      <c r="A336">
        <v>327</v>
      </c>
      <c r="B336" t="s">
        <v>4252</v>
      </c>
      <c r="C336" t="s">
        <v>4392</v>
      </c>
      <c r="D336">
        <v>202886788</v>
      </c>
      <c r="E336" t="s">
        <v>3954</v>
      </c>
      <c r="F336" t="s">
        <v>4393</v>
      </c>
      <c r="G336">
        <v>14.788</v>
      </c>
      <c r="H336" t="s">
        <v>3954</v>
      </c>
      <c r="I336" t="s">
        <v>4212</v>
      </c>
      <c r="J336">
        <f t="shared" si="12"/>
        <v>82.5</v>
      </c>
      <c r="K336">
        <v>1220.01</v>
      </c>
      <c r="L336" t="s">
        <v>4428</v>
      </c>
    </row>
    <row r="337" spans="1:12" ht="50.1" customHeight="1">
      <c r="A337">
        <v>328</v>
      </c>
      <c r="B337" t="s">
        <v>4252</v>
      </c>
      <c r="C337" t="s">
        <v>4392</v>
      </c>
      <c r="D337">
        <v>202886788</v>
      </c>
      <c r="E337" t="s">
        <v>3954</v>
      </c>
      <c r="F337" t="s">
        <v>4393</v>
      </c>
      <c r="G337">
        <v>36.97</v>
      </c>
      <c r="H337" t="s">
        <v>3954</v>
      </c>
      <c r="I337" t="s">
        <v>4212</v>
      </c>
      <c r="J337">
        <f t="shared" si="12"/>
        <v>82.499999999999986</v>
      </c>
      <c r="K337">
        <v>3050.0249999999996</v>
      </c>
      <c r="L337" t="s">
        <v>4429</v>
      </c>
    </row>
    <row r="338" spans="1:12" ht="50.1" customHeight="1">
      <c r="A338">
        <v>329</v>
      </c>
      <c r="B338" t="s">
        <v>4252</v>
      </c>
      <c r="C338" t="s">
        <v>4392</v>
      </c>
      <c r="D338">
        <v>202886788</v>
      </c>
      <c r="E338" t="s">
        <v>3954</v>
      </c>
      <c r="F338" t="s">
        <v>4393</v>
      </c>
      <c r="G338">
        <v>44.364000000000004</v>
      </c>
      <c r="H338" t="s">
        <v>3954</v>
      </c>
      <c r="I338" t="s">
        <v>4212</v>
      </c>
      <c r="J338">
        <f t="shared" si="12"/>
        <v>82.5</v>
      </c>
      <c r="K338">
        <v>3660.0300000000007</v>
      </c>
      <c r="L338" t="s">
        <v>4430</v>
      </c>
    </row>
    <row r="339" spans="1:12" ht="50.1" customHeight="1">
      <c r="A339">
        <v>330</v>
      </c>
      <c r="B339" t="s">
        <v>4252</v>
      </c>
      <c r="C339" t="s">
        <v>4392</v>
      </c>
      <c r="D339">
        <v>202886788</v>
      </c>
      <c r="E339" t="s">
        <v>3954</v>
      </c>
      <c r="F339" t="s">
        <v>4393</v>
      </c>
      <c r="G339">
        <v>70.650000000000006</v>
      </c>
      <c r="H339" t="s">
        <v>3954</v>
      </c>
      <c r="I339" t="s">
        <v>4212</v>
      </c>
      <c r="J339">
        <f t="shared" si="12"/>
        <v>82.5</v>
      </c>
      <c r="K339">
        <v>5828.6250000000009</v>
      </c>
      <c r="L339" t="s">
        <v>4431</v>
      </c>
    </row>
    <row r="340" spans="1:12" ht="50.1" customHeight="1">
      <c r="A340">
        <v>331</v>
      </c>
      <c r="B340" t="s">
        <v>4252</v>
      </c>
      <c r="C340" t="s">
        <v>4392</v>
      </c>
      <c r="D340">
        <v>202886788</v>
      </c>
      <c r="E340" t="s">
        <v>3954</v>
      </c>
      <c r="F340" t="s">
        <v>4393</v>
      </c>
      <c r="G340">
        <v>58.875</v>
      </c>
      <c r="H340" t="s">
        <v>3954</v>
      </c>
      <c r="I340" t="s">
        <v>4212</v>
      </c>
      <c r="J340">
        <f t="shared" si="12"/>
        <v>82.5</v>
      </c>
      <c r="K340">
        <v>4857.1875</v>
      </c>
      <c r="L340" t="s">
        <v>4432</v>
      </c>
    </row>
    <row r="341" spans="1:12" ht="50.1" customHeight="1">
      <c r="A341">
        <v>332</v>
      </c>
      <c r="B341" t="s">
        <v>4252</v>
      </c>
      <c r="C341" t="s">
        <v>4392</v>
      </c>
      <c r="D341">
        <v>202886788</v>
      </c>
      <c r="E341" t="s">
        <v>3954</v>
      </c>
      <c r="F341" t="s">
        <v>4393</v>
      </c>
      <c r="G341">
        <v>58.875</v>
      </c>
      <c r="H341" t="s">
        <v>3954</v>
      </c>
      <c r="I341" t="s">
        <v>4212</v>
      </c>
      <c r="J341">
        <f t="shared" si="12"/>
        <v>82.5</v>
      </c>
      <c r="K341">
        <v>4857.1875</v>
      </c>
      <c r="L341" t="s">
        <v>4433</v>
      </c>
    </row>
    <row r="342" spans="1:12" ht="50.1" customHeight="1">
      <c r="A342">
        <v>333</v>
      </c>
      <c r="B342" t="s">
        <v>4252</v>
      </c>
      <c r="C342" t="s">
        <v>4392</v>
      </c>
      <c r="D342">
        <v>202886788</v>
      </c>
      <c r="E342" t="s">
        <v>3954</v>
      </c>
      <c r="F342" t="s">
        <v>4393</v>
      </c>
      <c r="G342">
        <v>51.758000000000003</v>
      </c>
      <c r="H342" t="s">
        <v>3954</v>
      </c>
      <c r="I342" t="s">
        <v>4212</v>
      </c>
      <c r="J342">
        <f t="shared" si="12"/>
        <v>82.5</v>
      </c>
      <c r="K342">
        <v>4270.0349999999999</v>
      </c>
      <c r="L342" t="s">
        <v>4434</v>
      </c>
    </row>
    <row r="343" spans="1:12" ht="50.1" customHeight="1">
      <c r="A343">
        <v>334</v>
      </c>
      <c r="B343" t="s">
        <v>4252</v>
      </c>
      <c r="C343" t="s">
        <v>4392</v>
      </c>
      <c r="D343">
        <v>202886788</v>
      </c>
      <c r="E343" t="s">
        <v>3954</v>
      </c>
      <c r="F343" t="s">
        <v>4393</v>
      </c>
      <c r="G343">
        <v>14.788</v>
      </c>
      <c r="H343" t="s">
        <v>3954</v>
      </c>
      <c r="I343" t="s">
        <v>4212</v>
      </c>
      <c r="J343">
        <f t="shared" si="12"/>
        <v>82.5</v>
      </c>
      <c r="K343">
        <v>1220.01</v>
      </c>
      <c r="L343" t="s">
        <v>4435</v>
      </c>
    </row>
    <row r="344" spans="1:12" ht="50.1" customHeight="1">
      <c r="A344">
        <v>335</v>
      </c>
      <c r="B344" t="s">
        <v>4252</v>
      </c>
      <c r="C344" t="s">
        <v>4392</v>
      </c>
      <c r="D344">
        <v>202886788</v>
      </c>
      <c r="E344" t="s">
        <v>3954</v>
      </c>
      <c r="F344" t="s">
        <v>4393</v>
      </c>
      <c r="G344">
        <v>58.875</v>
      </c>
      <c r="H344" t="s">
        <v>3954</v>
      </c>
      <c r="I344" t="s">
        <v>4212</v>
      </c>
      <c r="J344">
        <f t="shared" si="12"/>
        <v>82.5</v>
      </c>
      <c r="K344">
        <v>4857.1875</v>
      </c>
      <c r="L344" t="s">
        <v>4436</v>
      </c>
    </row>
    <row r="345" spans="1:12" ht="50.1" customHeight="1">
      <c r="A345">
        <v>336</v>
      </c>
      <c r="B345" t="s">
        <v>4252</v>
      </c>
      <c r="C345" t="s">
        <v>4392</v>
      </c>
      <c r="D345">
        <v>202886788</v>
      </c>
      <c r="E345" t="s">
        <v>3954</v>
      </c>
      <c r="F345" t="s">
        <v>4393</v>
      </c>
      <c r="G345">
        <v>66.546000000000006</v>
      </c>
      <c r="H345" t="s">
        <v>3954</v>
      </c>
      <c r="I345" t="s">
        <v>4212</v>
      </c>
      <c r="J345">
        <f t="shared" si="12"/>
        <v>82.5</v>
      </c>
      <c r="K345">
        <v>5490.0450000000001</v>
      </c>
      <c r="L345" t="s">
        <v>4437</v>
      </c>
    </row>
    <row r="346" spans="1:12" ht="50.1" customHeight="1">
      <c r="A346">
        <v>337</v>
      </c>
      <c r="B346" t="s">
        <v>4252</v>
      </c>
      <c r="C346" t="s">
        <v>4392</v>
      </c>
      <c r="D346">
        <v>202886788</v>
      </c>
      <c r="E346" t="s">
        <v>3954</v>
      </c>
      <c r="F346" t="s">
        <v>4393</v>
      </c>
      <c r="G346">
        <v>44.364000000000004</v>
      </c>
      <c r="H346" t="s">
        <v>3954</v>
      </c>
      <c r="I346" t="s">
        <v>4212</v>
      </c>
      <c r="J346">
        <f t="shared" si="12"/>
        <v>82.5</v>
      </c>
      <c r="K346">
        <v>3660.0300000000007</v>
      </c>
      <c r="L346" t="s">
        <v>4438</v>
      </c>
    </row>
    <row r="347" spans="1:12" ht="50.1" customHeight="1">
      <c r="A347">
        <v>338</v>
      </c>
      <c r="B347" t="s">
        <v>4252</v>
      </c>
      <c r="C347" t="s">
        <v>4392</v>
      </c>
      <c r="D347">
        <v>202886788</v>
      </c>
      <c r="E347" t="s">
        <v>3954</v>
      </c>
      <c r="F347" t="s">
        <v>4393</v>
      </c>
      <c r="G347">
        <v>29.576000000000001</v>
      </c>
      <c r="H347" t="s">
        <v>3954</v>
      </c>
      <c r="I347" t="s">
        <v>4212</v>
      </c>
      <c r="J347">
        <f t="shared" si="12"/>
        <v>82.5</v>
      </c>
      <c r="K347">
        <v>2440.02</v>
      </c>
      <c r="L347" t="s">
        <v>4439</v>
      </c>
    </row>
    <row r="348" spans="1:12" ht="50.1" customHeight="1">
      <c r="A348">
        <v>339</v>
      </c>
      <c r="B348" t="s">
        <v>4252</v>
      </c>
      <c r="C348" t="s">
        <v>4392</v>
      </c>
      <c r="D348">
        <v>202886788</v>
      </c>
      <c r="E348" t="s">
        <v>3954</v>
      </c>
      <c r="F348" t="s">
        <v>4393</v>
      </c>
      <c r="G348">
        <v>14.788</v>
      </c>
      <c r="H348" t="s">
        <v>3954</v>
      </c>
      <c r="I348" t="s">
        <v>4212</v>
      </c>
      <c r="J348">
        <f t="shared" si="12"/>
        <v>82.5</v>
      </c>
      <c r="K348">
        <v>1220.01</v>
      </c>
      <c r="L348" t="s">
        <v>4440</v>
      </c>
    </row>
    <row r="349" spans="1:12" ht="50.1" customHeight="1">
      <c r="A349">
        <v>340</v>
      </c>
      <c r="B349" t="s">
        <v>4252</v>
      </c>
      <c r="C349" t="s">
        <v>4392</v>
      </c>
      <c r="D349">
        <v>202886788</v>
      </c>
      <c r="E349" t="s">
        <v>3954</v>
      </c>
      <c r="F349" t="s">
        <v>4393</v>
      </c>
      <c r="G349">
        <v>14.788</v>
      </c>
      <c r="H349" t="s">
        <v>3954</v>
      </c>
      <c r="I349" t="s">
        <v>4212</v>
      </c>
      <c r="J349">
        <f t="shared" si="12"/>
        <v>82.5</v>
      </c>
      <c r="K349">
        <v>1220.01</v>
      </c>
      <c r="L349" t="s">
        <v>4441</v>
      </c>
    </row>
    <row r="350" spans="1:12" ht="50.1" customHeight="1">
      <c r="A350">
        <v>341</v>
      </c>
      <c r="B350" t="s">
        <v>4252</v>
      </c>
      <c r="C350" t="s">
        <v>4392</v>
      </c>
      <c r="D350">
        <v>202886788</v>
      </c>
      <c r="E350" t="s">
        <v>3954</v>
      </c>
      <c r="F350" t="s">
        <v>4393</v>
      </c>
      <c r="G350">
        <v>36.97</v>
      </c>
      <c r="H350" t="s">
        <v>3954</v>
      </c>
      <c r="I350" t="s">
        <v>4212</v>
      </c>
      <c r="J350">
        <f t="shared" si="12"/>
        <v>82.499999999999986</v>
      </c>
      <c r="K350">
        <v>3050.0249999999996</v>
      </c>
      <c r="L350" t="s">
        <v>4442</v>
      </c>
    </row>
    <row r="351" spans="1:12" ht="50.1" customHeight="1">
      <c r="A351">
        <v>342</v>
      </c>
      <c r="B351" t="s">
        <v>4252</v>
      </c>
      <c r="C351" t="s">
        <v>4392</v>
      </c>
      <c r="D351">
        <v>202886788</v>
      </c>
      <c r="E351" t="s">
        <v>3954</v>
      </c>
      <c r="F351" t="s">
        <v>4393</v>
      </c>
      <c r="G351">
        <v>36.97</v>
      </c>
      <c r="H351" t="s">
        <v>3954</v>
      </c>
      <c r="I351" t="s">
        <v>4212</v>
      </c>
      <c r="J351">
        <f t="shared" si="12"/>
        <v>82.499999999999986</v>
      </c>
      <c r="K351">
        <v>3050.0249999999996</v>
      </c>
      <c r="L351" t="s">
        <v>4443</v>
      </c>
    </row>
    <row r="352" spans="1:12" ht="50.1" customHeight="1">
      <c r="A352">
        <v>343</v>
      </c>
      <c r="B352" t="s">
        <v>4252</v>
      </c>
      <c r="C352" t="s">
        <v>4392</v>
      </c>
      <c r="D352">
        <v>202886788</v>
      </c>
      <c r="E352" t="s">
        <v>3954</v>
      </c>
      <c r="F352" t="s">
        <v>4393</v>
      </c>
      <c r="G352">
        <v>14.788</v>
      </c>
      <c r="H352" t="s">
        <v>3954</v>
      </c>
      <c r="I352" t="s">
        <v>4212</v>
      </c>
      <c r="J352">
        <f t="shared" si="12"/>
        <v>82.5</v>
      </c>
      <c r="K352">
        <v>1220.01</v>
      </c>
      <c r="L352" t="s">
        <v>4444</v>
      </c>
    </row>
    <row r="353" spans="1:12" ht="50.1" customHeight="1">
      <c r="A353">
        <v>344</v>
      </c>
      <c r="B353" t="s">
        <v>4252</v>
      </c>
      <c r="C353" t="s">
        <v>4392</v>
      </c>
      <c r="D353">
        <v>202886788</v>
      </c>
      <c r="E353" t="s">
        <v>3954</v>
      </c>
      <c r="F353" t="s">
        <v>4393</v>
      </c>
      <c r="G353">
        <v>36.97</v>
      </c>
      <c r="H353" t="s">
        <v>3954</v>
      </c>
      <c r="I353" t="s">
        <v>4212</v>
      </c>
      <c r="J353">
        <f t="shared" si="12"/>
        <v>82.499999999999986</v>
      </c>
      <c r="K353">
        <v>3050.0249999999996</v>
      </c>
      <c r="L353" t="s">
        <v>4445</v>
      </c>
    </row>
    <row r="354" spans="1:12" ht="50.1" customHeight="1">
      <c r="A354">
        <v>345</v>
      </c>
      <c r="B354" t="s">
        <v>4252</v>
      </c>
      <c r="C354" t="s">
        <v>4392</v>
      </c>
      <c r="D354">
        <v>202886788</v>
      </c>
      <c r="E354" t="s">
        <v>3954</v>
      </c>
      <c r="F354" t="s">
        <v>4393</v>
      </c>
      <c r="G354">
        <v>82.424999999999997</v>
      </c>
      <c r="H354" t="s">
        <v>3954</v>
      </c>
      <c r="I354" t="s">
        <v>4212</v>
      </c>
      <c r="J354">
        <f t="shared" si="12"/>
        <v>82.5</v>
      </c>
      <c r="K354">
        <v>6800.0625</v>
      </c>
      <c r="L354" t="s">
        <v>4446</v>
      </c>
    </row>
    <row r="355" spans="1:12" ht="50.1" customHeight="1">
      <c r="A355">
        <v>346</v>
      </c>
      <c r="B355" t="s">
        <v>4252</v>
      </c>
      <c r="C355" t="s">
        <v>4392</v>
      </c>
      <c r="D355">
        <v>202886788</v>
      </c>
      <c r="E355" t="s">
        <v>3954</v>
      </c>
      <c r="F355" t="s">
        <v>4393</v>
      </c>
      <c r="G355">
        <v>29.576000000000001</v>
      </c>
      <c r="H355" t="s">
        <v>3954</v>
      </c>
      <c r="I355" t="s">
        <v>4212</v>
      </c>
      <c r="J355">
        <f t="shared" si="12"/>
        <v>82.5</v>
      </c>
      <c r="K355">
        <v>2440.02</v>
      </c>
      <c r="L355" t="s">
        <v>4447</v>
      </c>
    </row>
    <row r="356" spans="1:12" ht="50.1" customHeight="1">
      <c r="A356">
        <v>347</v>
      </c>
      <c r="B356" t="s">
        <v>4252</v>
      </c>
      <c r="C356" t="s">
        <v>4392</v>
      </c>
      <c r="D356">
        <v>202886788</v>
      </c>
      <c r="E356" t="s">
        <v>3954</v>
      </c>
      <c r="F356" t="s">
        <v>4393</v>
      </c>
      <c r="G356">
        <v>22.182000000000002</v>
      </c>
      <c r="H356" t="s">
        <v>3954</v>
      </c>
      <c r="I356" t="s">
        <v>4212</v>
      </c>
      <c r="J356">
        <f t="shared" si="12"/>
        <v>82.5</v>
      </c>
      <c r="K356">
        <v>1830.0150000000003</v>
      </c>
      <c r="L356" t="s">
        <v>4448</v>
      </c>
    </row>
    <row r="357" spans="1:12" ht="50.1" customHeight="1">
      <c r="A357">
        <v>348</v>
      </c>
      <c r="B357" t="s">
        <v>4252</v>
      </c>
      <c r="C357" t="s">
        <v>4392</v>
      </c>
      <c r="D357">
        <v>202886788</v>
      </c>
      <c r="E357" t="s">
        <v>3954</v>
      </c>
      <c r="F357" t="s">
        <v>4393</v>
      </c>
      <c r="G357">
        <v>7.3940000000000001</v>
      </c>
      <c r="H357" t="s">
        <v>3954</v>
      </c>
      <c r="I357" t="s">
        <v>4212</v>
      </c>
      <c r="J357">
        <f t="shared" si="12"/>
        <v>82.5</v>
      </c>
      <c r="K357">
        <v>610.005</v>
      </c>
      <c r="L357" t="s">
        <v>4449</v>
      </c>
    </row>
    <row r="358" spans="1:12" ht="50.1" customHeight="1">
      <c r="A358">
        <v>349</v>
      </c>
      <c r="B358" t="s">
        <v>4252</v>
      </c>
      <c r="C358" t="s">
        <v>4392</v>
      </c>
      <c r="D358">
        <v>202886788</v>
      </c>
      <c r="E358" t="s">
        <v>3954</v>
      </c>
      <c r="F358" t="s">
        <v>4393</v>
      </c>
      <c r="G358">
        <v>58.875</v>
      </c>
      <c r="H358" t="s">
        <v>3954</v>
      </c>
      <c r="I358" t="s">
        <v>4212</v>
      </c>
      <c r="J358">
        <f t="shared" si="12"/>
        <v>82.5</v>
      </c>
      <c r="K358">
        <v>4857.1875</v>
      </c>
      <c r="L358" t="s">
        <v>4450</v>
      </c>
    </row>
    <row r="359" spans="1:12" ht="50.1" customHeight="1">
      <c r="A359">
        <v>350</v>
      </c>
      <c r="B359" t="s">
        <v>4252</v>
      </c>
      <c r="C359" t="s">
        <v>4392</v>
      </c>
      <c r="D359">
        <v>202886788</v>
      </c>
      <c r="E359" t="s">
        <v>3954</v>
      </c>
      <c r="F359" t="s">
        <v>4393</v>
      </c>
      <c r="G359">
        <v>44.364000000000004</v>
      </c>
      <c r="H359" t="s">
        <v>3954</v>
      </c>
      <c r="I359" t="s">
        <v>4212</v>
      </c>
      <c r="J359">
        <f t="shared" si="12"/>
        <v>82.5</v>
      </c>
      <c r="K359">
        <v>3660.0300000000007</v>
      </c>
      <c r="L359" t="s">
        <v>4451</v>
      </c>
    </row>
    <row r="360" spans="1:12" ht="50.1" customHeight="1">
      <c r="A360">
        <v>351</v>
      </c>
      <c r="B360" t="s">
        <v>4252</v>
      </c>
      <c r="C360" t="s">
        <v>4392</v>
      </c>
      <c r="D360">
        <v>202886788</v>
      </c>
      <c r="E360" t="s">
        <v>3954</v>
      </c>
      <c r="F360" t="s">
        <v>4393</v>
      </c>
      <c r="G360">
        <v>51.758000000000003</v>
      </c>
      <c r="H360" t="s">
        <v>3954</v>
      </c>
      <c r="I360" t="s">
        <v>4212</v>
      </c>
      <c r="J360">
        <f t="shared" si="12"/>
        <v>82.5</v>
      </c>
      <c r="K360">
        <v>4270.0349999999999</v>
      </c>
      <c r="L360" t="s">
        <v>4452</v>
      </c>
    </row>
    <row r="361" spans="1:12" ht="50.1" customHeight="1">
      <c r="A361">
        <v>352</v>
      </c>
      <c r="B361" t="s">
        <v>4252</v>
      </c>
      <c r="C361" t="s">
        <v>4392</v>
      </c>
      <c r="D361">
        <v>202886788</v>
      </c>
      <c r="E361" t="s">
        <v>3954</v>
      </c>
      <c r="F361" t="s">
        <v>4393</v>
      </c>
      <c r="G361">
        <v>14.788</v>
      </c>
      <c r="H361" t="s">
        <v>3954</v>
      </c>
      <c r="I361" t="s">
        <v>4212</v>
      </c>
      <c r="J361">
        <f t="shared" ref="J361:J405" si="13">K361/G361</f>
        <v>82.5</v>
      </c>
      <c r="K361">
        <v>1220.01</v>
      </c>
      <c r="L361" t="s">
        <v>4453</v>
      </c>
    </row>
    <row r="362" spans="1:12" ht="50.1" customHeight="1">
      <c r="A362">
        <v>353</v>
      </c>
      <c r="B362" t="s">
        <v>4252</v>
      </c>
      <c r="C362" t="s">
        <v>4392</v>
      </c>
      <c r="D362">
        <v>202886788</v>
      </c>
      <c r="E362" t="s">
        <v>3954</v>
      </c>
      <c r="F362" t="s">
        <v>4393</v>
      </c>
      <c r="G362">
        <v>7.3940000000000001</v>
      </c>
      <c r="H362" t="s">
        <v>3954</v>
      </c>
      <c r="I362" t="s">
        <v>4212</v>
      </c>
      <c r="J362">
        <f t="shared" si="13"/>
        <v>82.5</v>
      </c>
      <c r="K362">
        <v>610.005</v>
      </c>
      <c r="L362" t="s">
        <v>4454</v>
      </c>
    </row>
    <row r="363" spans="1:12" ht="50.1" customHeight="1">
      <c r="A363">
        <v>354</v>
      </c>
      <c r="B363" t="s">
        <v>4252</v>
      </c>
      <c r="C363" t="s">
        <v>4392</v>
      </c>
      <c r="D363">
        <v>202886788</v>
      </c>
      <c r="E363" t="s">
        <v>3954</v>
      </c>
      <c r="F363" t="s">
        <v>4393</v>
      </c>
      <c r="G363">
        <v>14.788</v>
      </c>
      <c r="H363" t="s">
        <v>3954</v>
      </c>
      <c r="I363" t="s">
        <v>4212</v>
      </c>
      <c r="J363">
        <f t="shared" si="13"/>
        <v>82.5</v>
      </c>
      <c r="K363">
        <v>1220.01</v>
      </c>
      <c r="L363" t="s">
        <v>4455</v>
      </c>
    </row>
    <row r="364" spans="1:12" ht="50.1" customHeight="1">
      <c r="A364">
        <v>355</v>
      </c>
      <c r="B364" t="s">
        <v>4252</v>
      </c>
      <c r="C364" t="s">
        <v>4392</v>
      </c>
      <c r="D364">
        <v>202886788</v>
      </c>
      <c r="E364" t="s">
        <v>3954</v>
      </c>
      <c r="F364" t="s">
        <v>4393</v>
      </c>
      <c r="G364">
        <v>14.788</v>
      </c>
      <c r="H364" t="s">
        <v>3954</v>
      </c>
      <c r="I364" t="s">
        <v>4212</v>
      </c>
      <c r="J364">
        <f t="shared" si="13"/>
        <v>82.5</v>
      </c>
      <c r="K364">
        <v>1220.01</v>
      </c>
      <c r="L364" t="s">
        <v>4456</v>
      </c>
    </row>
    <row r="365" spans="1:12" ht="50.1" customHeight="1">
      <c r="A365">
        <v>356</v>
      </c>
      <c r="B365" t="s">
        <v>4252</v>
      </c>
      <c r="C365" t="s">
        <v>4392</v>
      </c>
      <c r="D365">
        <v>202886788</v>
      </c>
      <c r="E365" t="s">
        <v>3954</v>
      </c>
      <c r="F365" t="s">
        <v>4393</v>
      </c>
      <c r="G365">
        <v>14.788</v>
      </c>
      <c r="H365" t="s">
        <v>3954</v>
      </c>
      <c r="I365" t="s">
        <v>4212</v>
      </c>
      <c r="J365">
        <f t="shared" si="13"/>
        <v>82.5</v>
      </c>
      <c r="K365">
        <v>1220.01</v>
      </c>
      <c r="L365" t="s">
        <v>4457</v>
      </c>
    </row>
    <row r="366" spans="1:12" ht="50.1" customHeight="1">
      <c r="A366">
        <v>357</v>
      </c>
      <c r="B366" t="s">
        <v>4252</v>
      </c>
      <c r="C366" t="s">
        <v>4392</v>
      </c>
      <c r="D366">
        <v>202886788</v>
      </c>
      <c r="E366" t="s">
        <v>3954</v>
      </c>
      <c r="F366" t="s">
        <v>4393</v>
      </c>
      <c r="G366">
        <v>44.364000000000004</v>
      </c>
      <c r="H366" t="s">
        <v>3954</v>
      </c>
      <c r="I366" t="s">
        <v>4212</v>
      </c>
      <c r="J366">
        <f t="shared" si="13"/>
        <v>82.5</v>
      </c>
      <c r="K366">
        <v>3660.0300000000007</v>
      </c>
      <c r="L366" t="s">
        <v>4458</v>
      </c>
    </row>
    <row r="367" spans="1:12" ht="50.1" customHeight="1">
      <c r="A367">
        <v>358</v>
      </c>
      <c r="B367" t="s">
        <v>4252</v>
      </c>
      <c r="C367" t="s">
        <v>4392</v>
      </c>
      <c r="D367">
        <v>202886788</v>
      </c>
      <c r="E367" t="s">
        <v>3954</v>
      </c>
      <c r="F367" t="s">
        <v>4393</v>
      </c>
      <c r="G367">
        <v>22.182000000000002</v>
      </c>
      <c r="H367" t="s">
        <v>3954</v>
      </c>
      <c r="I367" t="s">
        <v>4212</v>
      </c>
      <c r="J367">
        <f t="shared" si="13"/>
        <v>82.5</v>
      </c>
      <c r="K367">
        <v>1830.0150000000003</v>
      </c>
      <c r="L367" t="s">
        <v>4459</v>
      </c>
    </row>
    <row r="368" spans="1:12" ht="50.1" customHeight="1">
      <c r="A368">
        <v>359</v>
      </c>
      <c r="B368" t="s">
        <v>4252</v>
      </c>
      <c r="C368" t="s">
        <v>4392</v>
      </c>
      <c r="D368">
        <v>202886788</v>
      </c>
      <c r="E368" t="s">
        <v>3954</v>
      </c>
      <c r="F368" t="s">
        <v>4393</v>
      </c>
      <c r="G368">
        <v>82.424999999999997</v>
      </c>
      <c r="H368" t="s">
        <v>3954</v>
      </c>
      <c r="I368" t="s">
        <v>4212</v>
      </c>
      <c r="J368">
        <f t="shared" si="13"/>
        <v>82.5</v>
      </c>
      <c r="K368">
        <v>6800.0625</v>
      </c>
      <c r="L368" t="s">
        <v>4460</v>
      </c>
    </row>
    <row r="369" spans="1:12" ht="50.1" customHeight="1">
      <c r="A369">
        <v>360</v>
      </c>
      <c r="B369" t="s">
        <v>4252</v>
      </c>
      <c r="C369" t="s">
        <v>4392</v>
      </c>
      <c r="D369">
        <v>202886788</v>
      </c>
      <c r="E369" t="s">
        <v>3954</v>
      </c>
      <c r="F369" t="s">
        <v>4393</v>
      </c>
      <c r="G369">
        <v>22.182000000000002</v>
      </c>
      <c r="H369" t="s">
        <v>3954</v>
      </c>
      <c r="I369" t="s">
        <v>4212</v>
      </c>
      <c r="J369">
        <f t="shared" si="13"/>
        <v>82.5</v>
      </c>
      <c r="K369">
        <v>1830.0150000000003</v>
      </c>
      <c r="L369" t="s">
        <v>4461</v>
      </c>
    </row>
    <row r="370" spans="1:12" ht="50.1" customHeight="1">
      <c r="A370">
        <v>361</v>
      </c>
      <c r="B370" t="s">
        <v>4252</v>
      </c>
      <c r="C370" t="s">
        <v>4392</v>
      </c>
      <c r="D370">
        <v>202886788</v>
      </c>
      <c r="E370" t="s">
        <v>3954</v>
      </c>
      <c r="F370" t="s">
        <v>4393</v>
      </c>
      <c r="G370">
        <v>7.3940000000000001</v>
      </c>
      <c r="H370" t="s">
        <v>3954</v>
      </c>
      <c r="I370" t="s">
        <v>4212</v>
      </c>
      <c r="J370">
        <f t="shared" si="13"/>
        <v>82.5</v>
      </c>
      <c r="K370">
        <v>610.005</v>
      </c>
      <c r="L370" t="s">
        <v>4462</v>
      </c>
    </row>
    <row r="371" spans="1:12" ht="50.1" customHeight="1">
      <c r="A371">
        <v>362</v>
      </c>
      <c r="B371" t="s">
        <v>4252</v>
      </c>
      <c r="C371" t="s">
        <v>4392</v>
      </c>
      <c r="D371">
        <v>202886788</v>
      </c>
      <c r="E371" t="s">
        <v>3954</v>
      </c>
      <c r="F371" t="s">
        <v>4393</v>
      </c>
      <c r="G371">
        <v>7.3940000000000001</v>
      </c>
      <c r="H371" t="s">
        <v>3954</v>
      </c>
      <c r="I371" t="s">
        <v>4212</v>
      </c>
      <c r="J371">
        <f t="shared" si="13"/>
        <v>82.5</v>
      </c>
      <c r="K371">
        <v>610.005</v>
      </c>
      <c r="L371" t="s">
        <v>4463</v>
      </c>
    </row>
    <row r="372" spans="1:12" ht="50.1" customHeight="1">
      <c r="A372">
        <v>363</v>
      </c>
      <c r="B372" t="s">
        <v>4252</v>
      </c>
      <c r="C372" t="s">
        <v>4392</v>
      </c>
      <c r="D372">
        <v>202886788</v>
      </c>
      <c r="E372" t="s">
        <v>3954</v>
      </c>
      <c r="F372" t="s">
        <v>4393</v>
      </c>
      <c r="G372">
        <v>14.788</v>
      </c>
      <c r="H372" t="s">
        <v>3954</v>
      </c>
      <c r="I372" t="s">
        <v>4212</v>
      </c>
      <c r="J372">
        <f t="shared" si="13"/>
        <v>82.5</v>
      </c>
      <c r="K372">
        <v>1220.01</v>
      </c>
      <c r="L372" t="s">
        <v>4464</v>
      </c>
    </row>
    <row r="373" spans="1:12" ht="50.1" customHeight="1">
      <c r="A373">
        <v>364</v>
      </c>
      <c r="B373" t="s">
        <v>4252</v>
      </c>
      <c r="C373" t="s">
        <v>4392</v>
      </c>
      <c r="D373">
        <v>202886788</v>
      </c>
      <c r="E373" t="s">
        <v>3954</v>
      </c>
      <c r="F373" t="s">
        <v>4393</v>
      </c>
      <c r="G373">
        <v>51.758000000000003</v>
      </c>
      <c r="H373" t="s">
        <v>3954</v>
      </c>
      <c r="I373" t="s">
        <v>4212</v>
      </c>
      <c r="J373">
        <f t="shared" si="13"/>
        <v>82.5</v>
      </c>
      <c r="K373">
        <v>4270.0349999999999</v>
      </c>
      <c r="L373" t="s">
        <v>4465</v>
      </c>
    </row>
    <row r="374" spans="1:12" ht="50.1" customHeight="1">
      <c r="A374">
        <v>365</v>
      </c>
      <c r="B374" t="s">
        <v>4252</v>
      </c>
      <c r="C374" t="s">
        <v>4392</v>
      </c>
      <c r="D374">
        <v>202886788</v>
      </c>
      <c r="E374" t="s">
        <v>3954</v>
      </c>
      <c r="F374" t="s">
        <v>4393</v>
      </c>
      <c r="G374">
        <v>7.3940000000000001</v>
      </c>
      <c r="H374" t="s">
        <v>3954</v>
      </c>
      <c r="I374" t="s">
        <v>4212</v>
      </c>
      <c r="J374">
        <f t="shared" si="13"/>
        <v>82.5</v>
      </c>
      <c r="K374">
        <v>610.005</v>
      </c>
      <c r="L374" t="s">
        <v>4466</v>
      </c>
    </row>
    <row r="375" spans="1:12" ht="50.1" customHeight="1">
      <c r="A375">
        <v>366</v>
      </c>
      <c r="B375" t="s">
        <v>4252</v>
      </c>
      <c r="C375" t="s">
        <v>4392</v>
      </c>
      <c r="D375">
        <v>202886788</v>
      </c>
      <c r="E375" t="s">
        <v>3954</v>
      </c>
      <c r="F375" t="s">
        <v>4393</v>
      </c>
      <c r="G375">
        <v>14.788</v>
      </c>
      <c r="H375" t="s">
        <v>3954</v>
      </c>
      <c r="I375" t="s">
        <v>4212</v>
      </c>
      <c r="J375">
        <f t="shared" si="13"/>
        <v>82.5</v>
      </c>
      <c r="K375">
        <v>1220.01</v>
      </c>
      <c r="L375" t="s">
        <v>4467</v>
      </c>
    </row>
    <row r="376" spans="1:12" ht="50.1" customHeight="1">
      <c r="A376">
        <v>367</v>
      </c>
      <c r="B376" t="s">
        <v>4252</v>
      </c>
      <c r="C376" t="s">
        <v>4392</v>
      </c>
      <c r="D376">
        <v>202886788</v>
      </c>
      <c r="E376" t="s">
        <v>3954</v>
      </c>
      <c r="F376" t="s">
        <v>4393</v>
      </c>
      <c r="G376">
        <v>36.97</v>
      </c>
      <c r="H376" t="s">
        <v>3954</v>
      </c>
      <c r="I376" t="s">
        <v>4212</v>
      </c>
      <c r="J376">
        <f t="shared" si="13"/>
        <v>82.499999999999986</v>
      </c>
      <c r="K376">
        <v>3050.0249999999996</v>
      </c>
      <c r="L376" t="s">
        <v>4468</v>
      </c>
    </row>
    <row r="377" spans="1:12" ht="50.1" customHeight="1">
      <c r="A377">
        <v>368</v>
      </c>
      <c r="B377" t="s">
        <v>4252</v>
      </c>
      <c r="C377" t="s">
        <v>4392</v>
      </c>
      <c r="D377">
        <v>202886788</v>
      </c>
      <c r="E377" t="s">
        <v>3954</v>
      </c>
      <c r="F377" t="s">
        <v>4393</v>
      </c>
      <c r="G377">
        <v>14.788</v>
      </c>
      <c r="H377" t="s">
        <v>3954</v>
      </c>
      <c r="I377" t="s">
        <v>4212</v>
      </c>
      <c r="J377">
        <f t="shared" si="13"/>
        <v>82.5</v>
      </c>
      <c r="K377">
        <v>1220.01</v>
      </c>
      <c r="L377" t="s">
        <v>4469</v>
      </c>
    </row>
    <row r="378" spans="1:12" ht="50.1" customHeight="1">
      <c r="A378">
        <v>369</v>
      </c>
      <c r="B378" t="s">
        <v>4252</v>
      </c>
      <c r="C378" t="s">
        <v>4392</v>
      </c>
      <c r="D378">
        <v>202886788</v>
      </c>
      <c r="E378" t="s">
        <v>3954</v>
      </c>
      <c r="F378" t="s">
        <v>4393</v>
      </c>
      <c r="G378">
        <v>14.788</v>
      </c>
      <c r="H378" t="s">
        <v>3954</v>
      </c>
      <c r="I378" t="s">
        <v>4212</v>
      </c>
      <c r="J378">
        <f t="shared" si="13"/>
        <v>82.5</v>
      </c>
      <c r="K378">
        <v>1220.01</v>
      </c>
      <c r="L378" t="s">
        <v>4470</v>
      </c>
    </row>
    <row r="379" spans="1:12" ht="50.1" customHeight="1">
      <c r="A379">
        <v>370</v>
      </c>
      <c r="B379" t="s">
        <v>4252</v>
      </c>
      <c r="C379" t="s">
        <v>4392</v>
      </c>
      <c r="D379">
        <v>202886788</v>
      </c>
      <c r="E379" t="s">
        <v>3954</v>
      </c>
      <c r="F379" t="s">
        <v>4393</v>
      </c>
      <c r="G379">
        <v>7.3940000000000001</v>
      </c>
      <c r="H379" t="s">
        <v>3954</v>
      </c>
      <c r="I379" t="s">
        <v>4212</v>
      </c>
      <c r="J379">
        <f t="shared" si="13"/>
        <v>82.5</v>
      </c>
      <c r="K379">
        <v>610.005</v>
      </c>
      <c r="L379" t="s">
        <v>4471</v>
      </c>
    </row>
    <row r="380" spans="1:12" ht="50.1" customHeight="1">
      <c r="A380">
        <v>371</v>
      </c>
      <c r="B380" t="s">
        <v>4252</v>
      </c>
      <c r="C380" t="s">
        <v>4392</v>
      </c>
      <c r="D380">
        <v>202886788</v>
      </c>
      <c r="E380" t="s">
        <v>3954</v>
      </c>
      <c r="F380" t="s">
        <v>4393</v>
      </c>
      <c r="G380">
        <v>7.3940000000000001</v>
      </c>
      <c r="H380" t="s">
        <v>3954</v>
      </c>
      <c r="I380" t="s">
        <v>4212</v>
      </c>
      <c r="J380">
        <f t="shared" si="13"/>
        <v>82.5</v>
      </c>
      <c r="K380">
        <v>610.005</v>
      </c>
      <c r="L380" t="s">
        <v>4472</v>
      </c>
    </row>
    <row r="381" spans="1:12" ht="50.1" customHeight="1">
      <c r="A381">
        <v>372</v>
      </c>
      <c r="B381" t="s">
        <v>4252</v>
      </c>
      <c r="C381" t="s">
        <v>4392</v>
      </c>
      <c r="D381">
        <v>202886788</v>
      </c>
      <c r="E381" t="s">
        <v>3954</v>
      </c>
      <c r="F381" t="s">
        <v>4393</v>
      </c>
      <c r="G381">
        <v>14.788</v>
      </c>
      <c r="H381" t="s">
        <v>3954</v>
      </c>
      <c r="I381" t="s">
        <v>4212</v>
      </c>
      <c r="J381">
        <f t="shared" si="13"/>
        <v>82.5</v>
      </c>
      <c r="K381">
        <v>1220.01</v>
      </c>
      <c r="L381" t="s">
        <v>4473</v>
      </c>
    </row>
    <row r="382" spans="1:12" ht="50.1" customHeight="1">
      <c r="A382">
        <v>373</v>
      </c>
      <c r="B382" t="s">
        <v>4252</v>
      </c>
      <c r="C382" t="s">
        <v>4392</v>
      </c>
      <c r="D382">
        <v>202886788</v>
      </c>
      <c r="E382" t="s">
        <v>3954</v>
      </c>
      <c r="F382" t="s">
        <v>4393</v>
      </c>
      <c r="G382">
        <v>14.788</v>
      </c>
      <c r="H382" t="s">
        <v>3954</v>
      </c>
      <c r="I382" t="s">
        <v>4212</v>
      </c>
      <c r="J382">
        <f t="shared" si="13"/>
        <v>82.5</v>
      </c>
      <c r="K382">
        <v>1220.01</v>
      </c>
      <c r="L382" t="s">
        <v>4474</v>
      </c>
    </row>
    <row r="383" spans="1:12" ht="50.1" customHeight="1">
      <c r="A383">
        <v>374</v>
      </c>
      <c r="B383" t="s">
        <v>4252</v>
      </c>
      <c r="C383" t="s">
        <v>4392</v>
      </c>
      <c r="D383">
        <v>202886788</v>
      </c>
      <c r="E383" t="s">
        <v>3954</v>
      </c>
      <c r="F383" t="s">
        <v>4393</v>
      </c>
      <c r="G383">
        <v>7.3940000000000001</v>
      </c>
      <c r="H383" t="s">
        <v>3954</v>
      </c>
      <c r="I383" t="s">
        <v>4212</v>
      </c>
      <c r="J383">
        <f t="shared" si="13"/>
        <v>82.5</v>
      </c>
      <c r="K383">
        <v>610.005</v>
      </c>
      <c r="L383" t="s">
        <v>4475</v>
      </c>
    </row>
    <row r="384" spans="1:12" ht="50.1" customHeight="1">
      <c r="A384">
        <v>375</v>
      </c>
      <c r="B384" t="s">
        <v>4252</v>
      </c>
      <c r="C384" t="s">
        <v>4392</v>
      </c>
      <c r="D384">
        <v>202886788</v>
      </c>
      <c r="E384" t="s">
        <v>3954</v>
      </c>
      <c r="F384" t="s">
        <v>4393</v>
      </c>
      <c r="G384">
        <v>82.424999999999997</v>
      </c>
      <c r="H384" t="s">
        <v>3954</v>
      </c>
      <c r="I384" t="s">
        <v>4212</v>
      </c>
      <c r="J384">
        <f t="shared" si="13"/>
        <v>82.5</v>
      </c>
      <c r="K384">
        <v>6800.0625</v>
      </c>
      <c r="L384" t="s">
        <v>4476</v>
      </c>
    </row>
    <row r="385" spans="1:12" ht="50.1" customHeight="1">
      <c r="A385">
        <v>376</v>
      </c>
      <c r="B385" t="s">
        <v>4252</v>
      </c>
      <c r="C385" t="s">
        <v>4392</v>
      </c>
      <c r="D385">
        <v>202886788</v>
      </c>
      <c r="E385" t="s">
        <v>3954</v>
      </c>
      <c r="F385" t="s">
        <v>4393</v>
      </c>
      <c r="G385">
        <v>82.424999999999997</v>
      </c>
      <c r="H385" t="s">
        <v>3954</v>
      </c>
      <c r="I385" t="s">
        <v>4212</v>
      </c>
      <c r="J385">
        <f t="shared" si="13"/>
        <v>82.5</v>
      </c>
      <c r="K385">
        <v>6800.0625</v>
      </c>
      <c r="L385" t="s">
        <v>4477</v>
      </c>
    </row>
    <row r="386" spans="1:12" ht="50.1" customHeight="1">
      <c r="A386">
        <v>377</v>
      </c>
      <c r="B386" t="s">
        <v>4478</v>
      </c>
      <c r="C386" t="s">
        <v>4479</v>
      </c>
      <c r="D386">
        <v>204405811</v>
      </c>
      <c r="E386" t="s">
        <v>3954</v>
      </c>
      <c r="F386" t="s">
        <v>4480</v>
      </c>
      <c r="G386">
        <v>1200</v>
      </c>
      <c r="H386" t="s">
        <v>3954</v>
      </c>
      <c r="I386" t="s">
        <v>4481</v>
      </c>
      <c r="J386">
        <f t="shared" si="13"/>
        <v>5</v>
      </c>
      <c r="K386">
        <v>6000</v>
      </c>
      <c r="L386" t="s">
        <v>4482</v>
      </c>
    </row>
    <row r="387" spans="1:12" ht="50.1" customHeight="1">
      <c r="A387">
        <v>378</v>
      </c>
      <c r="B387" t="s">
        <v>4478</v>
      </c>
      <c r="C387" t="s">
        <v>4483</v>
      </c>
      <c r="D387">
        <v>231191974</v>
      </c>
      <c r="E387" t="s">
        <v>3954</v>
      </c>
      <c r="F387" t="s">
        <v>4484</v>
      </c>
      <c r="G387">
        <v>800</v>
      </c>
      <c r="H387" t="s">
        <v>3954</v>
      </c>
      <c r="I387" t="s">
        <v>4481</v>
      </c>
      <c r="J387">
        <f t="shared" si="13"/>
        <v>7.5</v>
      </c>
      <c r="K387">
        <v>6000</v>
      </c>
      <c r="L387" t="s">
        <v>4482</v>
      </c>
    </row>
    <row r="388" spans="1:12" ht="50.1" customHeight="1">
      <c r="A388">
        <v>379</v>
      </c>
      <c r="B388" t="s">
        <v>4478</v>
      </c>
      <c r="C388" t="s">
        <v>4485</v>
      </c>
      <c r="D388">
        <v>212678093</v>
      </c>
      <c r="E388" t="s">
        <v>3954</v>
      </c>
      <c r="F388" t="s">
        <v>4486</v>
      </c>
      <c r="G388">
        <v>385</v>
      </c>
      <c r="H388" t="s">
        <v>3954</v>
      </c>
      <c r="I388" t="s">
        <v>4481</v>
      </c>
      <c r="J388">
        <f t="shared" si="13"/>
        <v>15.733324675324676</v>
      </c>
      <c r="K388">
        <v>6057.33</v>
      </c>
      <c r="L388" t="s">
        <v>4482</v>
      </c>
    </row>
    <row r="389" spans="1:12" ht="50.1" customHeight="1">
      <c r="A389">
        <v>380</v>
      </c>
      <c r="B389" t="s">
        <v>4478</v>
      </c>
      <c r="C389" t="s">
        <v>4487</v>
      </c>
      <c r="D389">
        <v>216335838</v>
      </c>
      <c r="E389" t="s">
        <v>3954</v>
      </c>
      <c r="F389" t="s">
        <v>4488</v>
      </c>
      <c r="G389">
        <v>385</v>
      </c>
      <c r="H389" t="s">
        <v>3954</v>
      </c>
      <c r="I389" t="s">
        <v>4481</v>
      </c>
      <c r="J389">
        <f t="shared" si="13"/>
        <v>15.733324675324676</v>
      </c>
      <c r="K389">
        <v>6057.33</v>
      </c>
      <c r="L389" t="s">
        <v>4482</v>
      </c>
    </row>
    <row r="390" spans="1:12" ht="50.1" customHeight="1">
      <c r="A390">
        <v>381</v>
      </c>
      <c r="B390" t="s">
        <v>4478</v>
      </c>
      <c r="C390" t="s">
        <v>4489</v>
      </c>
      <c r="D390">
        <v>226112471</v>
      </c>
      <c r="E390" t="s">
        <v>3954</v>
      </c>
      <c r="F390" t="s">
        <v>4490</v>
      </c>
      <c r="G390">
        <v>1445</v>
      </c>
      <c r="H390" t="s">
        <v>3954</v>
      </c>
      <c r="I390" t="s">
        <v>4481</v>
      </c>
      <c r="J390">
        <f t="shared" si="13"/>
        <v>4.166664359861592</v>
      </c>
      <c r="K390">
        <v>6020.83</v>
      </c>
      <c r="L390" t="s">
        <v>4482</v>
      </c>
    </row>
    <row r="391" spans="1:12" ht="50.1" customHeight="1">
      <c r="A391">
        <v>382</v>
      </c>
      <c r="B391" t="s">
        <v>4478</v>
      </c>
      <c r="C391" t="s">
        <v>4491</v>
      </c>
      <c r="D391">
        <v>227717307</v>
      </c>
      <c r="E391" t="s">
        <v>3954</v>
      </c>
      <c r="F391" t="s">
        <v>4492</v>
      </c>
      <c r="G391">
        <v>445</v>
      </c>
      <c r="H391" t="s">
        <v>3954</v>
      </c>
      <c r="I391" t="s">
        <v>4481</v>
      </c>
      <c r="J391">
        <f t="shared" si="13"/>
        <v>13.333325842696629</v>
      </c>
      <c r="K391">
        <v>5933.33</v>
      </c>
      <c r="L391" t="s">
        <v>4482</v>
      </c>
    </row>
    <row r="392" spans="1:12" ht="50.1" customHeight="1">
      <c r="A392">
        <v>383</v>
      </c>
      <c r="B392" t="s">
        <v>4478</v>
      </c>
      <c r="C392" t="s">
        <v>4493</v>
      </c>
      <c r="D392">
        <v>215599323</v>
      </c>
      <c r="E392" t="s">
        <v>3954</v>
      </c>
      <c r="F392" t="s">
        <v>4494</v>
      </c>
      <c r="G392">
        <v>1425</v>
      </c>
      <c r="H392" t="s">
        <v>3954</v>
      </c>
      <c r="I392" t="s">
        <v>4481</v>
      </c>
      <c r="J392">
        <f t="shared" si="13"/>
        <v>4.166666666666667</v>
      </c>
      <c r="K392">
        <v>5937.5</v>
      </c>
      <c r="L392" t="s">
        <v>4482</v>
      </c>
    </row>
    <row r="393" spans="1:12" ht="50.1" customHeight="1">
      <c r="A393">
        <v>384</v>
      </c>
      <c r="B393" t="s">
        <v>4478</v>
      </c>
      <c r="C393" t="s">
        <v>4495</v>
      </c>
      <c r="D393">
        <v>243861111</v>
      </c>
      <c r="E393" t="s">
        <v>3954</v>
      </c>
      <c r="F393" t="s">
        <v>4496</v>
      </c>
      <c r="G393">
        <v>450</v>
      </c>
      <c r="H393" t="s">
        <v>3954</v>
      </c>
      <c r="I393" t="s">
        <v>4481</v>
      </c>
      <c r="J393">
        <f t="shared" si="13"/>
        <v>13.333333333333334</v>
      </c>
      <c r="K393">
        <v>6000</v>
      </c>
      <c r="L393" t="s">
        <v>4482</v>
      </c>
    </row>
    <row r="394" spans="1:12" ht="50.1" customHeight="1">
      <c r="A394">
        <v>385</v>
      </c>
      <c r="B394" t="s">
        <v>4478</v>
      </c>
      <c r="C394" t="s">
        <v>4497</v>
      </c>
      <c r="D394">
        <v>230031195</v>
      </c>
      <c r="E394" t="s">
        <v>3954</v>
      </c>
      <c r="F394" t="s">
        <v>4498</v>
      </c>
      <c r="G394">
        <v>1445</v>
      </c>
      <c r="H394" t="s">
        <v>3954</v>
      </c>
      <c r="I394" t="s">
        <v>4481</v>
      </c>
      <c r="J394">
        <f t="shared" si="13"/>
        <v>4.166664359861592</v>
      </c>
      <c r="K394">
        <v>6020.83</v>
      </c>
      <c r="L394" t="s">
        <v>4482</v>
      </c>
    </row>
    <row r="395" spans="1:12" ht="50.1" customHeight="1">
      <c r="A395">
        <v>386</v>
      </c>
      <c r="B395" t="s">
        <v>4478</v>
      </c>
      <c r="C395" t="s">
        <v>4499</v>
      </c>
      <c r="D395">
        <v>236686412</v>
      </c>
      <c r="E395" t="s">
        <v>3954</v>
      </c>
      <c r="F395" t="s">
        <v>4490</v>
      </c>
      <c r="G395">
        <v>1445</v>
      </c>
      <c r="H395" t="s">
        <v>3954</v>
      </c>
      <c r="I395" t="s">
        <v>4481</v>
      </c>
      <c r="J395">
        <f t="shared" si="13"/>
        <v>4.166664359861592</v>
      </c>
      <c r="K395">
        <v>6020.83</v>
      </c>
      <c r="L395" t="s">
        <v>4482</v>
      </c>
    </row>
    <row r="396" spans="1:12" ht="50.1" customHeight="1">
      <c r="A396">
        <v>387</v>
      </c>
      <c r="B396" t="s">
        <v>4478</v>
      </c>
      <c r="C396" t="s">
        <v>4500</v>
      </c>
      <c r="D396">
        <v>219995600</v>
      </c>
      <c r="E396" t="s">
        <v>3954</v>
      </c>
      <c r="F396" t="s">
        <v>4501</v>
      </c>
      <c r="G396">
        <v>440</v>
      </c>
      <c r="H396" t="s">
        <v>3954</v>
      </c>
      <c r="I396" t="s">
        <v>4481</v>
      </c>
      <c r="J396">
        <f t="shared" si="13"/>
        <v>13</v>
      </c>
      <c r="K396">
        <v>5720</v>
      </c>
      <c r="L396" t="s">
        <v>4482</v>
      </c>
    </row>
    <row r="397" spans="1:12" ht="50.1" customHeight="1">
      <c r="A397">
        <v>388</v>
      </c>
      <c r="B397" t="s">
        <v>4478</v>
      </c>
      <c r="C397" t="s">
        <v>4502</v>
      </c>
      <c r="D397">
        <v>437065916</v>
      </c>
      <c r="E397" t="s">
        <v>3954</v>
      </c>
      <c r="F397" t="s">
        <v>4503</v>
      </c>
      <c r="G397">
        <v>1445</v>
      </c>
      <c r="H397" t="s">
        <v>3954</v>
      </c>
      <c r="I397" t="s">
        <v>4481</v>
      </c>
      <c r="J397">
        <f t="shared" si="13"/>
        <v>4.166664359861592</v>
      </c>
      <c r="K397">
        <v>6020.83</v>
      </c>
      <c r="L397" t="s">
        <v>4482</v>
      </c>
    </row>
    <row r="398" spans="1:12" ht="50.1" customHeight="1">
      <c r="A398">
        <v>389</v>
      </c>
      <c r="B398" t="s">
        <v>4478</v>
      </c>
      <c r="C398" t="s">
        <v>4504</v>
      </c>
      <c r="D398">
        <v>239861592</v>
      </c>
      <c r="E398" t="s">
        <v>3954</v>
      </c>
      <c r="F398" t="s">
        <v>4480</v>
      </c>
      <c r="G398">
        <v>1200</v>
      </c>
      <c r="H398" t="s">
        <v>3954</v>
      </c>
      <c r="I398" t="s">
        <v>4481</v>
      </c>
      <c r="J398">
        <f t="shared" si="13"/>
        <v>5</v>
      </c>
      <c r="K398">
        <v>6000</v>
      </c>
      <c r="L398" t="s">
        <v>4482</v>
      </c>
    </row>
    <row r="399" spans="1:12" ht="50.1" customHeight="1">
      <c r="A399">
        <v>390</v>
      </c>
      <c r="B399" t="s">
        <v>4478</v>
      </c>
      <c r="C399" t="s">
        <v>4505</v>
      </c>
      <c r="D399">
        <v>242262779</v>
      </c>
      <c r="E399" t="s">
        <v>3954</v>
      </c>
      <c r="F399" t="s">
        <v>4492</v>
      </c>
      <c r="G399">
        <v>3630</v>
      </c>
      <c r="H399" t="s">
        <v>3954</v>
      </c>
      <c r="I399" t="s">
        <v>4481</v>
      </c>
      <c r="J399">
        <f t="shared" si="13"/>
        <v>1.6666666666666667</v>
      </c>
      <c r="K399">
        <v>6050</v>
      </c>
      <c r="L399" t="s">
        <v>4482</v>
      </c>
    </row>
    <row r="400" spans="1:12" ht="50.1" customHeight="1">
      <c r="A400">
        <v>391</v>
      </c>
      <c r="B400" t="s">
        <v>4478</v>
      </c>
      <c r="C400" t="s">
        <v>4506</v>
      </c>
      <c r="D400">
        <v>423352124</v>
      </c>
      <c r="E400" t="s">
        <v>3954</v>
      </c>
      <c r="F400" t="s">
        <v>4490</v>
      </c>
      <c r="G400">
        <v>1445</v>
      </c>
      <c r="H400" t="s">
        <v>3954</v>
      </c>
      <c r="I400" t="s">
        <v>4481</v>
      </c>
      <c r="J400">
        <f t="shared" si="13"/>
        <v>4.166664359861592</v>
      </c>
      <c r="K400">
        <v>6020.83</v>
      </c>
      <c r="L400" t="s">
        <v>4482</v>
      </c>
    </row>
    <row r="401" spans="1:12" ht="50.1" customHeight="1">
      <c r="A401">
        <v>392</v>
      </c>
      <c r="B401" t="s">
        <v>4478</v>
      </c>
      <c r="C401" t="s">
        <v>4507</v>
      </c>
      <c r="D401">
        <v>234230178</v>
      </c>
      <c r="E401" t="s">
        <v>3954</v>
      </c>
      <c r="F401" t="s">
        <v>4508</v>
      </c>
      <c r="G401">
        <v>1795</v>
      </c>
      <c r="H401" t="s">
        <v>3954</v>
      </c>
      <c r="I401" t="s">
        <v>4481</v>
      </c>
      <c r="J401">
        <f t="shared" si="13"/>
        <v>3.3333314763231199</v>
      </c>
      <c r="K401">
        <v>5983.33</v>
      </c>
      <c r="L401" t="s">
        <v>4482</v>
      </c>
    </row>
    <row r="402" spans="1:12" ht="50.1" customHeight="1">
      <c r="A402">
        <v>393</v>
      </c>
      <c r="B402" t="s">
        <v>4478</v>
      </c>
      <c r="C402" t="s">
        <v>4509</v>
      </c>
      <c r="D402">
        <v>245414680</v>
      </c>
      <c r="E402" t="s">
        <v>3954</v>
      </c>
      <c r="F402" t="s">
        <v>4510</v>
      </c>
      <c r="G402">
        <v>500</v>
      </c>
      <c r="H402" t="s">
        <v>3954</v>
      </c>
      <c r="I402" t="s">
        <v>4481</v>
      </c>
      <c r="J402">
        <f t="shared" si="13"/>
        <v>12</v>
      </c>
      <c r="K402">
        <v>6000</v>
      </c>
      <c r="L402" t="s">
        <v>4482</v>
      </c>
    </row>
    <row r="403" spans="1:12" ht="50.1" customHeight="1">
      <c r="A403">
        <v>394</v>
      </c>
      <c r="B403" t="s">
        <v>4478</v>
      </c>
      <c r="C403" t="s">
        <v>4511</v>
      </c>
      <c r="D403">
        <v>224067907</v>
      </c>
      <c r="E403" t="s">
        <v>3954</v>
      </c>
      <c r="F403" t="s">
        <v>4490</v>
      </c>
      <c r="G403">
        <v>1440</v>
      </c>
      <c r="H403" t="s">
        <v>3954</v>
      </c>
      <c r="I403" t="s">
        <v>4481</v>
      </c>
      <c r="J403">
        <f t="shared" si="13"/>
        <v>4.166666666666667</v>
      </c>
      <c r="K403">
        <v>6000</v>
      </c>
      <c r="L403" t="s">
        <v>4482</v>
      </c>
    </row>
    <row r="404" spans="1:12" ht="50.1" customHeight="1">
      <c r="A404">
        <v>395</v>
      </c>
      <c r="B404" t="s">
        <v>4478</v>
      </c>
      <c r="C404" t="s">
        <v>4512</v>
      </c>
      <c r="D404">
        <v>225398370</v>
      </c>
      <c r="E404" t="s">
        <v>3954</v>
      </c>
      <c r="F404" t="s">
        <v>4490</v>
      </c>
      <c r="G404">
        <v>1445</v>
      </c>
      <c r="H404" t="s">
        <v>3954</v>
      </c>
      <c r="I404" t="s">
        <v>4481</v>
      </c>
      <c r="J404">
        <f t="shared" si="13"/>
        <v>4.166664359861592</v>
      </c>
      <c r="K404">
        <v>6020.83</v>
      </c>
      <c r="L404" t="s">
        <v>4482</v>
      </c>
    </row>
    <row r="405" spans="1:12" ht="50.1" customHeight="1">
      <c r="A405">
        <v>396</v>
      </c>
      <c r="B405" t="s">
        <v>4478</v>
      </c>
      <c r="C405" t="s">
        <v>4513</v>
      </c>
      <c r="D405">
        <v>203842823</v>
      </c>
      <c r="E405" t="s">
        <v>3954</v>
      </c>
      <c r="F405" t="s">
        <v>4514</v>
      </c>
      <c r="G405">
        <v>380</v>
      </c>
      <c r="H405" t="s">
        <v>3954</v>
      </c>
      <c r="I405" t="s">
        <v>4370</v>
      </c>
      <c r="J405">
        <f t="shared" si="13"/>
        <v>15</v>
      </c>
      <c r="K405">
        <v>5700</v>
      </c>
      <c r="L405" t="s">
        <v>4482</v>
      </c>
    </row>
    <row r="406" spans="1:12" ht="50.1" customHeight="1">
      <c r="A406">
        <v>397</v>
      </c>
      <c r="B406" t="s">
        <v>4478</v>
      </c>
      <c r="C406" t="s">
        <v>4515</v>
      </c>
      <c r="D406">
        <v>201950594</v>
      </c>
      <c r="E406" t="s">
        <v>3954</v>
      </c>
      <c r="F406" t="s">
        <v>4516</v>
      </c>
      <c r="G406">
        <v>204.43</v>
      </c>
      <c r="H406" t="s">
        <v>3954</v>
      </c>
      <c r="I406" t="s">
        <v>4370</v>
      </c>
      <c r="J406">
        <f>K406/G406</f>
        <v>342.84557061096706</v>
      </c>
      <c r="K406">
        <v>70087.92</v>
      </c>
      <c r="L406" t="s">
        <v>4517</v>
      </c>
    </row>
    <row r="407" spans="1:12" ht="50.1" customHeight="1">
      <c r="A407">
        <v>398</v>
      </c>
      <c r="B407" t="s">
        <v>4478</v>
      </c>
      <c r="C407" t="s">
        <v>4518</v>
      </c>
      <c r="D407">
        <v>405034190</v>
      </c>
      <c r="E407" t="s">
        <v>3954</v>
      </c>
      <c r="F407" t="s">
        <v>4516</v>
      </c>
      <c r="G407">
        <v>244.88</v>
      </c>
      <c r="H407" t="s">
        <v>3954</v>
      </c>
      <c r="I407" t="s">
        <v>4370</v>
      </c>
      <c r="J407">
        <f>K407/G407</f>
        <v>355.84437275400194</v>
      </c>
      <c r="K407">
        <v>87139.17</v>
      </c>
      <c r="L407" t="s">
        <v>4517</v>
      </c>
    </row>
    <row r="408" spans="1:12" ht="50.1" customHeight="1">
      <c r="A408">
        <v>399</v>
      </c>
      <c r="B408" t="s">
        <v>4209</v>
      </c>
      <c r="C408" t="s">
        <v>4347</v>
      </c>
      <c r="D408">
        <v>212918020</v>
      </c>
      <c r="E408" t="s">
        <v>3954</v>
      </c>
      <c r="F408" t="s">
        <v>4348</v>
      </c>
      <c r="G408">
        <v>36</v>
      </c>
      <c r="H408" t="s">
        <v>3954</v>
      </c>
      <c r="I408" t="s">
        <v>4212</v>
      </c>
      <c r="J408">
        <f t="shared" ref="J408:J414" si="14">K408/31</f>
        <v>90.696774193548379</v>
      </c>
      <c r="K408">
        <f>1875.6+576+360</f>
        <v>2811.6</v>
      </c>
      <c r="L408" t="s">
        <v>4519</v>
      </c>
    </row>
    <row r="409" spans="1:12" ht="50.1" customHeight="1">
      <c r="A409">
        <v>400</v>
      </c>
      <c r="B409" t="s">
        <v>4209</v>
      </c>
      <c r="C409" t="s">
        <v>4347</v>
      </c>
      <c r="D409">
        <v>212918020</v>
      </c>
      <c r="E409" t="s">
        <v>3954</v>
      </c>
      <c r="F409" t="s">
        <v>4348</v>
      </c>
      <c r="G409">
        <v>18</v>
      </c>
      <c r="H409" t="s">
        <v>3954</v>
      </c>
      <c r="I409" t="s">
        <v>4212</v>
      </c>
      <c r="J409">
        <f t="shared" si="14"/>
        <v>45.348387096774189</v>
      </c>
      <c r="K409">
        <f>937.8+288+180</f>
        <v>1405.8</v>
      </c>
      <c r="L409" t="s">
        <v>4520</v>
      </c>
    </row>
    <row r="410" spans="1:12" ht="50.1" customHeight="1">
      <c r="A410">
        <v>401</v>
      </c>
      <c r="B410" t="s">
        <v>4209</v>
      </c>
      <c r="C410" t="s">
        <v>4347</v>
      </c>
      <c r="D410">
        <v>212918020</v>
      </c>
      <c r="E410" t="s">
        <v>3954</v>
      </c>
      <c r="F410" t="s">
        <v>4348</v>
      </c>
      <c r="G410">
        <v>36</v>
      </c>
      <c r="H410" t="s">
        <v>3954</v>
      </c>
      <c r="I410" t="s">
        <v>4212</v>
      </c>
      <c r="J410">
        <f t="shared" si="14"/>
        <v>90.696774193548379</v>
      </c>
      <c r="K410">
        <f>1875.6+576+360</f>
        <v>2811.6</v>
      </c>
      <c r="L410" t="s">
        <v>4521</v>
      </c>
    </row>
    <row r="411" spans="1:12" ht="50.1" customHeight="1">
      <c r="A411">
        <v>402</v>
      </c>
      <c r="B411" t="s">
        <v>4209</v>
      </c>
      <c r="C411" t="s">
        <v>4347</v>
      </c>
      <c r="D411">
        <v>212918020</v>
      </c>
      <c r="E411" t="s">
        <v>3954</v>
      </c>
      <c r="F411" t="s">
        <v>4348</v>
      </c>
      <c r="G411">
        <v>18</v>
      </c>
      <c r="H411" t="s">
        <v>3954</v>
      </c>
      <c r="I411" t="s">
        <v>4212</v>
      </c>
      <c r="J411">
        <f t="shared" si="14"/>
        <v>15.116129032258065</v>
      </c>
      <c r="K411">
        <f>312.6+96+60</f>
        <v>468.6</v>
      </c>
      <c r="L411" t="s">
        <v>4522</v>
      </c>
    </row>
    <row r="412" spans="1:12" ht="50.1" customHeight="1">
      <c r="A412">
        <v>403</v>
      </c>
      <c r="B412" t="s">
        <v>4209</v>
      </c>
      <c r="C412" t="s">
        <v>4523</v>
      </c>
      <c r="D412">
        <v>231278541</v>
      </c>
      <c r="E412" t="s">
        <v>3954</v>
      </c>
      <c r="F412" t="s">
        <v>4376</v>
      </c>
      <c r="G412">
        <v>36</v>
      </c>
      <c r="H412" t="s">
        <v>3954</v>
      </c>
      <c r="I412" t="s">
        <v>4212</v>
      </c>
      <c r="J412">
        <f t="shared" si="14"/>
        <v>48.077419354838703</v>
      </c>
      <c r="K412">
        <f>648*2.3</f>
        <v>1490.3999999999999</v>
      </c>
      <c r="L412" t="s">
        <v>4524</v>
      </c>
    </row>
    <row r="413" spans="1:12" ht="50.1" customHeight="1">
      <c r="A413">
        <v>404</v>
      </c>
      <c r="B413" t="s">
        <v>4209</v>
      </c>
      <c r="C413" t="s">
        <v>4523</v>
      </c>
      <c r="D413">
        <v>231278541</v>
      </c>
      <c r="E413" t="s">
        <v>3954</v>
      </c>
      <c r="F413" t="s">
        <v>4376</v>
      </c>
      <c r="G413">
        <v>27</v>
      </c>
      <c r="H413" t="s">
        <v>3954</v>
      </c>
      <c r="I413" t="s">
        <v>4212</v>
      </c>
      <c r="J413">
        <f t="shared" si="14"/>
        <v>36.058064516129029</v>
      </c>
      <c r="K413">
        <f>486*2.3</f>
        <v>1117.8</v>
      </c>
      <c r="L413" t="s">
        <v>4525</v>
      </c>
    </row>
    <row r="414" spans="1:12" ht="50.1" customHeight="1">
      <c r="A414">
        <v>405</v>
      </c>
      <c r="B414" t="s">
        <v>4209</v>
      </c>
      <c r="C414" t="s">
        <v>4093</v>
      </c>
      <c r="D414">
        <v>227725511</v>
      </c>
      <c r="E414" t="s">
        <v>3954</v>
      </c>
      <c r="F414" t="s">
        <v>4376</v>
      </c>
      <c r="G414">
        <v>3</v>
      </c>
      <c r="H414" t="s">
        <v>3954</v>
      </c>
      <c r="I414" t="s">
        <v>4212</v>
      </c>
      <c r="J414">
        <f t="shared" si="14"/>
        <v>8.064516129032258</v>
      </c>
      <c r="K414">
        <v>250</v>
      </c>
      <c r="L414" t="s">
        <v>4526</v>
      </c>
    </row>
    <row r="415" spans="1:12" ht="50.1" customHeight="1">
      <c r="A415">
        <v>406</v>
      </c>
      <c r="B415" t="s">
        <v>4209</v>
      </c>
      <c r="C415" t="s">
        <v>4527</v>
      </c>
      <c r="D415">
        <v>445394966</v>
      </c>
      <c r="E415" t="s">
        <v>3954</v>
      </c>
      <c r="F415" t="s">
        <v>4528</v>
      </c>
      <c r="G415">
        <v>36</v>
      </c>
      <c r="H415" t="s">
        <v>3954</v>
      </c>
      <c r="I415" t="s">
        <v>4212</v>
      </c>
      <c r="J415">
        <f>K415/30</f>
        <v>56.4</v>
      </c>
      <c r="K415">
        <v>1692</v>
      </c>
      <c r="L415" t="s">
        <v>4529</v>
      </c>
    </row>
    <row r="416" spans="1:12" ht="50.1" customHeight="1">
      <c r="A416">
        <v>407</v>
      </c>
      <c r="B416" t="s">
        <v>4209</v>
      </c>
      <c r="C416" t="s">
        <v>4530</v>
      </c>
      <c r="D416">
        <v>211390172</v>
      </c>
      <c r="E416" t="s">
        <v>3954</v>
      </c>
      <c r="F416" t="s">
        <v>4531</v>
      </c>
      <c r="G416">
        <v>36</v>
      </c>
      <c r="H416" t="s">
        <v>3954</v>
      </c>
      <c r="I416" t="s">
        <v>4212</v>
      </c>
      <c r="J416">
        <f>K416/38</f>
        <v>96.269431578947376</v>
      </c>
      <c r="K416">
        <f>1586.4*2.306</f>
        <v>3658.2384000000002</v>
      </c>
      <c r="L416" t="s">
        <v>4532</v>
      </c>
    </row>
    <row r="417" spans="1:12" ht="50.1" customHeight="1">
      <c r="A417">
        <v>408</v>
      </c>
      <c r="B417" t="s">
        <v>4209</v>
      </c>
      <c r="C417" t="s">
        <v>4530</v>
      </c>
      <c r="D417">
        <v>211390172</v>
      </c>
      <c r="E417" t="s">
        <v>3954</v>
      </c>
      <c r="F417" t="s">
        <v>4531</v>
      </c>
      <c r="G417">
        <v>36</v>
      </c>
      <c r="H417" t="s">
        <v>3954</v>
      </c>
      <c r="I417" t="s">
        <v>4212</v>
      </c>
      <c r="J417">
        <f>K417/38</f>
        <v>96.269431578947376</v>
      </c>
      <c r="K417">
        <f>1586.4*2.306</f>
        <v>3658.2384000000002</v>
      </c>
      <c r="L417" t="s">
        <v>4533</v>
      </c>
    </row>
    <row r="418" spans="1:12" ht="50.1" customHeight="1">
      <c r="A418">
        <v>409</v>
      </c>
      <c r="B418" t="s">
        <v>4209</v>
      </c>
      <c r="C418" t="s">
        <v>4523</v>
      </c>
      <c r="D418">
        <v>231278541</v>
      </c>
      <c r="E418" t="s">
        <v>3954</v>
      </c>
      <c r="F418" t="s">
        <v>4534</v>
      </c>
      <c r="G418">
        <v>36</v>
      </c>
      <c r="H418" t="s">
        <v>3954</v>
      </c>
      <c r="I418" t="s">
        <v>4212</v>
      </c>
      <c r="J418">
        <f t="shared" ref="J418:J423" si="15">K418/31</f>
        <v>48.321987096774194</v>
      </c>
      <c r="K418">
        <f>648*2.3117</f>
        <v>1497.9816000000001</v>
      </c>
      <c r="L418" t="s">
        <v>4535</v>
      </c>
    </row>
    <row r="419" spans="1:12" ht="50.1" customHeight="1">
      <c r="A419">
        <v>410</v>
      </c>
      <c r="B419" t="s">
        <v>4209</v>
      </c>
      <c r="C419" t="s">
        <v>4359</v>
      </c>
      <c r="D419">
        <v>400166146</v>
      </c>
      <c r="E419" t="s">
        <v>3954</v>
      </c>
      <c r="F419" t="s">
        <v>4534</v>
      </c>
      <c r="G419">
        <v>60</v>
      </c>
      <c r="H419" t="s">
        <v>3954</v>
      </c>
      <c r="I419" t="s">
        <v>4212</v>
      </c>
      <c r="J419">
        <f t="shared" si="15"/>
        <v>168.2516129032258</v>
      </c>
      <c r="K419">
        <f>2774.4+1054.2+1387.2</f>
        <v>5215.8</v>
      </c>
      <c r="L419" t="s">
        <v>4536</v>
      </c>
    </row>
    <row r="420" spans="1:12" ht="50.1" customHeight="1">
      <c r="A420">
        <v>411</v>
      </c>
      <c r="B420" t="s">
        <v>4209</v>
      </c>
      <c r="C420" t="s">
        <v>4359</v>
      </c>
      <c r="D420">
        <v>400166146</v>
      </c>
      <c r="E420" t="s">
        <v>3954</v>
      </c>
      <c r="F420" t="s">
        <v>4534</v>
      </c>
      <c r="G420">
        <v>18</v>
      </c>
      <c r="H420" t="s">
        <v>3954</v>
      </c>
      <c r="I420" t="s">
        <v>4212</v>
      </c>
      <c r="J420">
        <f t="shared" si="15"/>
        <v>50.475483870967743</v>
      </c>
      <c r="K420">
        <f>832.32+316.26+416.16</f>
        <v>1564.74</v>
      </c>
      <c r="L420" t="s">
        <v>4537</v>
      </c>
    </row>
    <row r="421" spans="1:12" ht="50.1" customHeight="1">
      <c r="A421">
        <v>412</v>
      </c>
      <c r="B421" t="s">
        <v>4209</v>
      </c>
      <c r="C421" t="s">
        <v>4359</v>
      </c>
      <c r="D421">
        <v>400166146</v>
      </c>
      <c r="E421" t="s">
        <v>3954</v>
      </c>
      <c r="F421" t="s">
        <v>4534</v>
      </c>
      <c r="G421">
        <v>20</v>
      </c>
      <c r="H421" t="s">
        <v>3954</v>
      </c>
      <c r="I421" t="s">
        <v>4212</v>
      </c>
      <c r="J421">
        <f t="shared" si="15"/>
        <v>56.08387096774193</v>
      </c>
      <c r="K421">
        <f>924.8+351.4+462.4</f>
        <v>1738.6</v>
      </c>
      <c r="L421" t="s">
        <v>4538</v>
      </c>
    </row>
    <row r="422" spans="1:12" ht="50.1" customHeight="1">
      <c r="A422">
        <v>413</v>
      </c>
      <c r="B422" t="s">
        <v>4252</v>
      </c>
      <c r="C422" t="s">
        <v>4539</v>
      </c>
      <c r="D422">
        <v>406122342</v>
      </c>
      <c r="E422" t="s">
        <v>3954</v>
      </c>
      <c r="F422" t="s">
        <v>4534</v>
      </c>
      <c r="G422">
        <v>30</v>
      </c>
      <c r="H422" t="s">
        <v>3954</v>
      </c>
      <c r="I422" t="s">
        <v>4212</v>
      </c>
      <c r="J422">
        <f t="shared" si="15"/>
        <v>51.612903225806448</v>
      </c>
      <c r="K422">
        <v>1600</v>
      </c>
      <c r="L422" t="s">
        <v>4540</v>
      </c>
    </row>
    <row r="423" spans="1:12" ht="50.1" customHeight="1">
      <c r="A423">
        <v>414</v>
      </c>
      <c r="B423" t="s">
        <v>4209</v>
      </c>
      <c r="C423" t="s">
        <v>4530</v>
      </c>
      <c r="D423">
        <v>211390172</v>
      </c>
      <c r="E423" t="s">
        <v>3954</v>
      </c>
      <c r="F423" t="s">
        <v>4534</v>
      </c>
      <c r="G423">
        <v>36</v>
      </c>
      <c r="H423" t="s">
        <v>3954</v>
      </c>
      <c r="I423" t="s">
        <v>4212</v>
      </c>
      <c r="J423">
        <f t="shared" si="15"/>
        <v>118.29938322580647</v>
      </c>
      <c r="K423">
        <f>1586.4*2.3117</f>
        <v>3667.2808800000003</v>
      </c>
      <c r="L423" t="s">
        <v>4541</v>
      </c>
    </row>
    <row r="424" spans="1:12" ht="50.1" customHeight="1">
      <c r="A424">
        <v>415</v>
      </c>
      <c r="B424" t="s">
        <v>4252</v>
      </c>
      <c r="C424" t="s">
        <v>4542</v>
      </c>
      <c r="D424">
        <v>404416128</v>
      </c>
      <c r="E424" t="s">
        <v>3954</v>
      </c>
      <c r="F424" t="s">
        <v>4543</v>
      </c>
      <c r="G424">
        <v>3600</v>
      </c>
      <c r="H424" t="s">
        <v>3954</v>
      </c>
      <c r="I424" t="s">
        <v>4212</v>
      </c>
      <c r="J424">
        <f>K424/G424</f>
        <v>5</v>
      </c>
      <c r="K424">
        <v>18000</v>
      </c>
      <c r="L424" t="s">
        <v>4544</v>
      </c>
    </row>
    <row r="425" spans="1:12" ht="50.1" customHeight="1">
      <c r="A425">
        <v>416</v>
      </c>
      <c r="B425" t="s">
        <v>3952</v>
      </c>
      <c r="C425" t="s">
        <v>4545</v>
      </c>
      <c r="D425">
        <v>243572004</v>
      </c>
      <c r="E425" t="s">
        <v>3954</v>
      </c>
      <c r="F425" t="s">
        <v>4546</v>
      </c>
      <c r="G425" t="s">
        <v>3975</v>
      </c>
      <c r="H425" t="s">
        <v>3954</v>
      </c>
      <c r="I425" t="s">
        <v>3773</v>
      </c>
      <c r="J425">
        <f>K425/30</f>
        <v>16.666666666666668</v>
      </c>
      <c r="K425">
        <v>500</v>
      </c>
      <c r="L425" t="s">
        <v>4547</v>
      </c>
    </row>
    <row r="426" spans="1:12" ht="50.1" customHeight="1">
      <c r="A426">
        <v>417</v>
      </c>
      <c r="B426" t="s">
        <v>3977</v>
      </c>
      <c r="C426" t="s">
        <v>4545</v>
      </c>
      <c r="D426">
        <v>243572004</v>
      </c>
      <c r="E426" t="s">
        <v>3954</v>
      </c>
      <c r="F426" t="s">
        <v>4546</v>
      </c>
      <c r="G426">
        <v>5000</v>
      </c>
      <c r="H426" t="s">
        <v>3954</v>
      </c>
      <c r="I426" t="s">
        <v>3979</v>
      </c>
      <c r="J426">
        <f t="shared" ref="J426:J436" si="16">K426/G426</f>
        <v>0.4</v>
      </c>
      <c r="K426">
        <v>2000</v>
      </c>
      <c r="L426" t="s">
        <v>4548</v>
      </c>
    </row>
    <row r="427" spans="1:12" ht="50.1" customHeight="1">
      <c r="A427">
        <v>418</v>
      </c>
      <c r="B427" t="s">
        <v>4380</v>
      </c>
      <c r="C427" t="s">
        <v>4549</v>
      </c>
      <c r="D427">
        <v>404430870</v>
      </c>
      <c r="E427" t="s">
        <v>3954</v>
      </c>
      <c r="F427" t="s">
        <v>4550</v>
      </c>
      <c r="G427">
        <v>23.12</v>
      </c>
      <c r="H427" t="s">
        <v>3954</v>
      </c>
      <c r="I427" t="s">
        <v>4212</v>
      </c>
      <c r="J427">
        <f t="shared" si="16"/>
        <v>51.903114186851212</v>
      </c>
      <c r="K427">
        <v>1200</v>
      </c>
      <c r="L427" t="s">
        <v>4551</v>
      </c>
    </row>
    <row r="428" spans="1:12" ht="50.1" customHeight="1">
      <c r="A428">
        <v>419</v>
      </c>
      <c r="B428" t="s">
        <v>4367</v>
      </c>
      <c r="C428" t="s">
        <v>4552</v>
      </c>
      <c r="D428">
        <v>200221991</v>
      </c>
      <c r="E428" t="s">
        <v>3954</v>
      </c>
      <c r="F428" t="s">
        <v>4553</v>
      </c>
      <c r="G428">
        <v>476.88</v>
      </c>
      <c r="H428" t="s">
        <v>3954</v>
      </c>
      <c r="I428" t="s">
        <v>4370</v>
      </c>
      <c r="J428">
        <f t="shared" si="16"/>
        <v>120.00083878543869</v>
      </c>
      <c r="K428">
        <v>57226</v>
      </c>
      <c r="L428" t="s">
        <v>4554</v>
      </c>
    </row>
    <row r="429" spans="1:12" ht="50.1" customHeight="1">
      <c r="A429">
        <v>420</v>
      </c>
      <c r="B429" t="s">
        <v>4367</v>
      </c>
      <c r="C429" t="s">
        <v>4555</v>
      </c>
      <c r="D429">
        <v>205200806</v>
      </c>
      <c r="E429" t="s">
        <v>3954</v>
      </c>
      <c r="F429" t="s">
        <v>4553</v>
      </c>
      <c r="G429">
        <v>536.66999999999996</v>
      </c>
      <c r="H429" t="s">
        <v>3954</v>
      </c>
      <c r="I429" t="s">
        <v>4370</v>
      </c>
      <c r="J429">
        <f t="shared" si="16"/>
        <v>49.660834404755256</v>
      </c>
      <c r="K429">
        <v>26651.48</v>
      </c>
      <c r="L429" t="s">
        <v>4554</v>
      </c>
    </row>
    <row r="430" spans="1:12" ht="50.1" customHeight="1">
      <c r="A430">
        <v>421</v>
      </c>
      <c r="B430" t="s">
        <v>4367</v>
      </c>
      <c r="C430" t="s">
        <v>4556</v>
      </c>
      <c r="D430">
        <v>404915927</v>
      </c>
      <c r="E430" t="s">
        <v>3954</v>
      </c>
      <c r="F430" t="s">
        <v>4553</v>
      </c>
      <c r="G430">
        <v>476.96</v>
      </c>
      <c r="H430" t="s">
        <v>3954</v>
      </c>
      <c r="I430" t="s">
        <v>4370</v>
      </c>
      <c r="J430">
        <f t="shared" si="16"/>
        <v>66.000922509225092</v>
      </c>
      <c r="K430">
        <v>31479.8</v>
      </c>
      <c r="L430" t="s">
        <v>4554</v>
      </c>
    </row>
    <row r="431" spans="1:12" ht="50.1" customHeight="1">
      <c r="A431">
        <v>422</v>
      </c>
      <c r="B431" t="s">
        <v>4367</v>
      </c>
      <c r="C431" t="s">
        <v>4557</v>
      </c>
      <c r="D431">
        <v>233109739</v>
      </c>
      <c r="E431" t="s">
        <v>3954</v>
      </c>
      <c r="F431" t="s">
        <v>4553</v>
      </c>
      <c r="G431">
        <v>83.67</v>
      </c>
      <c r="H431" t="s">
        <v>3954</v>
      </c>
      <c r="I431" t="s">
        <v>4370</v>
      </c>
      <c r="J431">
        <f t="shared" si="16"/>
        <v>230.99079717939523</v>
      </c>
      <c r="K431">
        <v>19327</v>
      </c>
      <c r="L431" t="s">
        <v>4554</v>
      </c>
    </row>
    <row r="432" spans="1:12" ht="50.1" customHeight="1">
      <c r="A432">
        <v>423</v>
      </c>
      <c r="B432" t="s">
        <v>4367</v>
      </c>
      <c r="C432" t="s">
        <v>4558</v>
      </c>
      <c r="D432">
        <v>204426264</v>
      </c>
      <c r="E432" t="s">
        <v>3954</v>
      </c>
      <c r="F432" t="s">
        <v>4553</v>
      </c>
      <c r="G432">
        <v>476.73329999999999</v>
      </c>
      <c r="H432" t="s">
        <v>3954</v>
      </c>
      <c r="I432" t="s">
        <v>4370</v>
      </c>
      <c r="J432">
        <f t="shared" si="16"/>
        <v>80.01398266074554</v>
      </c>
      <c r="K432">
        <v>38145.33</v>
      </c>
      <c r="L432" t="s">
        <v>4554</v>
      </c>
    </row>
    <row r="433" spans="1:12" ht="50.1" customHeight="1">
      <c r="A433">
        <v>424</v>
      </c>
      <c r="B433" t="s">
        <v>4367</v>
      </c>
      <c r="C433" t="s">
        <v>4559</v>
      </c>
      <c r="D433">
        <v>211393188</v>
      </c>
      <c r="E433" t="s">
        <v>3954</v>
      </c>
      <c r="F433" t="s">
        <v>4553</v>
      </c>
      <c r="G433">
        <v>518.09</v>
      </c>
      <c r="H433" t="s">
        <v>3954</v>
      </c>
      <c r="I433" t="s">
        <v>4370</v>
      </c>
      <c r="J433">
        <f t="shared" si="16"/>
        <v>46.147870061186275</v>
      </c>
      <c r="K433">
        <v>23908.75</v>
      </c>
      <c r="L433" t="s">
        <v>4554</v>
      </c>
    </row>
    <row r="434" spans="1:12" ht="50.1" customHeight="1">
      <c r="A434">
        <v>425</v>
      </c>
      <c r="B434" t="s">
        <v>4367</v>
      </c>
      <c r="C434" t="s">
        <v>4560</v>
      </c>
      <c r="D434">
        <v>204982206</v>
      </c>
      <c r="E434" t="s">
        <v>3954</v>
      </c>
      <c r="F434" t="s">
        <v>4553</v>
      </c>
      <c r="G434">
        <v>386.9</v>
      </c>
      <c r="H434" t="s">
        <v>3954</v>
      </c>
      <c r="I434" t="s">
        <v>4370</v>
      </c>
      <c r="J434">
        <f t="shared" si="16"/>
        <v>124.96200568622385</v>
      </c>
      <c r="K434">
        <v>48347.8</v>
      </c>
      <c r="L434" t="s">
        <v>4554</v>
      </c>
    </row>
    <row r="435" spans="1:12" ht="50.1" customHeight="1">
      <c r="A435">
        <v>426</v>
      </c>
      <c r="B435" t="s">
        <v>4367</v>
      </c>
      <c r="C435" t="s">
        <v>4561</v>
      </c>
      <c r="D435">
        <v>205021215</v>
      </c>
      <c r="E435" t="s">
        <v>3954</v>
      </c>
      <c r="F435" t="s">
        <v>4562</v>
      </c>
      <c r="G435">
        <v>480.06670000000003</v>
      </c>
      <c r="H435" t="s">
        <v>3954</v>
      </c>
      <c r="I435" t="s">
        <v>4370</v>
      </c>
      <c r="J435">
        <f t="shared" si="16"/>
        <v>78.113728779771648</v>
      </c>
      <c r="K435">
        <v>37499.800000000003</v>
      </c>
      <c r="L435" t="s">
        <v>4554</v>
      </c>
    </row>
    <row r="436" spans="1:12" ht="50.1" customHeight="1">
      <c r="A436">
        <v>427</v>
      </c>
      <c r="B436" t="s">
        <v>4367</v>
      </c>
      <c r="C436" t="s">
        <v>4563</v>
      </c>
      <c r="D436">
        <v>204892535</v>
      </c>
      <c r="E436" t="s">
        <v>3954</v>
      </c>
      <c r="F436" t="s">
        <v>4553</v>
      </c>
      <c r="G436">
        <v>790.26670000000001</v>
      </c>
      <c r="H436" t="s">
        <v>3954</v>
      </c>
      <c r="I436" t="s">
        <v>4370</v>
      </c>
      <c r="J436">
        <f t="shared" si="16"/>
        <v>179.28799226893906</v>
      </c>
      <c r="K436">
        <v>141685.32999999999</v>
      </c>
      <c r="L436" t="s">
        <v>4564</v>
      </c>
    </row>
    <row r="437" spans="1:12" ht="50.1" customHeight="1">
      <c r="A437">
        <v>428</v>
      </c>
      <c r="B437" t="s">
        <v>361</v>
      </c>
      <c r="C437" t="s">
        <v>4565</v>
      </c>
      <c r="D437">
        <v>209437082</v>
      </c>
      <c r="E437" t="s">
        <v>3954</v>
      </c>
      <c r="F437" t="s">
        <v>4550</v>
      </c>
      <c r="H437" t="s">
        <v>3954</v>
      </c>
      <c r="K437">
        <v>200</v>
      </c>
      <c r="L437" t="s">
        <v>4566</v>
      </c>
    </row>
    <row r="438" spans="1:12" ht="50.1" customHeight="1">
      <c r="A438">
        <v>429</v>
      </c>
      <c r="B438" t="s">
        <v>4478</v>
      </c>
      <c r="C438" t="s">
        <v>3953</v>
      </c>
      <c r="D438">
        <v>404975452</v>
      </c>
      <c r="E438" t="s">
        <v>3954</v>
      </c>
      <c r="F438" t="s">
        <v>4516</v>
      </c>
      <c r="G438">
        <v>192.02</v>
      </c>
      <c r="H438" t="s">
        <v>3954</v>
      </c>
      <c r="I438" t="s">
        <v>4370</v>
      </c>
      <c r="J438">
        <f>K438/G438</f>
        <v>198.55457764816163</v>
      </c>
      <c r="K438">
        <v>38126.449999999997</v>
      </c>
      <c r="L438" t="s">
        <v>4517</v>
      </c>
    </row>
    <row r="439" spans="1:12" ht="50.1" customHeight="1">
      <c r="A439">
        <v>430</v>
      </c>
      <c r="B439" t="s">
        <v>4478</v>
      </c>
      <c r="C439" t="s">
        <v>4513</v>
      </c>
      <c r="D439">
        <v>203842823</v>
      </c>
      <c r="E439" t="s">
        <v>3954</v>
      </c>
      <c r="F439" t="s">
        <v>4516</v>
      </c>
      <c r="G439">
        <v>95.9</v>
      </c>
      <c r="H439" t="s">
        <v>3954</v>
      </c>
      <c r="I439" t="s">
        <v>4370</v>
      </c>
      <c r="J439">
        <f>K439/G439</f>
        <v>828.11783107403539</v>
      </c>
      <c r="K439">
        <v>79416.5</v>
      </c>
      <c r="L439" t="s">
        <v>4517</v>
      </c>
    </row>
    <row r="440" spans="1:12" ht="50.1" customHeight="1">
      <c r="A440">
        <v>431</v>
      </c>
      <c r="B440" t="s">
        <v>4478</v>
      </c>
      <c r="C440" t="s">
        <v>4567</v>
      </c>
      <c r="D440">
        <v>404385465</v>
      </c>
      <c r="E440" t="s">
        <v>3954</v>
      </c>
      <c r="F440" t="s">
        <v>4516</v>
      </c>
      <c r="G440">
        <v>126.77</v>
      </c>
      <c r="H440" t="s">
        <v>3954</v>
      </c>
      <c r="I440" t="s">
        <v>4370</v>
      </c>
      <c r="J440">
        <f>K440/G440</f>
        <v>256.22978622702533</v>
      </c>
      <c r="K440">
        <v>32482.25</v>
      </c>
      <c r="L440" t="s">
        <v>4517</v>
      </c>
    </row>
    <row r="441" spans="1:12" ht="50.1" customHeight="1">
      <c r="A441">
        <v>432</v>
      </c>
      <c r="B441" t="s">
        <v>4209</v>
      </c>
      <c r="C441" t="s">
        <v>4210</v>
      </c>
      <c r="D441">
        <v>246958056</v>
      </c>
      <c r="E441" t="s">
        <v>3954</v>
      </c>
      <c r="F441" t="s">
        <v>4568</v>
      </c>
      <c r="G441">
        <v>36</v>
      </c>
      <c r="H441" t="s">
        <v>3954</v>
      </c>
      <c r="I441" t="s">
        <v>4212</v>
      </c>
      <c r="J441">
        <f t="shared" ref="J441:J445" si="17">K441/G441</f>
        <v>118.08055555555555</v>
      </c>
      <c r="K441">
        <v>4250.8999999999996</v>
      </c>
      <c r="L441" t="s">
        <v>4569</v>
      </c>
    </row>
    <row r="442" spans="1:12" ht="50.1" customHeight="1">
      <c r="A442">
        <v>433</v>
      </c>
      <c r="B442" t="s">
        <v>4478</v>
      </c>
      <c r="C442" t="s">
        <v>4570</v>
      </c>
      <c r="D442">
        <v>233108053</v>
      </c>
      <c r="E442" t="s">
        <v>3954</v>
      </c>
      <c r="F442" t="s">
        <v>4571</v>
      </c>
      <c r="G442">
        <v>17.5</v>
      </c>
      <c r="H442" t="s">
        <v>3954</v>
      </c>
      <c r="I442" t="s">
        <v>4370</v>
      </c>
      <c r="J442">
        <f t="shared" si="17"/>
        <v>400</v>
      </c>
      <c r="K442">
        <v>7000</v>
      </c>
      <c r="L442" t="s">
        <v>4517</v>
      </c>
    </row>
    <row r="443" spans="1:12" ht="50.1" customHeight="1">
      <c r="A443">
        <v>434</v>
      </c>
      <c r="B443" t="s">
        <v>4209</v>
      </c>
      <c r="C443" t="s">
        <v>4523</v>
      </c>
      <c r="D443">
        <v>231278541</v>
      </c>
      <c r="E443" t="s">
        <v>3954</v>
      </c>
      <c r="F443" t="s">
        <v>4572</v>
      </c>
      <c r="G443">
        <v>72</v>
      </c>
      <c r="H443" t="s">
        <v>3954</v>
      </c>
      <c r="I443" t="s">
        <v>4212</v>
      </c>
      <c r="J443">
        <f t="shared" si="17"/>
        <v>41.588888888888889</v>
      </c>
      <c r="K443">
        <v>2994.4</v>
      </c>
      <c r="L443" t="s">
        <v>4573</v>
      </c>
    </row>
    <row r="444" spans="1:12" ht="50.1" customHeight="1">
      <c r="A444">
        <v>435</v>
      </c>
      <c r="B444" t="s">
        <v>4209</v>
      </c>
      <c r="C444" t="s">
        <v>4523</v>
      </c>
      <c r="D444">
        <v>231278541</v>
      </c>
      <c r="E444" t="s">
        <v>3954</v>
      </c>
      <c r="F444" t="s">
        <v>4572</v>
      </c>
      <c r="G444">
        <v>36</v>
      </c>
      <c r="H444" t="s">
        <v>3954</v>
      </c>
      <c r="I444" t="s">
        <v>4212</v>
      </c>
      <c r="J444">
        <f t="shared" si="17"/>
        <v>41.588888888888889</v>
      </c>
      <c r="K444">
        <v>1497.2</v>
      </c>
      <c r="L444" t="s">
        <v>4574</v>
      </c>
    </row>
    <row r="445" spans="1:12" ht="50.1" customHeight="1">
      <c r="A445">
        <v>436</v>
      </c>
      <c r="B445" t="s">
        <v>4209</v>
      </c>
      <c r="C445" t="s">
        <v>4523</v>
      </c>
      <c r="D445">
        <v>231278541</v>
      </c>
      <c r="E445" t="s">
        <v>3954</v>
      </c>
      <c r="F445" t="s">
        <v>4572</v>
      </c>
      <c r="G445">
        <v>36</v>
      </c>
      <c r="H445" t="s">
        <v>3954</v>
      </c>
      <c r="I445" t="s">
        <v>4212</v>
      </c>
      <c r="J445">
        <f t="shared" si="17"/>
        <v>41.588888888888889</v>
      </c>
      <c r="K445">
        <v>1497.2</v>
      </c>
      <c r="L445" t="s">
        <v>4575</v>
      </c>
    </row>
    <row r="446" spans="1:12" ht="50.1" customHeight="1">
      <c r="A446">
        <v>437</v>
      </c>
      <c r="B446" t="s">
        <v>3952</v>
      </c>
      <c r="C446" t="s">
        <v>3983</v>
      </c>
      <c r="D446">
        <v>441994585</v>
      </c>
      <c r="E446" t="s">
        <v>3954</v>
      </c>
      <c r="F446" t="s">
        <v>4576</v>
      </c>
      <c r="G446" t="s">
        <v>4577</v>
      </c>
      <c r="H446" t="s">
        <v>3954</v>
      </c>
      <c r="I446" t="s">
        <v>3773</v>
      </c>
      <c r="J446">
        <f>K446/21</f>
        <v>428.57142857142856</v>
      </c>
      <c r="K446">
        <v>9000</v>
      </c>
      <c r="L446" t="s">
        <v>4578</v>
      </c>
    </row>
    <row r="447" spans="1:12" ht="50.1" customHeight="1">
      <c r="A447">
        <v>438</v>
      </c>
      <c r="B447" t="s">
        <v>4209</v>
      </c>
      <c r="C447" t="s">
        <v>4579</v>
      </c>
      <c r="D447">
        <v>236684469</v>
      </c>
      <c r="E447" t="s">
        <v>3954</v>
      </c>
      <c r="F447" t="s">
        <v>4580</v>
      </c>
      <c r="G447">
        <v>18</v>
      </c>
      <c r="H447" t="s">
        <v>3954</v>
      </c>
      <c r="I447" t="s">
        <v>4212</v>
      </c>
      <c r="J447">
        <f>K447/22</f>
        <v>65.454545454545453</v>
      </c>
      <c r="K447">
        <v>1440</v>
      </c>
      <c r="L447" t="s">
        <v>4581</v>
      </c>
    </row>
    <row r="448" spans="1:12" ht="50.1" customHeight="1">
      <c r="A448">
        <v>439</v>
      </c>
      <c r="B448" t="s">
        <v>4209</v>
      </c>
      <c r="C448" t="s">
        <v>4579</v>
      </c>
      <c r="D448">
        <v>236684469</v>
      </c>
      <c r="E448" t="s">
        <v>3954</v>
      </c>
      <c r="F448" t="s">
        <v>4580</v>
      </c>
      <c r="G448">
        <v>18</v>
      </c>
      <c r="H448" t="s">
        <v>3954</v>
      </c>
      <c r="I448" t="s">
        <v>4212</v>
      </c>
      <c r="J448">
        <f>K448/22</f>
        <v>65.454545454545453</v>
      </c>
      <c r="K448">
        <v>1440</v>
      </c>
      <c r="L448" t="s">
        <v>4582</v>
      </c>
    </row>
    <row r="449" spans="1:12" ht="50.1" customHeight="1">
      <c r="A449">
        <v>440</v>
      </c>
      <c r="B449" t="s">
        <v>4209</v>
      </c>
      <c r="C449" t="s">
        <v>4579</v>
      </c>
      <c r="D449">
        <v>236684469</v>
      </c>
      <c r="E449" t="s">
        <v>3954</v>
      </c>
      <c r="F449" t="s">
        <v>4580</v>
      </c>
      <c r="G449">
        <v>12.5</v>
      </c>
      <c r="H449" t="s">
        <v>3954</v>
      </c>
      <c r="I449" t="s">
        <v>4212</v>
      </c>
      <c r="J449">
        <f>K449/22</f>
        <v>45.454545454545453</v>
      </c>
      <c r="K449">
        <v>1000</v>
      </c>
      <c r="L449" t="s">
        <v>4583</v>
      </c>
    </row>
    <row r="450" spans="1:12" ht="50.1" customHeight="1">
      <c r="A450">
        <v>441</v>
      </c>
      <c r="B450" t="s">
        <v>4209</v>
      </c>
      <c r="C450" t="s">
        <v>4579</v>
      </c>
      <c r="D450">
        <v>236684469</v>
      </c>
      <c r="E450" t="s">
        <v>3954</v>
      </c>
      <c r="F450" t="s">
        <v>4580</v>
      </c>
      <c r="G450">
        <v>12.5</v>
      </c>
      <c r="H450" t="s">
        <v>3954</v>
      </c>
      <c r="I450" t="s">
        <v>4212</v>
      </c>
      <c r="J450">
        <f>K450/22</f>
        <v>45.454545454545453</v>
      </c>
      <c r="K450">
        <v>1000</v>
      </c>
      <c r="L450" t="s">
        <v>4584</v>
      </c>
    </row>
    <row r="451" spans="1:12" ht="50.1" customHeight="1">
      <c r="A451">
        <v>442</v>
      </c>
      <c r="B451" t="s">
        <v>4252</v>
      </c>
      <c r="C451" t="s">
        <v>4585</v>
      </c>
      <c r="D451">
        <v>445464890</v>
      </c>
      <c r="E451" t="s">
        <v>3954</v>
      </c>
      <c r="F451" t="s">
        <v>4580</v>
      </c>
      <c r="G451">
        <v>11.75</v>
      </c>
      <c r="H451" t="s">
        <v>3954</v>
      </c>
      <c r="I451" t="s">
        <v>4212</v>
      </c>
      <c r="J451">
        <f>K451/G451</f>
        <v>138.29787234042553</v>
      </c>
      <c r="K451">
        <v>1625</v>
      </c>
      <c r="L451" t="s">
        <v>4586</v>
      </c>
    </row>
    <row r="452" spans="1:12" ht="50.1" customHeight="1">
      <c r="A452">
        <v>443</v>
      </c>
      <c r="B452" t="s">
        <v>3952</v>
      </c>
      <c r="C452" t="s">
        <v>4587</v>
      </c>
      <c r="E452" t="s">
        <v>3954</v>
      </c>
      <c r="F452" t="s">
        <v>4588</v>
      </c>
      <c r="H452" t="s">
        <v>3954</v>
      </c>
      <c r="K452">
        <f>88382+7575.83</f>
        <v>95957.83</v>
      </c>
    </row>
    <row r="453" spans="1:12" ht="50.1" customHeight="1">
      <c r="A453">
        <v>444</v>
      </c>
      <c r="B453" t="s">
        <v>4209</v>
      </c>
      <c r="C453" t="s">
        <v>4347</v>
      </c>
      <c r="D453">
        <v>212918020</v>
      </c>
      <c r="E453" t="s">
        <v>3954</v>
      </c>
      <c r="F453" t="s">
        <v>4589</v>
      </c>
      <c r="G453">
        <v>6</v>
      </c>
      <c r="H453" t="s">
        <v>3954</v>
      </c>
      <c r="I453" t="s">
        <v>4212</v>
      </c>
      <c r="J453">
        <f t="shared" ref="J453:J500" si="18">K453/G453</f>
        <v>25.5</v>
      </c>
      <c r="K453">
        <v>153</v>
      </c>
      <c r="L453" t="s">
        <v>4590</v>
      </c>
    </row>
    <row r="454" spans="1:12" ht="50.1" customHeight="1">
      <c r="A454">
        <v>445</v>
      </c>
      <c r="B454" t="s">
        <v>4209</v>
      </c>
      <c r="C454" t="s">
        <v>4347</v>
      </c>
      <c r="D454">
        <v>212918020</v>
      </c>
      <c r="E454" t="s">
        <v>3954</v>
      </c>
      <c r="F454" t="s">
        <v>4589</v>
      </c>
      <c r="G454">
        <v>6</v>
      </c>
      <c r="H454" t="s">
        <v>3954</v>
      </c>
      <c r="I454" t="s">
        <v>4212</v>
      </c>
      <c r="J454">
        <f t="shared" si="18"/>
        <v>25.5</v>
      </c>
      <c r="K454">
        <v>153</v>
      </c>
      <c r="L454" t="s">
        <v>4591</v>
      </c>
    </row>
    <row r="455" spans="1:12" ht="50.1" customHeight="1">
      <c r="A455">
        <v>446</v>
      </c>
      <c r="B455" t="s">
        <v>4209</v>
      </c>
      <c r="C455" t="s">
        <v>4347</v>
      </c>
      <c r="D455">
        <v>212918020</v>
      </c>
      <c r="E455" t="s">
        <v>3954</v>
      </c>
      <c r="F455" t="s">
        <v>4589</v>
      </c>
      <c r="G455">
        <v>6</v>
      </c>
      <c r="H455" t="s">
        <v>3954</v>
      </c>
      <c r="I455" t="s">
        <v>4212</v>
      </c>
      <c r="J455">
        <f t="shared" si="18"/>
        <v>25.5</v>
      </c>
      <c r="K455">
        <v>153</v>
      </c>
      <c r="L455" t="s">
        <v>4592</v>
      </c>
    </row>
    <row r="456" spans="1:12" ht="50.1" customHeight="1">
      <c r="A456">
        <v>447</v>
      </c>
      <c r="B456" t="s">
        <v>4209</v>
      </c>
      <c r="C456" t="s">
        <v>4347</v>
      </c>
      <c r="D456">
        <v>212918020</v>
      </c>
      <c r="E456" t="s">
        <v>3954</v>
      </c>
      <c r="F456" t="s">
        <v>4589</v>
      </c>
      <c r="G456">
        <v>6</v>
      </c>
      <c r="H456" t="s">
        <v>3954</v>
      </c>
      <c r="I456" t="s">
        <v>4212</v>
      </c>
      <c r="J456">
        <f t="shared" si="18"/>
        <v>25.5</v>
      </c>
      <c r="K456">
        <v>153</v>
      </c>
      <c r="L456" t="s">
        <v>4593</v>
      </c>
    </row>
    <row r="457" spans="1:12" ht="50.1" customHeight="1">
      <c r="A457">
        <v>448</v>
      </c>
      <c r="B457" t="s">
        <v>4209</v>
      </c>
      <c r="C457" t="s">
        <v>4347</v>
      </c>
      <c r="D457">
        <v>212918020</v>
      </c>
      <c r="E457" t="s">
        <v>3954</v>
      </c>
      <c r="F457" t="s">
        <v>4589</v>
      </c>
      <c r="G457">
        <v>6</v>
      </c>
      <c r="H457" t="s">
        <v>3954</v>
      </c>
      <c r="I457" t="s">
        <v>4212</v>
      </c>
      <c r="J457">
        <f t="shared" si="18"/>
        <v>25.5</v>
      </c>
      <c r="K457">
        <v>153</v>
      </c>
      <c r="L457" t="s">
        <v>4594</v>
      </c>
    </row>
    <row r="458" spans="1:12" ht="50.1" customHeight="1">
      <c r="A458">
        <v>449</v>
      </c>
      <c r="B458" t="s">
        <v>4209</v>
      </c>
      <c r="C458" t="s">
        <v>4347</v>
      </c>
      <c r="D458">
        <v>212918020</v>
      </c>
      <c r="E458" t="s">
        <v>3954</v>
      </c>
      <c r="F458" t="s">
        <v>4589</v>
      </c>
      <c r="G458">
        <v>6</v>
      </c>
      <c r="H458" t="s">
        <v>3954</v>
      </c>
      <c r="I458" t="s">
        <v>4212</v>
      </c>
      <c r="J458">
        <f t="shared" si="18"/>
        <v>25.5</v>
      </c>
      <c r="K458">
        <v>153</v>
      </c>
      <c r="L458" t="s">
        <v>4595</v>
      </c>
    </row>
    <row r="459" spans="1:12" ht="50.1" customHeight="1">
      <c r="A459">
        <v>450</v>
      </c>
      <c r="B459" t="s">
        <v>4209</v>
      </c>
      <c r="C459" t="s">
        <v>4347</v>
      </c>
      <c r="D459">
        <v>212918020</v>
      </c>
      <c r="E459" t="s">
        <v>3954</v>
      </c>
      <c r="F459" t="s">
        <v>4589</v>
      </c>
      <c r="G459">
        <v>6</v>
      </c>
      <c r="H459" t="s">
        <v>3954</v>
      </c>
      <c r="I459" t="s">
        <v>4212</v>
      </c>
      <c r="J459">
        <f t="shared" si="18"/>
        <v>25.5</v>
      </c>
      <c r="K459">
        <v>153</v>
      </c>
      <c r="L459" t="s">
        <v>4596</v>
      </c>
    </row>
    <row r="460" spans="1:12" ht="50.1" customHeight="1">
      <c r="A460">
        <v>451</v>
      </c>
      <c r="B460" t="s">
        <v>4209</v>
      </c>
      <c r="C460" t="s">
        <v>4347</v>
      </c>
      <c r="D460">
        <v>212918020</v>
      </c>
      <c r="E460" t="s">
        <v>3954</v>
      </c>
      <c r="F460" t="s">
        <v>4589</v>
      </c>
      <c r="G460">
        <v>6</v>
      </c>
      <c r="H460" t="s">
        <v>3954</v>
      </c>
      <c r="I460" t="s">
        <v>4212</v>
      </c>
      <c r="J460">
        <f t="shared" si="18"/>
        <v>25.5</v>
      </c>
      <c r="K460">
        <v>153</v>
      </c>
      <c r="L460" t="s">
        <v>4597</v>
      </c>
    </row>
    <row r="461" spans="1:12" ht="50.1" customHeight="1">
      <c r="A461">
        <v>452</v>
      </c>
      <c r="B461" t="s">
        <v>4209</v>
      </c>
      <c r="C461" t="s">
        <v>4347</v>
      </c>
      <c r="D461">
        <v>212918020</v>
      </c>
      <c r="E461" t="s">
        <v>3954</v>
      </c>
      <c r="F461" t="s">
        <v>4589</v>
      </c>
      <c r="G461">
        <v>6</v>
      </c>
      <c r="H461" t="s">
        <v>3954</v>
      </c>
      <c r="I461" t="s">
        <v>4212</v>
      </c>
      <c r="J461">
        <f t="shared" si="18"/>
        <v>25.5</v>
      </c>
      <c r="K461">
        <v>153</v>
      </c>
      <c r="L461" t="s">
        <v>4598</v>
      </c>
    </row>
    <row r="462" spans="1:12" ht="50.1" customHeight="1">
      <c r="A462">
        <v>453</v>
      </c>
      <c r="B462" t="s">
        <v>4209</v>
      </c>
      <c r="C462" t="s">
        <v>4347</v>
      </c>
      <c r="D462">
        <v>212918020</v>
      </c>
      <c r="E462" t="s">
        <v>3954</v>
      </c>
      <c r="F462" t="s">
        <v>4589</v>
      </c>
      <c r="G462">
        <v>6</v>
      </c>
      <c r="H462" t="s">
        <v>3954</v>
      </c>
      <c r="I462" t="s">
        <v>4212</v>
      </c>
      <c r="J462">
        <f t="shared" si="18"/>
        <v>25.5</v>
      </c>
      <c r="K462">
        <v>153</v>
      </c>
      <c r="L462" t="s">
        <v>4599</v>
      </c>
    </row>
    <row r="463" spans="1:12" ht="50.1" customHeight="1">
      <c r="A463">
        <v>454</v>
      </c>
      <c r="B463" t="s">
        <v>4209</v>
      </c>
      <c r="C463" t="s">
        <v>4347</v>
      </c>
      <c r="D463">
        <v>212918020</v>
      </c>
      <c r="E463" t="s">
        <v>3954</v>
      </c>
      <c r="F463" t="s">
        <v>4589</v>
      </c>
      <c r="G463">
        <v>6</v>
      </c>
      <c r="H463" t="s">
        <v>3954</v>
      </c>
      <c r="I463" t="s">
        <v>4212</v>
      </c>
      <c r="J463">
        <f t="shared" si="18"/>
        <v>25.5</v>
      </c>
      <c r="K463">
        <v>153</v>
      </c>
      <c r="L463" t="s">
        <v>4600</v>
      </c>
    </row>
    <row r="464" spans="1:12" ht="50.1" customHeight="1">
      <c r="A464">
        <v>455</v>
      </c>
      <c r="B464" t="s">
        <v>4209</v>
      </c>
      <c r="C464" t="s">
        <v>4347</v>
      </c>
      <c r="D464">
        <v>212918020</v>
      </c>
      <c r="E464" t="s">
        <v>3954</v>
      </c>
      <c r="F464" t="s">
        <v>4589</v>
      </c>
      <c r="G464">
        <v>6</v>
      </c>
      <c r="H464" t="s">
        <v>3954</v>
      </c>
      <c r="I464" t="s">
        <v>4212</v>
      </c>
      <c r="J464">
        <f t="shared" si="18"/>
        <v>25.5</v>
      </c>
      <c r="K464">
        <v>153</v>
      </c>
      <c r="L464" t="s">
        <v>4601</v>
      </c>
    </row>
    <row r="465" spans="1:12" ht="50.1" customHeight="1">
      <c r="A465">
        <v>456</v>
      </c>
      <c r="B465" t="s">
        <v>4209</v>
      </c>
      <c r="C465" t="s">
        <v>4347</v>
      </c>
      <c r="D465">
        <v>212918020</v>
      </c>
      <c r="E465" t="s">
        <v>3954</v>
      </c>
      <c r="F465" t="s">
        <v>4589</v>
      </c>
      <c r="G465">
        <v>6</v>
      </c>
      <c r="H465" t="s">
        <v>3954</v>
      </c>
      <c r="I465" t="s">
        <v>4212</v>
      </c>
      <c r="J465">
        <f t="shared" si="18"/>
        <v>25.5</v>
      </c>
      <c r="K465">
        <v>153</v>
      </c>
      <c r="L465" t="s">
        <v>4602</v>
      </c>
    </row>
    <row r="466" spans="1:12" ht="50.1" customHeight="1">
      <c r="A466">
        <v>457</v>
      </c>
      <c r="B466" t="s">
        <v>4209</v>
      </c>
      <c r="C466" t="s">
        <v>4347</v>
      </c>
      <c r="D466">
        <v>212918020</v>
      </c>
      <c r="E466" t="s">
        <v>3954</v>
      </c>
      <c r="F466" t="s">
        <v>4589</v>
      </c>
      <c r="G466">
        <v>6</v>
      </c>
      <c r="H466" t="s">
        <v>3954</v>
      </c>
      <c r="I466" t="s">
        <v>4212</v>
      </c>
      <c r="J466">
        <f t="shared" si="18"/>
        <v>25.5</v>
      </c>
      <c r="K466">
        <v>153</v>
      </c>
      <c r="L466" t="s">
        <v>4603</v>
      </c>
    </row>
    <row r="467" spans="1:12" ht="50.1" customHeight="1">
      <c r="A467">
        <v>458</v>
      </c>
      <c r="B467" t="s">
        <v>4209</v>
      </c>
      <c r="C467" t="s">
        <v>4347</v>
      </c>
      <c r="D467">
        <v>212918020</v>
      </c>
      <c r="E467" t="s">
        <v>3954</v>
      </c>
      <c r="F467" t="s">
        <v>4589</v>
      </c>
      <c r="G467">
        <v>6</v>
      </c>
      <c r="H467" t="s">
        <v>3954</v>
      </c>
      <c r="I467" t="s">
        <v>4212</v>
      </c>
      <c r="J467">
        <f t="shared" si="18"/>
        <v>25.5</v>
      </c>
      <c r="K467">
        <v>153</v>
      </c>
      <c r="L467" t="s">
        <v>4604</v>
      </c>
    </row>
    <row r="468" spans="1:12" ht="50.1" customHeight="1">
      <c r="A468">
        <v>459</v>
      </c>
      <c r="B468" t="s">
        <v>4209</v>
      </c>
      <c r="C468" t="s">
        <v>4347</v>
      </c>
      <c r="D468">
        <v>212918020</v>
      </c>
      <c r="E468" t="s">
        <v>3954</v>
      </c>
      <c r="F468" t="s">
        <v>4589</v>
      </c>
      <c r="G468">
        <v>6</v>
      </c>
      <c r="H468" t="s">
        <v>3954</v>
      </c>
      <c r="I468" t="s">
        <v>4212</v>
      </c>
      <c r="J468">
        <f t="shared" si="18"/>
        <v>25.5</v>
      </c>
      <c r="K468">
        <v>153</v>
      </c>
      <c r="L468" t="s">
        <v>4605</v>
      </c>
    </row>
    <row r="469" spans="1:12" ht="50.1" customHeight="1">
      <c r="A469">
        <v>460</v>
      </c>
      <c r="B469" t="s">
        <v>4209</v>
      </c>
      <c r="C469" t="s">
        <v>4347</v>
      </c>
      <c r="D469">
        <v>212918020</v>
      </c>
      <c r="E469" t="s">
        <v>3954</v>
      </c>
      <c r="F469" t="s">
        <v>4589</v>
      </c>
      <c r="G469">
        <v>6</v>
      </c>
      <c r="H469" t="s">
        <v>3954</v>
      </c>
      <c r="I469" t="s">
        <v>4212</v>
      </c>
      <c r="J469">
        <f t="shared" si="18"/>
        <v>25.5</v>
      </c>
      <c r="K469">
        <v>153</v>
      </c>
      <c r="L469" t="s">
        <v>4606</v>
      </c>
    </row>
    <row r="470" spans="1:12" ht="50.1" customHeight="1">
      <c r="A470">
        <v>461</v>
      </c>
      <c r="B470" t="s">
        <v>4209</v>
      </c>
      <c r="C470" t="s">
        <v>4347</v>
      </c>
      <c r="D470">
        <v>212918020</v>
      </c>
      <c r="E470" t="s">
        <v>3954</v>
      </c>
      <c r="F470" t="s">
        <v>4589</v>
      </c>
      <c r="G470">
        <v>6</v>
      </c>
      <c r="H470" t="s">
        <v>3954</v>
      </c>
      <c r="I470" t="s">
        <v>4212</v>
      </c>
      <c r="J470">
        <f t="shared" si="18"/>
        <v>25.5</v>
      </c>
      <c r="K470">
        <v>153</v>
      </c>
      <c r="L470" t="s">
        <v>4607</v>
      </c>
    </row>
    <row r="471" spans="1:12" ht="50.1" customHeight="1">
      <c r="A471">
        <v>462</v>
      </c>
      <c r="B471" t="s">
        <v>4209</v>
      </c>
      <c r="C471" t="s">
        <v>4347</v>
      </c>
      <c r="D471">
        <v>212918020</v>
      </c>
      <c r="E471" t="s">
        <v>3954</v>
      </c>
      <c r="F471" t="s">
        <v>4589</v>
      </c>
      <c r="G471">
        <v>6</v>
      </c>
      <c r="H471" t="s">
        <v>3954</v>
      </c>
      <c r="I471" t="s">
        <v>4212</v>
      </c>
      <c r="J471">
        <f t="shared" si="18"/>
        <v>25.5</v>
      </c>
      <c r="K471">
        <v>153</v>
      </c>
      <c r="L471" t="s">
        <v>4608</v>
      </c>
    </row>
    <row r="472" spans="1:12" ht="50.1" customHeight="1">
      <c r="A472">
        <v>463</v>
      </c>
      <c r="B472" t="s">
        <v>4209</v>
      </c>
      <c r="C472" t="s">
        <v>4347</v>
      </c>
      <c r="D472">
        <v>212918020</v>
      </c>
      <c r="E472" t="s">
        <v>3954</v>
      </c>
      <c r="F472" t="s">
        <v>4589</v>
      </c>
      <c r="G472">
        <v>6</v>
      </c>
      <c r="H472" t="s">
        <v>3954</v>
      </c>
      <c r="I472" t="s">
        <v>4212</v>
      </c>
      <c r="J472">
        <f t="shared" si="18"/>
        <v>25.5</v>
      </c>
      <c r="K472">
        <v>153</v>
      </c>
      <c r="L472" t="s">
        <v>4609</v>
      </c>
    </row>
    <row r="473" spans="1:12" ht="50.1" customHeight="1">
      <c r="A473">
        <v>464</v>
      </c>
      <c r="B473" t="s">
        <v>4209</v>
      </c>
      <c r="C473" t="s">
        <v>4347</v>
      </c>
      <c r="D473">
        <v>212918020</v>
      </c>
      <c r="E473" t="s">
        <v>3954</v>
      </c>
      <c r="F473" t="s">
        <v>4589</v>
      </c>
      <c r="G473">
        <v>6</v>
      </c>
      <c r="H473" t="s">
        <v>3954</v>
      </c>
      <c r="I473" t="s">
        <v>4212</v>
      </c>
      <c r="J473">
        <f t="shared" si="18"/>
        <v>25.5</v>
      </c>
      <c r="K473">
        <v>153</v>
      </c>
      <c r="L473" t="s">
        <v>4610</v>
      </c>
    </row>
    <row r="474" spans="1:12" ht="50.1" customHeight="1">
      <c r="A474">
        <v>465</v>
      </c>
      <c r="B474" t="s">
        <v>4209</v>
      </c>
      <c r="C474" t="s">
        <v>4347</v>
      </c>
      <c r="D474">
        <v>212918020</v>
      </c>
      <c r="E474" t="s">
        <v>3954</v>
      </c>
      <c r="F474" t="s">
        <v>4589</v>
      </c>
      <c r="G474">
        <v>6</v>
      </c>
      <c r="H474" t="s">
        <v>3954</v>
      </c>
      <c r="I474" t="s">
        <v>4212</v>
      </c>
      <c r="J474">
        <f t="shared" si="18"/>
        <v>25.5</v>
      </c>
      <c r="K474">
        <v>153</v>
      </c>
      <c r="L474" t="s">
        <v>4611</v>
      </c>
    </row>
    <row r="475" spans="1:12" ht="50.1" customHeight="1">
      <c r="A475">
        <v>466</v>
      </c>
      <c r="B475" t="s">
        <v>4209</v>
      </c>
      <c r="C475" t="s">
        <v>4347</v>
      </c>
      <c r="D475">
        <v>212918020</v>
      </c>
      <c r="E475" t="s">
        <v>3954</v>
      </c>
      <c r="F475" t="s">
        <v>4589</v>
      </c>
      <c r="G475">
        <v>6</v>
      </c>
      <c r="H475" t="s">
        <v>3954</v>
      </c>
      <c r="I475" t="s">
        <v>4212</v>
      </c>
      <c r="J475">
        <f t="shared" si="18"/>
        <v>25.5</v>
      </c>
      <c r="K475">
        <v>153</v>
      </c>
      <c r="L475" t="s">
        <v>4612</v>
      </c>
    </row>
    <row r="476" spans="1:12" ht="50.1" customHeight="1">
      <c r="A476">
        <v>467</v>
      </c>
      <c r="B476" t="s">
        <v>4209</v>
      </c>
      <c r="C476" t="s">
        <v>4347</v>
      </c>
      <c r="D476">
        <v>212918020</v>
      </c>
      <c r="E476" t="s">
        <v>3954</v>
      </c>
      <c r="F476" t="s">
        <v>4589</v>
      </c>
      <c r="G476">
        <v>6</v>
      </c>
      <c r="H476" t="s">
        <v>3954</v>
      </c>
      <c r="I476" t="s">
        <v>4212</v>
      </c>
      <c r="J476">
        <f t="shared" si="18"/>
        <v>25.5</v>
      </c>
      <c r="K476">
        <v>153</v>
      </c>
      <c r="L476" t="s">
        <v>4613</v>
      </c>
    </row>
    <row r="477" spans="1:12" ht="50.1" customHeight="1">
      <c r="A477">
        <v>468</v>
      </c>
      <c r="B477" t="s">
        <v>4209</v>
      </c>
      <c r="C477" t="s">
        <v>4347</v>
      </c>
      <c r="D477">
        <v>212918020</v>
      </c>
      <c r="E477" t="s">
        <v>3954</v>
      </c>
      <c r="F477" t="s">
        <v>4589</v>
      </c>
      <c r="G477">
        <v>6</v>
      </c>
      <c r="H477" t="s">
        <v>3954</v>
      </c>
      <c r="I477" t="s">
        <v>4212</v>
      </c>
      <c r="J477">
        <f t="shared" si="18"/>
        <v>25.5</v>
      </c>
      <c r="K477">
        <v>153</v>
      </c>
      <c r="L477" t="s">
        <v>4614</v>
      </c>
    </row>
    <row r="478" spans="1:12" ht="50.1" customHeight="1">
      <c r="A478">
        <v>469</v>
      </c>
      <c r="B478" t="s">
        <v>4209</v>
      </c>
      <c r="C478" t="s">
        <v>4347</v>
      </c>
      <c r="D478">
        <v>212918020</v>
      </c>
      <c r="E478" t="s">
        <v>3954</v>
      </c>
      <c r="F478" t="s">
        <v>4589</v>
      </c>
      <c r="G478">
        <v>6</v>
      </c>
      <c r="H478" t="s">
        <v>3954</v>
      </c>
      <c r="I478" t="s">
        <v>4212</v>
      </c>
      <c r="J478">
        <f t="shared" si="18"/>
        <v>25.5</v>
      </c>
      <c r="K478">
        <v>153</v>
      </c>
      <c r="L478" t="s">
        <v>4615</v>
      </c>
    </row>
    <row r="479" spans="1:12" ht="50.1" customHeight="1">
      <c r="A479">
        <v>470</v>
      </c>
      <c r="B479" t="s">
        <v>4209</v>
      </c>
      <c r="C479" t="s">
        <v>4347</v>
      </c>
      <c r="D479">
        <v>212918020</v>
      </c>
      <c r="E479" t="s">
        <v>3954</v>
      </c>
      <c r="F479" t="s">
        <v>4589</v>
      </c>
      <c r="G479">
        <v>6</v>
      </c>
      <c r="H479" t="s">
        <v>3954</v>
      </c>
      <c r="I479" t="s">
        <v>4212</v>
      </c>
      <c r="J479">
        <f t="shared" si="18"/>
        <v>25.5</v>
      </c>
      <c r="K479">
        <v>153</v>
      </c>
      <c r="L479" t="s">
        <v>4616</v>
      </c>
    </row>
    <row r="480" spans="1:12" ht="50.1" customHeight="1">
      <c r="A480">
        <v>471</v>
      </c>
      <c r="B480" t="s">
        <v>4209</v>
      </c>
      <c r="C480" t="s">
        <v>4347</v>
      </c>
      <c r="D480">
        <v>212918020</v>
      </c>
      <c r="E480" t="s">
        <v>3954</v>
      </c>
      <c r="F480" t="s">
        <v>4589</v>
      </c>
      <c r="G480">
        <v>6</v>
      </c>
      <c r="H480" t="s">
        <v>3954</v>
      </c>
      <c r="I480" t="s">
        <v>4212</v>
      </c>
      <c r="J480">
        <f t="shared" si="18"/>
        <v>25.5</v>
      </c>
      <c r="K480">
        <v>153</v>
      </c>
      <c r="L480" t="s">
        <v>4617</v>
      </c>
    </row>
    <row r="481" spans="1:12" ht="50.1" customHeight="1">
      <c r="A481">
        <v>472</v>
      </c>
      <c r="B481" t="s">
        <v>4209</v>
      </c>
      <c r="C481" t="s">
        <v>4347</v>
      </c>
      <c r="D481">
        <v>212918020</v>
      </c>
      <c r="E481" t="s">
        <v>3954</v>
      </c>
      <c r="F481" t="s">
        <v>4589</v>
      </c>
      <c r="G481">
        <v>6</v>
      </c>
      <c r="H481" t="s">
        <v>3954</v>
      </c>
      <c r="I481" t="s">
        <v>4212</v>
      </c>
      <c r="J481">
        <f t="shared" si="18"/>
        <v>25.5</v>
      </c>
      <c r="K481">
        <v>153</v>
      </c>
      <c r="L481" t="s">
        <v>4618</v>
      </c>
    </row>
    <row r="482" spans="1:12" ht="50.1" customHeight="1">
      <c r="A482">
        <v>473</v>
      </c>
      <c r="B482" t="s">
        <v>4209</v>
      </c>
      <c r="C482" t="s">
        <v>4347</v>
      </c>
      <c r="D482">
        <v>212918020</v>
      </c>
      <c r="E482" t="s">
        <v>3954</v>
      </c>
      <c r="F482" t="s">
        <v>4589</v>
      </c>
      <c r="G482">
        <v>6</v>
      </c>
      <c r="H482" t="s">
        <v>3954</v>
      </c>
      <c r="I482" t="s">
        <v>4212</v>
      </c>
      <c r="J482">
        <f t="shared" si="18"/>
        <v>25.5</v>
      </c>
      <c r="K482">
        <v>153</v>
      </c>
      <c r="L482" t="s">
        <v>4619</v>
      </c>
    </row>
    <row r="483" spans="1:12" ht="50.1" customHeight="1">
      <c r="A483">
        <v>474</v>
      </c>
      <c r="B483" t="s">
        <v>4209</v>
      </c>
      <c r="C483" t="s">
        <v>4620</v>
      </c>
      <c r="D483">
        <v>51001003676</v>
      </c>
      <c r="E483" t="s">
        <v>3954</v>
      </c>
      <c r="F483" t="s">
        <v>4621</v>
      </c>
      <c r="G483">
        <v>10</v>
      </c>
      <c r="H483" t="s">
        <v>3954</v>
      </c>
      <c r="I483" t="s">
        <v>4212</v>
      </c>
      <c r="J483">
        <f t="shared" si="18"/>
        <v>80</v>
      </c>
      <c r="K483">
        <v>800</v>
      </c>
      <c r="L483" t="s">
        <v>4622</v>
      </c>
    </row>
    <row r="484" spans="1:12" ht="50.1" customHeight="1">
      <c r="A484">
        <v>475</v>
      </c>
      <c r="B484" t="s">
        <v>4209</v>
      </c>
      <c r="C484" t="s">
        <v>4620</v>
      </c>
      <c r="D484">
        <v>51001003676</v>
      </c>
      <c r="E484" t="s">
        <v>3954</v>
      </c>
      <c r="F484" t="s">
        <v>4621</v>
      </c>
      <c r="G484">
        <v>10</v>
      </c>
      <c r="H484" t="s">
        <v>3954</v>
      </c>
      <c r="I484" t="s">
        <v>4212</v>
      </c>
      <c r="J484">
        <f t="shared" si="18"/>
        <v>80</v>
      </c>
      <c r="K484">
        <v>800</v>
      </c>
      <c r="L484" t="s">
        <v>4622</v>
      </c>
    </row>
    <row r="485" spans="1:12" ht="50.1" customHeight="1">
      <c r="A485">
        <v>476</v>
      </c>
      <c r="B485" t="s">
        <v>4623</v>
      </c>
      <c r="C485" t="s">
        <v>4624</v>
      </c>
      <c r="D485">
        <v>405142821</v>
      </c>
      <c r="E485" t="s">
        <v>3954</v>
      </c>
      <c r="F485" t="s">
        <v>4516</v>
      </c>
      <c r="G485">
        <f>1.6*1.1*4+1.25*0.83*3</f>
        <v>10.1525</v>
      </c>
      <c r="H485" t="s">
        <v>3954</v>
      </c>
      <c r="I485" t="s">
        <v>4212</v>
      </c>
      <c r="J485">
        <f t="shared" si="18"/>
        <v>77.352376262004441</v>
      </c>
      <c r="K485">
        <v>785.32</v>
      </c>
      <c r="L485" t="s">
        <v>4625</v>
      </c>
    </row>
    <row r="486" spans="1:12" ht="50.1" customHeight="1">
      <c r="A486">
        <v>477</v>
      </c>
      <c r="B486" t="s">
        <v>4623</v>
      </c>
      <c r="C486" t="s">
        <v>4624</v>
      </c>
      <c r="D486">
        <v>405142821</v>
      </c>
      <c r="E486" t="s">
        <v>3954</v>
      </c>
      <c r="F486" t="s">
        <v>4516</v>
      </c>
      <c r="G486">
        <f>1.6*0.8*4+1.25*0.83*3</f>
        <v>8.2325000000000017</v>
      </c>
      <c r="H486" t="s">
        <v>3954</v>
      </c>
      <c r="I486" t="s">
        <v>4212</v>
      </c>
      <c r="J486">
        <f t="shared" si="18"/>
        <v>95.392651078044324</v>
      </c>
      <c r="K486">
        <v>785.32</v>
      </c>
      <c r="L486" t="s">
        <v>4626</v>
      </c>
    </row>
    <row r="487" spans="1:12" ht="50.1" customHeight="1">
      <c r="A487">
        <v>478</v>
      </c>
      <c r="B487" t="s">
        <v>4623</v>
      </c>
      <c r="C487" t="s">
        <v>4624</v>
      </c>
      <c r="D487">
        <v>405142821</v>
      </c>
      <c r="E487" t="s">
        <v>3954</v>
      </c>
      <c r="F487" t="s">
        <v>4516</v>
      </c>
      <c r="G487">
        <f t="shared" ref="G487:G494" si="19">1.6*0.8*4+1.25*0.83*3</f>
        <v>8.2325000000000017</v>
      </c>
      <c r="H487" t="s">
        <v>3954</v>
      </c>
      <c r="I487" t="s">
        <v>4212</v>
      </c>
      <c r="J487">
        <f t="shared" si="18"/>
        <v>95.392651078044324</v>
      </c>
      <c r="K487">
        <v>785.32</v>
      </c>
      <c r="L487" t="s">
        <v>4627</v>
      </c>
    </row>
    <row r="488" spans="1:12" ht="50.1" customHeight="1">
      <c r="A488">
        <v>479</v>
      </c>
      <c r="B488" t="s">
        <v>4623</v>
      </c>
      <c r="C488" t="s">
        <v>4624</v>
      </c>
      <c r="D488">
        <v>405142821</v>
      </c>
      <c r="E488" t="s">
        <v>3954</v>
      </c>
      <c r="F488" t="s">
        <v>4516</v>
      </c>
      <c r="G488">
        <f t="shared" si="19"/>
        <v>8.2325000000000017</v>
      </c>
      <c r="H488" t="s">
        <v>3954</v>
      </c>
      <c r="I488" t="s">
        <v>4212</v>
      </c>
      <c r="J488">
        <f t="shared" si="18"/>
        <v>95.392651078044324</v>
      </c>
      <c r="K488">
        <v>785.32</v>
      </c>
      <c r="L488" t="s">
        <v>4628</v>
      </c>
    </row>
    <row r="489" spans="1:12" ht="50.1" customHeight="1">
      <c r="A489">
        <v>480</v>
      </c>
      <c r="B489" t="s">
        <v>4623</v>
      </c>
      <c r="C489" t="s">
        <v>4624</v>
      </c>
      <c r="D489">
        <v>405142821</v>
      </c>
      <c r="E489" t="s">
        <v>3954</v>
      </c>
      <c r="F489" t="s">
        <v>4516</v>
      </c>
      <c r="G489">
        <f t="shared" si="19"/>
        <v>8.2325000000000017</v>
      </c>
      <c r="H489" t="s">
        <v>3954</v>
      </c>
      <c r="I489" t="s">
        <v>4212</v>
      </c>
      <c r="J489">
        <f t="shared" si="18"/>
        <v>95.392651078044324</v>
      </c>
      <c r="K489">
        <v>785.32</v>
      </c>
      <c r="L489" t="s">
        <v>4629</v>
      </c>
    </row>
    <row r="490" spans="1:12" ht="50.1" customHeight="1">
      <c r="A490">
        <v>481</v>
      </c>
      <c r="B490" t="s">
        <v>4623</v>
      </c>
      <c r="C490" t="s">
        <v>4624</v>
      </c>
      <c r="D490">
        <v>405142821</v>
      </c>
      <c r="E490" t="s">
        <v>3954</v>
      </c>
      <c r="F490" t="s">
        <v>4516</v>
      </c>
      <c r="G490">
        <f>1.6*0.8*4+1.25*0.83*3</f>
        <v>8.2325000000000017</v>
      </c>
      <c r="H490" t="s">
        <v>3954</v>
      </c>
      <c r="I490" t="s">
        <v>4212</v>
      </c>
      <c r="J490">
        <f t="shared" si="18"/>
        <v>95.392651078044324</v>
      </c>
      <c r="K490">
        <v>785.32</v>
      </c>
      <c r="L490" t="s">
        <v>4629</v>
      </c>
    </row>
    <row r="491" spans="1:12" ht="50.1" customHeight="1">
      <c r="A491">
        <v>482</v>
      </c>
      <c r="B491" t="s">
        <v>4623</v>
      </c>
      <c r="C491" t="s">
        <v>4624</v>
      </c>
      <c r="D491">
        <v>405142821</v>
      </c>
      <c r="E491" t="s">
        <v>3954</v>
      </c>
      <c r="F491" t="s">
        <v>4516</v>
      </c>
      <c r="G491">
        <f t="shared" si="19"/>
        <v>8.2325000000000017</v>
      </c>
      <c r="H491" t="s">
        <v>3954</v>
      </c>
      <c r="I491" t="s">
        <v>4212</v>
      </c>
      <c r="J491">
        <f t="shared" si="18"/>
        <v>95.392651078044324</v>
      </c>
      <c r="K491">
        <v>785.32</v>
      </c>
      <c r="L491" t="s">
        <v>4630</v>
      </c>
    </row>
    <row r="492" spans="1:12" ht="50.1" customHeight="1">
      <c r="A492">
        <v>483</v>
      </c>
      <c r="B492" t="s">
        <v>4623</v>
      </c>
      <c r="C492" t="s">
        <v>4624</v>
      </c>
      <c r="D492">
        <v>405142821</v>
      </c>
      <c r="E492" t="s">
        <v>3954</v>
      </c>
      <c r="F492" t="s">
        <v>4516</v>
      </c>
      <c r="G492">
        <f t="shared" si="19"/>
        <v>8.2325000000000017</v>
      </c>
      <c r="H492" t="s">
        <v>3954</v>
      </c>
      <c r="I492" t="s">
        <v>4212</v>
      </c>
      <c r="J492">
        <f t="shared" si="18"/>
        <v>95.392651078044324</v>
      </c>
      <c r="K492">
        <v>785.32</v>
      </c>
      <c r="L492" t="s">
        <v>4631</v>
      </c>
    </row>
    <row r="493" spans="1:12" ht="50.1" customHeight="1">
      <c r="A493">
        <v>484</v>
      </c>
      <c r="B493" t="s">
        <v>4623</v>
      </c>
      <c r="C493" t="s">
        <v>4624</v>
      </c>
      <c r="D493">
        <v>405142821</v>
      </c>
      <c r="E493" t="s">
        <v>3954</v>
      </c>
      <c r="F493" t="s">
        <v>4516</v>
      </c>
      <c r="G493">
        <f>1.6*1.1*4+1.25*0.83*3</f>
        <v>10.1525</v>
      </c>
      <c r="H493" t="s">
        <v>3954</v>
      </c>
      <c r="I493" t="s">
        <v>4212</v>
      </c>
      <c r="J493">
        <f t="shared" si="18"/>
        <v>77.352376262004441</v>
      </c>
      <c r="K493">
        <v>785.32</v>
      </c>
      <c r="L493" t="s">
        <v>4632</v>
      </c>
    </row>
    <row r="494" spans="1:12" ht="50.1" customHeight="1">
      <c r="A494">
        <v>485</v>
      </c>
      <c r="B494" t="s">
        <v>4623</v>
      </c>
      <c r="C494" t="s">
        <v>4624</v>
      </c>
      <c r="D494">
        <v>405142821</v>
      </c>
      <c r="E494" t="s">
        <v>3954</v>
      </c>
      <c r="F494" t="s">
        <v>4516</v>
      </c>
      <c r="G494">
        <f t="shared" si="19"/>
        <v>8.2325000000000017</v>
      </c>
      <c r="H494" t="s">
        <v>3954</v>
      </c>
      <c r="I494" t="s">
        <v>4212</v>
      </c>
      <c r="J494">
        <f t="shared" si="18"/>
        <v>95.392651078044324</v>
      </c>
      <c r="K494">
        <v>785.32</v>
      </c>
      <c r="L494" t="s">
        <v>4633</v>
      </c>
    </row>
    <row r="495" spans="1:12" ht="50.1" customHeight="1">
      <c r="A495">
        <v>486</v>
      </c>
      <c r="B495" t="s">
        <v>4623</v>
      </c>
      <c r="C495" t="s">
        <v>4624</v>
      </c>
      <c r="D495">
        <v>405142821</v>
      </c>
      <c r="E495" t="s">
        <v>3954</v>
      </c>
      <c r="F495" t="s">
        <v>4516</v>
      </c>
      <c r="G495">
        <f>1.6*0.7*4+1.25*0.83*3</f>
        <v>7.5924999999999994</v>
      </c>
      <c r="H495" t="s">
        <v>3954</v>
      </c>
      <c r="I495" t="s">
        <v>4212</v>
      </c>
      <c r="J495">
        <f t="shared" si="18"/>
        <v>103.43365162989794</v>
      </c>
      <c r="K495">
        <v>785.32</v>
      </c>
      <c r="L495" t="s">
        <v>4634</v>
      </c>
    </row>
    <row r="496" spans="1:12" ht="50.1" customHeight="1">
      <c r="A496">
        <v>487</v>
      </c>
      <c r="B496" t="s">
        <v>4623</v>
      </c>
      <c r="C496" t="s">
        <v>4624</v>
      </c>
      <c r="D496">
        <v>405142821</v>
      </c>
      <c r="E496" t="s">
        <v>3954</v>
      </c>
      <c r="F496" t="s">
        <v>4516</v>
      </c>
      <c r="G496">
        <f>1.54*0.7*4+1.25*0.83*3</f>
        <v>7.4244999999999992</v>
      </c>
      <c r="H496" t="s">
        <v>3954</v>
      </c>
      <c r="I496" t="s">
        <v>4212</v>
      </c>
      <c r="J496">
        <f t="shared" si="18"/>
        <v>105.77412620378479</v>
      </c>
      <c r="K496">
        <v>785.32</v>
      </c>
      <c r="L496" t="s">
        <v>4635</v>
      </c>
    </row>
    <row r="497" spans="1:12" ht="50.1" customHeight="1">
      <c r="A497">
        <v>488</v>
      </c>
      <c r="B497" t="s">
        <v>4623</v>
      </c>
      <c r="C497" t="s">
        <v>4624</v>
      </c>
      <c r="D497">
        <v>405142821</v>
      </c>
      <c r="E497" t="s">
        <v>3954</v>
      </c>
      <c r="F497" t="s">
        <v>4516</v>
      </c>
      <c r="G497">
        <f>1.57*0.7*4+1.2*0.83*3</f>
        <v>7.3839999999999995</v>
      </c>
      <c r="H497" t="s">
        <v>3954</v>
      </c>
      <c r="I497" t="s">
        <v>4212</v>
      </c>
      <c r="J497">
        <f t="shared" si="18"/>
        <v>106.35427952329363</v>
      </c>
      <c r="K497">
        <v>785.32</v>
      </c>
      <c r="L497" t="s">
        <v>4636</v>
      </c>
    </row>
    <row r="498" spans="1:12" ht="50.1" customHeight="1">
      <c r="A498">
        <v>489</v>
      </c>
      <c r="B498" t="s">
        <v>4623</v>
      </c>
      <c r="C498" t="s">
        <v>4624</v>
      </c>
      <c r="D498">
        <v>405142821</v>
      </c>
      <c r="E498" t="s">
        <v>3954</v>
      </c>
      <c r="F498" t="s">
        <v>4516</v>
      </c>
      <c r="G498">
        <f>1.54*0.7*4+1.25*0.83*3</f>
        <v>7.4244999999999992</v>
      </c>
      <c r="H498" t="s">
        <v>3954</v>
      </c>
      <c r="I498" t="s">
        <v>4212</v>
      </c>
      <c r="J498">
        <f t="shared" si="18"/>
        <v>105.77412620378479</v>
      </c>
      <c r="K498">
        <v>785.32</v>
      </c>
      <c r="L498" t="s">
        <v>4637</v>
      </c>
    </row>
    <row r="499" spans="1:12" ht="50.1" customHeight="1">
      <c r="A499">
        <v>490</v>
      </c>
      <c r="B499" t="s">
        <v>4623</v>
      </c>
      <c r="C499" t="s">
        <v>4624</v>
      </c>
      <c r="D499">
        <v>405142821</v>
      </c>
      <c r="E499" t="s">
        <v>3954</v>
      </c>
      <c r="F499" t="s">
        <v>4516</v>
      </c>
      <c r="G499">
        <f>1.6*0.76*4+1.25*0.83*3</f>
        <v>7.9765000000000006</v>
      </c>
      <c r="H499" t="s">
        <v>3954</v>
      </c>
      <c r="I499" t="s">
        <v>4212</v>
      </c>
      <c r="J499">
        <f t="shared" si="18"/>
        <v>98.454209239641443</v>
      </c>
      <c r="K499">
        <v>785.32</v>
      </c>
      <c r="L499" t="s">
        <v>4638</v>
      </c>
    </row>
    <row r="500" spans="1:12" ht="50.1" customHeight="1">
      <c r="A500">
        <v>491</v>
      </c>
      <c r="B500" t="s">
        <v>4623</v>
      </c>
      <c r="C500" t="s">
        <v>4624</v>
      </c>
      <c r="D500">
        <v>405142821</v>
      </c>
      <c r="E500" t="s">
        <v>3954</v>
      </c>
      <c r="F500" t="s">
        <v>4516</v>
      </c>
      <c r="G500">
        <f>1.58*0.7*4+1.25*0.83*3</f>
        <v>7.5364999999999993</v>
      </c>
      <c r="H500" t="s">
        <v>3954</v>
      </c>
      <c r="I500" t="s">
        <v>4212</v>
      </c>
      <c r="J500">
        <f t="shared" si="18"/>
        <v>104.19160087573809</v>
      </c>
      <c r="K500">
        <v>785.24</v>
      </c>
      <c r="L500" t="s">
        <v>4639</v>
      </c>
    </row>
    <row r="501" spans="1:12" ht="50.1" customHeight="1">
      <c r="A501">
        <v>492</v>
      </c>
      <c r="B501" t="s">
        <v>4478</v>
      </c>
      <c r="C501" t="s">
        <v>4640</v>
      </c>
      <c r="D501">
        <v>202188612</v>
      </c>
      <c r="E501" t="s">
        <v>3954</v>
      </c>
      <c r="F501" t="s">
        <v>4641</v>
      </c>
      <c r="G501">
        <v>733.73</v>
      </c>
      <c r="H501" t="s">
        <v>3954</v>
      </c>
      <c r="I501" t="s">
        <v>4370</v>
      </c>
      <c r="J501">
        <f>K501/G501</f>
        <v>4420.0282528995676</v>
      </c>
      <c r="K501">
        <v>3243107.33</v>
      </c>
      <c r="L501" t="s">
        <v>4517</v>
      </c>
    </row>
    <row r="502" spans="1:12" ht="50.1" customHeight="1">
      <c r="A502">
        <v>493</v>
      </c>
      <c r="B502" t="s">
        <v>4478</v>
      </c>
      <c r="C502" t="s">
        <v>4642</v>
      </c>
      <c r="D502">
        <v>236080557</v>
      </c>
      <c r="E502" t="s">
        <v>3954</v>
      </c>
      <c r="F502" t="s">
        <v>4643</v>
      </c>
      <c r="G502">
        <v>259.91000000000003</v>
      </c>
      <c r="H502" t="s">
        <v>3954</v>
      </c>
      <c r="I502" t="s">
        <v>4370</v>
      </c>
      <c r="J502">
        <f t="shared" ref="J502:J508" si="20">K502/G502</f>
        <v>2737.0844907852716</v>
      </c>
      <c r="K502">
        <v>711395.63</v>
      </c>
      <c r="L502" t="s">
        <v>4517</v>
      </c>
    </row>
    <row r="503" spans="1:12" ht="50.1" customHeight="1">
      <c r="A503">
        <v>494</v>
      </c>
      <c r="B503" t="s">
        <v>4478</v>
      </c>
      <c r="C503" t="s">
        <v>4644</v>
      </c>
      <c r="D503">
        <v>404947475</v>
      </c>
      <c r="E503" t="s">
        <v>3954</v>
      </c>
      <c r="F503" t="s">
        <v>4643</v>
      </c>
      <c r="G503">
        <v>224.56</v>
      </c>
      <c r="H503" t="s">
        <v>3954</v>
      </c>
      <c r="I503" t="s">
        <v>4370</v>
      </c>
      <c r="J503">
        <f t="shared" si="20"/>
        <v>2280.2587281795513</v>
      </c>
      <c r="K503">
        <v>512054.9</v>
      </c>
      <c r="L503" t="s">
        <v>4517</v>
      </c>
    </row>
    <row r="504" spans="1:12" ht="50.1" customHeight="1">
      <c r="A504">
        <v>495</v>
      </c>
      <c r="B504" t="s">
        <v>4478</v>
      </c>
      <c r="C504" t="s">
        <v>4645</v>
      </c>
      <c r="D504">
        <v>244959826</v>
      </c>
      <c r="E504" t="s">
        <v>3954</v>
      </c>
      <c r="F504" t="s">
        <v>4646</v>
      </c>
      <c r="G504">
        <v>36.25</v>
      </c>
      <c r="H504" t="s">
        <v>3954</v>
      </c>
      <c r="I504" t="s">
        <v>4370</v>
      </c>
      <c r="J504">
        <f t="shared" si="20"/>
        <v>323.21820689655169</v>
      </c>
      <c r="K504">
        <v>11716.66</v>
      </c>
      <c r="L504" t="s">
        <v>4517</v>
      </c>
    </row>
    <row r="505" spans="1:12" ht="50.1" customHeight="1">
      <c r="A505">
        <v>496</v>
      </c>
      <c r="B505" t="s">
        <v>4478</v>
      </c>
      <c r="C505" t="s">
        <v>4491</v>
      </c>
      <c r="D505">
        <v>227717307</v>
      </c>
      <c r="E505" t="s">
        <v>3954</v>
      </c>
      <c r="F505" t="s">
        <v>4647</v>
      </c>
      <c r="G505">
        <v>26</v>
      </c>
      <c r="H505" t="s">
        <v>3954</v>
      </c>
      <c r="I505" t="s">
        <v>4370</v>
      </c>
      <c r="J505">
        <f t="shared" si="20"/>
        <v>800</v>
      </c>
      <c r="K505">
        <v>20800</v>
      </c>
      <c r="L505" t="s">
        <v>4648</v>
      </c>
    </row>
    <row r="506" spans="1:12" ht="50.1" customHeight="1">
      <c r="A506">
        <v>497</v>
      </c>
      <c r="B506" t="s">
        <v>4478</v>
      </c>
      <c r="C506" t="s">
        <v>4483</v>
      </c>
      <c r="D506">
        <v>231191974</v>
      </c>
      <c r="E506" t="s">
        <v>3954</v>
      </c>
      <c r="F506" t="s">
        <v>4647</v>
      </c>
      <c r="G506">
        <v>25</v>
      </c>
      <c r="H506" t="s">
        <v>3954</v>
      </c>
      <c r="I506" t="s">
        <v>4370</v>
      </c>
      <c r="J506">
        <f t="shared" si="20"/>
        <v>450</v>
      </c>
      <c r="K506">
        <v>11250</v>
      </c>
      <c r="L506" t="s">
        <v>4649</v>
      </c>
    </row>
    <row r="507" spans="1:12" ht="50.1" customHeight="1">
      <c r="A507">
        <v>498</v>
      </c>
      <c r="B507" t="s">
        <v>4367</v>
      </c>
      <c r="C507" t="s">
        <v>4485</v>
      </c>
      <c r="D507">
        <v>212678093</v>
      </c>
      <c r="E507" t="s">
        <v>3954</v>
      </c>
      <c r="F507" t="s">
        <v>4650</v>
      </c>
      <c r="G507">
        <v>59</v>
      </c>
      <c r="H507" t="s">
        <v>3954</v>
      </c>
      <c r="I507" t="s">
        <v>4370</v>
      </c>
      <c r="J507">
        <f t="shared" si="20"/>
        <v>65</v>
      </c>
      <c r="K507">
        <v>3835</v>
      </c>
      <c r="L507" t="s">
        <v>4554</v>
      </c>
    </row>
    <row r="508" spans="1:12" ht="50.1" customHeight="1">
      <c r="A508">
        <v>499</v>
      </c>
      <c r="B508" t="s">
        <v>4478</v>
      </c>
      <c r="C508" t="s">
        <v>4485</v>
      </c>
      <c r="D508">
        <v>212678093</v>
      </c>
      <c r="E508" t="s">
        <v>3954</v>
      </c>
      <c r="F508" t="s">
        <v>4650</v>
      </c>
      <c r="G508">
        <v>31</v>
      </c>
      <c r="H508" t="s">
        <v>3954</v>
      </c>
      <c r="I508" t="s">
        <v>4370</v>
      </c>
      <c r="J508">
        <f t="shared" si="20"/>
        <v>944</v>
      </c>
      <c r="K508">
        <v>29264</v>
      </c>
      <c r="L508" t="s">
        <v>4648</v>
      </c>
    </row>
    <row r="509" spans="1:12" ht="50.1" customHeight="1">
      <c r="A509">
        <v>500</v>
      </c>
      <c r="B509" t="s">
        <v>4478</v>
      </c>
      <c r="C509" t="s">
        <v>4487</v>
      </c>
      <c r="D509">
        <v>216335838</v>
      </c>
      <c r="E509" t="s">
        <v>3954</v>
      </c>
      <c r="F509" t="s">
        <v>4647</v>
      </c>
      <c r="H509" t="s">
        <v>3954</v>
      </c>
      <c r="K509">
        <v>29264</v>
      </c>
      <c r="L509" t="s">
        <v>4648</v>
      </c>
    </row>
    <row r="510" spans="1:12" ht="50.1" customHeight="1">
      <c r="A510">
        <v>501</v>
      </c>
      <c r="B510" t="s">
        <v>4478</v>
      </c>
      <c r="C510" t="s">
        <v>4500</v>
      </c>
      <c r="D510">
        <v>219995600</v>
      </c>
      <c r="E510" t="s">
        <v>3954</v>
      </c>
      <c r="F510" t="s">
        <v>4647</v>
      </c>
      <c r="G510">
        <v>29</v>
      </c>
      <c r="H510" t="s">
        <v>3954</v>
      </c>
      <c r="I510" t="s">
        <v>4370</v>
      </c>
      <c r="J510">
        <f>K510/G510</f>
        <v>700</v>
      </c>
      <c r="K510">
        <v>20300</v>
      </c>
      <c r="L510" t="s">
        <v>4651</v>
      </c>
    </row>
    <row r="511" spans="1:12" ht="50.1" customHeight="1">
      <c r="A511">
        <v>502</v>
      </c>
      <c r="B511" t="s">
        <v>4367</v>
      </c>
      <c r="C511" t="s">
        <v>4652</v>
      </c>
      <c r="D511">
        <v>219995600</v>
      </c>
      <c r="E511" t="s">
        <v>3954</v>
      </c>
      <c r="F511" t="s">
        <v>4650</v>
      </c>
      <c r="G511">
        <v>37</v>
      </c>
      <c r="H511" t="s">
        <v>3954</v>
      </c>
      <c r="I511" t="s">
        <v>4370</v>
      </c>
      <c r="J511">
        <f>K511/G511</f>
        <v>85</v>
      </c>
      <c r="K511">
        <v>3145</v>
      </c>
      <c r="L511" t="s">
        <v>4554</v>
      </c>
    </row>
    <row r="512" spans="1:12" ht="50.1" customHeight="1">
      <c r="A512">
        <v>503</v>
      </c>
      <c r="B512" t="s">
        <v>4209</v>
      </c>
      <c r="C512" t="s">
        <v>4653</v>
      </c>
      <c r="D512">
        <v>402030182</v>
      </c>
      <c r="E512" t="s">
        <v>3954</v>
      </c>
      <c r="F512" t="s">
        <v>4654</v>
      </c>
      <c r="G512">
        <v>30</v>
      </c>
      <c r="H512" t="s">
        <v>3954</v>
      </c>
      <c r="I512" t="s">
        <v>4212</v>
      </c>
      <c r="J512">
        <f>K512/G512</f>
        <v>40</v>
      </c>
      <c r="K512">
        <v>1200</v>
      </c>
      <c r="L512" t="s">
        <v>4655</v>
      </c>
    </row>
    <row r="513" spans="1:12" ht="50.1" customHeight="1">
      <c r="A513">
        <v>504</v>
      </c>
      <c r="B513" t="s">
        <v>4367</v>
      </c>
      <c r="C513" t="s">
        <v>4656</v>
      </c>
      <c r="D513">
        <v>212688073</v>
      </c>
      <c r="E513" t="s">
        <v>3954</v>
      </c>
      <c r="F513" t="s">
        <v>4650</v>
      </c>
      <c r="G513">
        <v>51</v>
      </c>
      <c r="H513" t="s">
        <v>3954</v>
      </c>
      <c r="I513" t="s">
        <v>4370</v>
      </c>
      <c r="J513">
        <f>K513/G513</f>
        <v>30</v>
      </c>
      <c r="K513">
        <v>1530</v>
      </c>
      <c r="L513" t="s">
        <v>4554</v>
      </c>
    </row>
    <row r="514" spans="1:12" ht="50.1" customHeight="1">
      <c r="A514">
        <v>505</v>
      </c>
      <c r="B514" t="s">
        <v>4209</v>
      </c>
      <c r="C514" t="s">
        <v>4620</v>
      </c>
      <c r="D514">
        <v>51001003676</v>
      </c>
      <c r="E514" t="s">
        <v>3954</v>
      </c>
      <c r="F514" t="s">
        <v>4650</v>
      </c>
      <c r="G514">
        <v>1</v>
      </c>
      <c r="H514" t="s">
        <v>3954</v>
      </c>
      <c r="I514" t="s">
        <v>4657</v>
      </c>
      <c r="J514">
        <f>K514/G514</f>
        <v>400</v>
      </c>
      <c r="K514">
        <v>400</v>
      </c>
      <c r="L514" t="s">
        <v>4658</v>
      </c>
    </row>
    <row r="515" spans="1:12" ht="50.1" customHeight="1">
      <c r="A515">
        <v>506</v>
      </c>
      <c r="B515" t="s">
        <v>3977</v>
      </c>
      <c r="C515" t="s">
        <v>4185</v>
      </c>
      <c r="D515">
        <v>202375349</v>
      </c>
      <c r="E515" t="s">
        <v>3954</v>
      </c>
      <c r="F515" t="s">
        <v>4659</v>
      </c>
      <c r="G515">
        <v>17100</v>
      </c>
      <c r="H515" t="s">
        <v>3954</v>
      </c>
      <c r="I515" t="s">
        <v>3979</v>
      </c>
      <c r="K515">
        <v>9000</v>
      </c>
      <c r="L515" t="s">
        <v>4660</v>
      </c>
    </row>
    <row r="516" spans="1:12" ht="50.1" customHeight="1">
      <c r="A516">
        <v>507</v>
      </c>
      <c r="B516" t="s">
        <v>4209</v>
      </c>
      <c r="C516" t="s">
        <v>4661</v>
      </c>
      <c r="D516">
        <v>416289377</v>
      </c>
      <c r="E516" t="s">
        <v>3954</v>
      </c>
      <c r="F516" t="s">
        <v>4662</v>
      </c>
      <c r="G516">
        <v>54</v>
      </c>
      <c r="H516" t="s">
        <v>3954</v>
      </c>
      <c r="I516" t="s">
        <v>4212</v>
      </c>
      <c r="J516">
        <f>K516/G516</f>
        <v>51.39</v>
      </c>
      <c r="K516">
        <v>2775.06</v>
      </c>
      <c r="L516" t="s">
        <v>4663</v>
      </c>
    </row>
    <row r="517" spans="1:12" ht="50.1" customHeight="1">
      <c r="A517">
        <v>508</v>
      </c>
      <c r="B517" t="s">
        <v>361</v>
      </c>
      <c r="C517" t="s">
        <v>4664</v>
      </c>
      <c r="D517">
        <v>404429891</v>
      </c>
      <c r="E517" t="s">
        <v>3954</v>
      </c>
      <c r="F517" t="s">
        <v>4665</v>
      </c>
      <c r="H517" t="s">
        <v>3954</v>
      </c>
      <c r="K517">
        <v>46690</v>
      </c>
      <c r="L517" t="s">
        <v>4666</v>
      </c>
    </row>
    <row r="518" spans="1:12" ht="50.1" customHeight="1">
      <c r="A518">
        <v>509</v>
      </c>
      <c r="B518" t="s">
        <v>4478</v>
      </c>
      <c r="C518" t="s">
        <v>4667</v>
      </c>
      <c r="D518">
        <v>240885654</v>
      </c>
      <c r="E518" t="s">
        <v>3954</v>
      </c>
      <c r="F518" t="s">
        <v>4646</v>
      </c>
      <c r="G518">
        <v>42.33</v>
      </c>
      <c r="H518" t="s">
        <v>3954</v>
      </c>
      <c r="I518" t="s">
        <v>4370</v>
      </c>
      <c r="J518">
        <f>K518/G518</f>
        <v>614.81218993621542</v>
      </c>
      <c r="K518">
        <v>26025</v>
      </c>
      <c r="L518" t="s">
        <v>4517</v>
      </c>
    </row>
    <row r="519" spans="1:12" ht="50.1" customHeight="1">
      <c r="A519">
        <v>510</v>
      </c>
      <c r="B519" t="s">
        <v>4367</v>
      </c>
      <c r="C519" t="s">
        <v>4667</v>
      </c>
      <c r="D519">
        <v>240885654</v>
      </c>
      <c r="E519" t="s">
        <v>3954</v>
      </c>
      <c r="F519" t="s">
        <v>4668</v>
      </c>
      <c r="G519">
        <v>30.3</v>
      </c>
      <c r="H519" t="s">
        <v>3954</v>
      </c>
      <c r="I519" t="s">
        <v>4370</v>
      </c>
      <c r="J519">
        <f>K519/G519</f>
        <v>84.983498349834989</v>
      </c>
      <c r="K519">
        <v>2575</v>
      </c>
      <c r="L519" t="s">
        <v>4554</v>
      </c>
    </row>
    <row r="520" spans="1:12" ht="50.1" customHeight="1">
      <c r="A520">
        <v>511</v>
      </c>
      <c r="B520" t="s">
        <v>4209</v>
      </c>
      <c r="C520" t="s">
        <v>4669</v>
      </c>
      <c r="D520">
        <v>1007017477</v>
      </c>
      <c r="E520" t="s">
        <v>3954</v>
      </c>
      <c r="F520" t="s">
        <v>4670</v>
      </c>
      <c r="G520">
        <v>157.4</v>
      </c>
      <c r="H520" t="s">
        <v>3954</v>
      </c>
      <c r="I520" t="s">
        <v>4212</v>
      </c>
      <c r="J520">
        <f>K520/G520</f>
        <v>19.100000000000001</v>
      </c>
      <c r="K520">
        <v>3006.34</v>
      </c>
      <c r="L520" t="s">
        <v>4671</v>
      </c>
    </row>
    <row r="521" spans="1:12" ht="50.1" customHeight="1">
      <c r="A521">
        <v>512</v>
      </c>
      <c r="B521" t="s">
        <v>3977</v>
      </c>
      <c r="C521" t="s">
        <v>4672</v>
      </c>
      <c r="D521">
        <v>435428057</v>
      </c>
      <c r="E521" t="s">
        <v>3954</v>
      </c>
      <c r="F521" t="s">
        <v>4673</v>
      </c>
      <c r="H521" t="s">
        <v>3954</v>
      </c>
      <c r="K521">
        <v>1000</v>
      </c>
      <c r="L521" t="s">
        <v>4674</v>
      </c>
    </row>
    <row r="522" spans="1:12" ht="50.1" customHeight="1">
      <c r="A522">
        <v>513</v>
      </c>
      <c r="B522" t="s">
        <v>4209</v>
      </c>
      <c r="C522" t="s">
        <v>4675</v>
      </c>
      <c r="D522">
        <v>244559722</v>
      </c>
      <c r="E522" t="s">
        <v>3954</v>
      </c>
      <c r="F522" t="s">
        <v>4676</v>
      </c>
      <c r="G522">
        <v>25</v>
      </c>
      <c r="H522" t="s">
        <v>3954</v>
      </c>
      <c r="I522" t="s">
        <v>4212</v>
      </c>
      <c r="J522">
        <f>K522/G522</f>
        <v>24</v>
      </c>
      <c r="K522">
        <v>600</v>
      </c>
      <c r="L522" t="s">
        <v>4677</v>
      </c>
    </row>
    <row r="523" spans="1:12" ht="50.1" customHeight="1">
      <c r="A523">
        <v>514</v>
      </c>
      <c r="B523" t="s">
        <v>4367</v>
      </c>
      <c r="C523" t="s">
        <v>4678</v>
      </c>
      <c r="D523">
        <v>18001042429</v>
      </c>
      <c r="E523" t="s">
        <v>3954</v>
      </c>
      <c r="F523" t="s">
        <v>4679</v>
      </c>
      <c r="G523">
        <v>40</v>
      </c>
      <c r="H523" t="s">
        <v>3954</v>
      </c>
      <c r="I523" t="s">
        <v>4370</v>
      </c>
      <c r="J523">
        <v>50</v>
      </c>
      <c r="K523">
        <v>2000</v>
      </c>
      <c r="L523" t="s">
        <v>4680</v>
      </c>
    </row>
    <row r="524" spans="1:12" ht="50.1" customHeight="1">
      <c r="A524">
        <v>515</v>
      </c>
      <c r="B524" t="s">
        <v>4478</v>
      </c>
      <c r="C524" t="s">
        <v>4489</v>
      </c>
      <c r="D524">
        <v>226112471</v>
      </c>
      <c r="E524" t="s">
        <v>3954</v>
      </c>
      <c r="F524" t="s">
        <v>4681</v>
      </c>
      <c r="G524">
        <v>10</v>
      </c>
      <c r="H524" t="s">
        <v>3954</v>
      </c>
      <c r="I524" t="s">
        <v>4370</v>
      </c>
      <c r="J524">
        <v>350</v>
      </c>
      <c r="K524">
        <v>3500</v>
      </c>
      <c r="L524" t="s">
        <v>4682</v>
      </c>
    </row>
    <row r="525" spans="1:12" ht="50.1" customHeight="1">
      <c r="A525">
        <v>516</v>
      </c>
      <c r="B525" t="s">
        <v>4478</v>
      </c>
      <c r="C525" t="s">
        <v>4497</v>
      </c>
      <c r="D525">
        <v>230031195</v>
      </c>
      <c r="E525" t="s">
        <v>3954</v>
      </c>
      <c r="F525" t="s">
        <v>4681</v>
      </c>
      <c r="G525">
        <v>9</v>
      </c>
      <c r="H525" t="s">
        <v>3954</v>
      </c>
      <c r="I525" t="s">
        <v>4370</v>
      </c>
      <c r="J525">
        <v>350</v>
      </c>
      <c r="K525">
        <v>3150</v>
      </c>
      <c r="L525" t="s">
        <v>4682</v>
      </c>
    </row>
    <row r="526" spans="1:12" ht="50.1" customHeight="1">
      <c r="A526">
        <v>517</v>
      </c>
      <c r="B526" t="s">
        <v>4478</v>
      </c>
      <c r="C526" t="s">
        <v>4683</v>
      </c>
      <c r="D526">
        <v>215599323</v>
      </c>
      <c r="E526" t="s">
        <v>3954</v>
      </c>
      <c r="F526" t="s">
        <v>4681</v>
      </c>
      <c r="G526">
        <v>15</v>
      </c>
      <c r="H526" t="s">
        <v>3954</v>
      </c>
      <c r="I526" t="s">
        <v>4370</v>
      </c>
      <c r="J526">
        <v>350</v>
      </c>
      <c r="K526">
        <v>5250</v>
      </c>
      <c r="L526" t="s">
        <v>4682</v>
      </c>
    </row>
    <row r="527" spans="1:12" ht="50.1" customHeight="1">
      <c r="A527">
        <v>518</v>
      </c>
      <c r="B527" t="s">
        <v>4478</v>
      </c>
      <c r="C527" t="s">
        <v>4502</v>
      </c>
      <c r="D527">
        <v>437065916</v>
      </c>
      <c r="E527" t="s">
        <v>3954</v>
      </c>
      <c r="F527" t="s">
        <v>4681</v>
      </c>
      <c r="G527">
        <v>10</v>
      </c>
      <c r="H527" t="s">
        <v>3954</v>
      </c>
      <c r="I527" t="s">
        <v>4370</v>
      </c>
      <c r="J527">
        <v>350</v>
      </c>
      <c r="K527">
        <v>3500</v>
      </c>
      <c r="L527" t="s">
        <v>4682</v>
      </c>
    </row>
    <row r="528" spans="1:12" ht="50.1" customHeight="1">
      <c r="A528">
        <v>519</v>
      </c>
      <c r="B528" t="s">
        <v>4478</v>
      </c>
      <c r="C528" t="s">
        <v>4684</v>
      </c>
      <c r="D528">
        <v>225398370</v>
      </c>
      <c r="E528" t="s">
        <v>3954</v>
      </c>
      <c r="F528" t="s">
        <v>4681</v>
      </c>
      <c r="G528">
        <v>10.5</v>
      </c>
      <c r="H528" t="s">
        <v>3954</v>
      </c>
      <c r="I528" t="s">
        <v>4370</v>
      </c>
      <c r="J528">
        <v>300</v>
      </c>
      <c r="K528">
        <v>3150</v>
      </c>
      <c r="L528" t="s">
        <v>4682</v>
      </c>
    </row>
    <row r="529" spans="1:12" ht="50.1" customHeight="1">
      <c r="A529">
        <v>520</v>
      </c>
      <c r="B529" t="s">
        <v>4478</v>
      </c>
      <c r="C529" t="s">
        <v>4495</v>
      </c>
      <c r="D529">
        <v>243861111</v>
      </c>
      <c r="E529" t="s">
        <v>3954</v>
      </c>
      <c r="F529" t="s">
        <v>4681</v>
      </c>
      <c r="G529">
        <v>6.5</v>
      </c>
      <c r="H529" t="s">
        <v>3954</v>
      </c>
      <c r="I529" t="s">
        <v>4370</v>
      </c>
      <c r="J529">
        <v>800</v>
      </c>
      <c r="K529">
        <v>5200</v>
      </c>
      <c r="L529" t="s">
        <v>4682</v>
      </c>
    </row>
    <row r="530" spans="1:12" ht="50.1" customHeight="1">
      <c r="A530">
        <v>521</v>
      </c>
      <c r="B530" t="s">
        <v>4478</v>
      </c>
      <c r="C530" t="s">
        <v>4504</v>
      </c>
      <c r="D530">
        <v>239861592</v>
      </c>
      <c r="E530" t="s">
        <v>3954</v>
      </c>
      <c r="F530" t="s">
        <v>4681</v>
      </c>
      <c r="G530">
        <v>15</v>
      </c>
      <c r="H530" t="s">
        <v>3954</v>
      </c>
      <c r="I530" t="s">
        <v>4370</v>
      </c>
      <c r="J530">
        <v>300</v>
      </c>
      <c r="K530">
        <v>4500</v>
      </c>
      <c r="L530" t="s">
        <v>4682</v>
      </c>
    </row>
    <row r="531" spans="1:12" ht="50.1" customHeight="1">
      <c r="A531">
        <v>522</v>
      </c>
      <c r="B531" t="s">
        <v>4478</v>
      </c>
      <c r="C531" t="s">
        <v>4685</v>
      </c>
      <c r="D531">
        <v>242262779</v>
      </c>
      <c r="E531" t="s">
        <v>3954</v>
      </c>
      <c r="F531" t="s">
        <v>4686</v>
      </c>
      <c r="G531">
        <v>17</v>
      </c>
      <c r="H531" t="s">
        <v>3954</v>
      </c>
      <c r="I531" t="s">
        <v>4370</v>
      </c>
      <c r="J531">
        <v>60</v>
      </c>
      <c r="K531">
        <v>1020</v>
      </c>
      <c r="L531" t="s">
        <v>4682</v>
      </c>
    </row>
    <row r="532" spans="1:12" ht="50.1" customHeight="1">
      <c r="A532">
        <v>523</v>
      </c>
      <c r="B532" t="s">
        <v>4478</v>
      </c>
      <c r="C532" t="s">
        <v>4479</v>
      </c>
      <c r="D532">
        <v>204405811</v>
      </c>
      <c r="E532" t="s">
        <v>3954</v>
      </c>
      <c r="F532" t="s">
        <v>4681</v>
      </c>
      <c r="G532">
        <v>20</v>
      </c>
      <c r="H532" t="s">
        <v>3954</v>
      </c>
      <c r="I532" t="s">
        <v>4370</v>
      </c>
      <c r="J532">
        <v>300</v>
      </c>
      <c r="K532">
        <v>6000</v>
      </c>
      <c r="L532" t="s">
        <v>4682</v>
      </c>
    </row>
    <row r="533" spans="1:12" ht="50.1" customHeight="1">
      <c r="A533">
        <v>524</v>
      </c>
      <c r="B533" t="s">
        <v>4478</v>
      </c>
      <c r="C533" t="s">
        <v>4507</v>
      </c>
      <c r="D533">
        <v>234230178</v>
      </c>
      <c r="E533" t="s">
        <v>3954</v>
      </c>
      <c r="F533" t="s">
        <v>4681</v>
      </c>
      <c r="G533">
        <v>10.5</v>
      </c>
      <c r="H533" t="s">
        <v>3954</v>
      </c>
      <c r="I533" t="s">
        <v>4370</v>
      </c>
      <c r="J533">
        <v>300</v>
      </c>
      <c r="K533">
        <v>3150</v>
      </c>
      <c r="L533" t="s">
        <v>4682</v>
      </c>
    </row>
    <row r="534" spans="1:12" ht="50.1" customHeight="1">
      <c r="A534">
        <v>525</v>
      </c>
      <c r="B534" t="s">
        <v>4478</v>
      </c>
      <c r="C534" t="s">
        <v>4509</v>
      </c>
      <c r="D534">
        <v>245414680</v>
      </c>
      <c r="E534" t="s">
        <v>3954</v>
      </c>
      <c r="F534" t="s">
        <v>4681</v>
      </c>
      <c r="G534">
        <v>6.5</v>
      </c>
      <c r="H534" t="s">
        <v>3954</v>
      </c>
      <c r="I534" t="s">
        <v>4370</v>
      </c>
      <c r="J534">
        <v>720</v>
      </c>
      <c r="K534">
        <v>4680</v>
      </c>
      <c r="L534" t="s">
        <v>4682</v>
      </c>
    </row>
    <row r="535" spans="1:12" ht="50.1" customHeight="1">
      <c r="A535">
        <v>526</v>
      </c>
      <c r="B535" t="s">
        <v>4478</v>
      </c>
      <c r="C535" t="s">
        <v>4511</v>
      </c>
      <c r="D535">
        <v>224067907</v>
      </c>
      <c r="E535" t="s">
        <v>3954</v>
      </c>
      <c r="F535" t="s">
        <v>4681</v>
      </c>
      <c r="G535">
        <v>10</v>
      </c>
      <c r="H535" t="s">
        <v>3954</v>
      </c>
      <c r="I535" t="s">
        <v>4370</v>
      </c>
      <c r="J535">
        <f>K535/G535</f>
        <v>350</v>
      </c>
      <c r="K535">
        <v>3500</v>
      </c>
      <c r="L535" t="s">
        <v>4687</v>
      </c>
    </row>
    <row r="536" spans="1:12" ht="50.1" customHeight="1">
      <c r="A536">
        <v>527</v>
      </c>
      <c r="B536" t="s">
        <v>4478</v>
      </c>
      <c r="C536" t="s">
        <v>4506</v>
      </c>
      <c r="D536">
        <v>423352124</v>
      </c>
      <c r="E536" t="s">
        <v>3954</v>
      </c>
      <c r="F536" t="s">
        <v>4681</v>
      </c>
      <c r="G536">
        <v>8</v>
      </c>
      <c r="H536" t="s">
        <v>3954</v>
      </c>
      <c r="I536" t="s">
        <v>4370</v>
      </c>
      <c r="J536">
        <v>250</v>
      </c>
      <c r="K536">
        <v>2000</v>
      </c>
      <c r="L536" t="s">
        <v>4682</v>
      </c>
    </row>
    <row r="537" spans="1:12" ht="50.1" customHeight="1">
      <c r="A537">
        <v>528</v>
      </c>
      <c r="B537" t="s">
        <v>4478</v>
      </c>
      <c r="C537" t="s">
        <v>4499</v>
      </c>
      <c r="D537">
        <v>236686412</v>
      </c>
      <c r="E537" t="s">
        <v>3954</v>
      </c>
      <c r="F537" t="s">
        <v>4681</v>
      </c>
      <c r="G537">
        <v>8</v>
      </c>
      <c r="H537" t="s">
        <v>3954</v>
      </c>
      <c r="I537" t="s">
        <v>4370</v>
      </c>
      <c r="J537">
        <v>250</v>
      </c>
      <c r="K537">
        <v>2000</v>
      </c>
      <c r="L537" t="s">
        <v>4682</v>
      </c>
    </row>
    <row r="538" spans="1:12" ht="50.1" customHeight="1">
      <c r="A538">
        <v>529</v>
      </c>
      <c r="B538" t="s">
        <v>3977</v>
      </c>
      <c r="C538" t="s">
        <v>4359</v>
      </c>
      <c r="D538">
        <v>400166146</v>
      </c>
      <c r="E538" t="s">
        <v>3954</v>
      </c>
      <c r="F538" t="s">
        <v>4688</v>
      </c>
      <c r="G538">
        <v>24</v>
      </c>
      <c r="H538" t="s">
        <v>3954</v>
      </c>
      <c r="I538" t="s">
        <v>4212</v>
      </c>
      <c r="K538">
        <v>838.3</v>
      </c>
      <c r="L538" t="s">
        <v>4689</v>
      </c>
    </row>
    <row r="539" spans="1:12" ht="50.1" customHeight="1">
      <c r="A539">
        <v>530</v>
      </c>
      <c r="B539" t="s">
        <v>3977</v>
      </c>
      <c r="C539" t="s">
        <v>4690</v>
      </c>
      <c r="D539">
        <v>204568832</v>
      </c>
      <c r="E539" t="s">
        <v>3954</v>
      </c>
      <c r="F539" t="s">
        <v>4691</v>
      </c>
      <c r="G539">
        <v>15000</v>
      </c>
      <c r="H539" t="s">
        <v>3954</v>
      </c>
      <c r="I539" t="s">
        <v>4692</v>
      </c>
      <c r="J539">
        <v>0.45</v>
      </c>
      <c r="K539">
        <v>6800</v>
      </c>
      <c r="L539" t="s">
        <v>4693</v>
      </c>
    </row>
    <row r="540" spans="1:12" ht="50.1" customHeight="1">
      <c r="A540">
        <v>531</v>
      </c>
      <c r="B540" t="s">
        <v>3977</v>
      </c>
      <c r="C540" t="s">
        <v>4694</v>
      </c>
      <c r="D540">
        <v>238768455</v>
      </c>
      <c r="E540" t="s">
        <v>3954</v>
      </c>
      <c r="F540" t="s">
        <v>4695</v>
      </c>
      <c r="G540">
        <v>875</v>
      </c>
      <c r="H540" t="s">
        <v>3954</v>
      </c>
      <c r="I540" t="s">
        <v>3979</v>
      </c>
      <c r="K540">
        <v>600</v>
      </c>
      <c r="L540" t="s">
        <v>4696</v>
      </c>
    </row>
    <row r="541" spans="1:12" ht="50.1" customHeight="1">
      <c r="A541">
        <v>532</v>
      </c>
      <c r="B541" t="s">
        <v>4380</v>
      </c>
      <c r="C541" t="s">
        <v>4697</v>
      </c>
      <c r="D541">
        <v>1026001479</v>
      </c>
      <c r="E541" t="s">
        <v>3954</v>
      </c>
      <c r="H541" t="s">
        <v>3954</v>
      </c>
      <c r="K541">
        <v>1500</v>
      </c>
      <c r="L541" t="s">
        <v>4698</v>
      </c>
    </row>
    <row r="542" spans="1:12" ht="50.1" customHeight="1">
      <c r="A542">
        <v>533</v>
      </c>
      <c r="B542" t="s">
        <v>361</v>
      </c>
      <c r="C542" t="s">
        <v>4664</v>
      </c>
      <c r="D542">
        <v>404429891</v>
      </c>
      <c r="E542" t="s">
        <v>3954</v>
      </c>
      <c r="F542" t="s">
        <v>4699</v>
      </c>
      <c r="H542" t="s">
        <v>3954</v>
      </c>
      <c r="K542">
        <v>12813.35</v>
      </c>
      <c r="L542" t="s">
        <v>4700</v>
      </c>
    </row>
    <row r="543" spans="1:12" ht="50.1" customHeight="1">
      <c r="A543">
        <v>534</v>
      </c>
      <c r="B543" t="s">
        <v>361</v>
      </c>
      <c r="C543" t="s">
        <v>4701</v>
      </c>
      <c r="D543">
        <v>438728726</v>
      </c>
      <c r="E543" t="s">
        <v>3954</v>
      </c>
      <c r="F543" t="s">
        <v>4702</v>
      </c>
      <c r="H543" t="s">
        <v>3954</v>
      </c>
      <c r="K543">
        <v>2000</v>
      </c>
      <c r="L543" t="s">
        <v>4703</v>
      </c>
    </row>
    <row r="544" spans="1:12" ht="50.1" customHeight="1">
      <c r="A544">
        <v>535</v>
      </c>
      <c r="B544" t="s">
        <v>4478</v>
      </c>
      <c r="C544" t="s">
        <v>4507</v>
      </c>
      <c r="D544">
        <v>234230178</v>
      </c>
      <c r="E544" t="s">
        <v>3954</v>
      </c>
      <c r="F544" t="s">
        <v>4704</v>
      </c>
      <c r="G544">
        <v>8.1</v>
      </c>
      <c r="H544" t="s">
        <v>3954</v>
      </c>
      <c r="I544" t="s">
        <v>4370</v>
      </c>
      <c r="J544">
        <f>K544/G544</f>
        <v>300</v>
      </c>
      <c r="K544">
        <v>2430</v>
      </c>
      <c r="L544" t="s">
        <v>4705</v>
      </c>
    </row>
    <row r="545" spans="1:12" ht="50.1" customHeight="1">
      <c r="A545">
        <v>536</v>
      </c>
      <c r="B545" t="s">
        <v>4252</v>
      </c>
      <c r="C545" t="s">
        <v>4706</v>
      </c>
      <c r="D545">
        <v>220413844</v>
      </c>
      <c r="E545" t="s">
        <v>3954</v>
      </c>
      <c r="F545" t="s">
        <v>4707</v>
      </c>
      <c r="H545" t="s">
        <v>3954</v>
      </c>
      <c r="K545">
        <v>1488</v>
      </c>
      <c r="L545" t="s">
        <v>4708</v>
      </c>
    </row>
    <row r="546" spans="1:12" ht="50.1" customHeight="1">
      <c r="A546">
        <v>537</v>
      </c>
      <c r="B546" t="s">
        <v>3977</v>
      </c>
      <c r="C546" t="s">
        <v>3983</v>
      </c>
      <c r="D546">
        <v>441994585</v>
      </c>
      <c r="E546" t="s">
        <v>3954</v>
      </c>
      <c r="F546" t="s">
        <v>4707</v>
      </c>
      <c r="H546" t="s">
        <v>3954</v>
      </c>
      <c r="K546">
        <v>3960</v>
      </c>
      <c r="L546" t="s">
        <v>4709</v>
      </c>
    </row>
    <row r="547" spans="1:12" ht="50.1" customHeight="1">
      <c r="A547">
        <v>538</v>
      </c>
      <c r="B547" t="s">
        <v>4478</v>
      </c>
      <c r="C547" t="s">
        <v>4485</v>
      </c>
      <c r="D547">
        <v>212678093</v>
      </c>
      <c r="E547" t="s">
        <v>3954</v>
      </c>
      <c r="F547" t="s">
        <v>4710</v>
      </c>
      <c r="G547">
        <v>6</v>
      </c>
      <c r="H547" t="s">
        <v>3954</v>
      </c>
      <c r="I547" t="s">
        <v>4370</v>
      </c>
      <c r="J547">
        <f>K547/G547</f>
        <v>708</v>
      </c>
      <c r="K547">
        <v>4248</v>
      </c>
      <c r="L547" t="s">
        <v>4711</v>
      </c>
    </row>
    <row r="548" spans="1:12" ht="50.1" customHeight="1">
      <c r="A548">
        <v>539</v>
      </c>
      <c r="B548" t="s">
        <v>4367</v>
      </c>
      <c r="C548" t="s">
        <v>4712</v>
      </c>
      <c r="D548">
        <v>215083291</v>
      </c>
      <c r="E548" t="s">
        <v>3954</v>
      </c>
      <c r="F548" t="s">
        <v>4713</v>
      </c>
      <c r="G548">
        <v>32</v>
      </c>
      <c r="H548" t="s">
        <v>3954</v>
      </c>
      <c r="I548" t="s">
        <v>4370</v>
      </c>
      <c r="J548">
        <f>K548/G548</f>
        <v>80</v>
      </c>
      <c r="K548">
        <v>2560</v>
      </c>
      <c r="L548" t="s">
        <v>4367</v>
      </c>
    </row>
    <row r="549" spans="1:12" ht="50.1" customHeight="1">
      <c r="A549">
        <v>540</v>
      </c>
      <c r="B549" t="s">
        <v>4209</v>
      </c>
      <c r="C549" t="s">
        <v>4210</v>
      </c>
      <c r="D549">
        <v>246958056</v>
      </c>
      <c r="E549" t="s">
        <v>3954</v>
      </c>
      <c r="K549">
        <v>16794.560000000001</v>
      </c>
      <c r="L549" t="s">
        <v>4714</v>
      </c>
    </row>
    <row r="550" spans="1:12" ht="50.1" customHeight="1">
      <c r="A550">
        <v>541</v>
      </c>
      <c r="B550" t="s">
        <v>4623</v>
      </c>
      <c r="C550" t="s">
        <v>4624</v>
      </c>
      <c r="D550">
        <v>405142821</v>
      </c>
      <c r="E550" t="s">
        <v>3954</v>
      </c>
      <c r="F550" t="s">
        <v>4715</v>
      </c>
      <c r="G550">
        <v>4.16</v>
      </c>
      <c r="H550" t="s">
        <v>3954</v>
      </c>
      <c r="I550" t="s">
        <v>4212</v>
      </c>
      <c r="J550">
        <f>K550/G550</f>
        <v>259.875</v>
      </c>
      <c r="K550">
        <v>1081.08</v>
      </c>
      <c r="L550" t="s">
        <v>4716</v>
      </c>
    </row>
    <row r="551" spans="1:12" ht="50.1" customHeight="1">
      <c r="A551">
        <v>542</v>
      </c>
      <c r="B551" t="s">
        <v>4623</v>
      </c>
      <c r="C551" t="s">
        <v>4624</v>
      </c>
      <c r="D551">
        <v>405142821</v>
      </c>
      <c r="E551" t="s">
        <v>3954</v>
      </c>
      <c r="F551" t="s">
        <v>4715</v>
      </c>
      <c r="G551">
        <v>4.16</v>
      </c>
      <c r="H551" t="s">
        <v>3954</v>
      </c>
      <c r="I551" t="s">
        <v>4212</v>
      </c>
      <c r="J551">
        <f t="shared" ref="J551:J614" si="21">K551/G551</f>
        <v>259.875</v>
      </c>
      <c r="K551">
        <v>1081.08</v>
      </c>
      <c r="L551" t="s">
        <v>4717</v>
      </c>
    </row>
    <row r="552" spans="1:12" ht="50.1" customHeight="1">
      <c r="A552">
        <v>543</v>
      </c>
      <c r="B552" t="s">
        <v>4623</v>
      </c>
      <c r="C552" t="s">
        <v>4624</v>
      </c>
      <c r="D552">
        <v>405142821</v>
      </c>
      <c r="E552" t="s">
        <v>3954</v>
      </c>
      <c r="F552" t="s">
        <v>4715</v>
      </c>
      <c r="G552">
        <v>13.92</v>
      </c>
      <c r="H552" t="s">
        <v>3954</v>
      </c>
      <c r="I552" t="s">
        <v>4212</v>
      </c>
      <c r="J552">
        <f t="shared" si="21"/>
        <v>77.66379310344827</v>
      </c>
      <c r="K552">
        <v>1081.08</v>
      </c>
      <c r="L552" t="s">
        <v>4718</v>
      </c>
    </row>
    <row r="553" spans="1:12" ht="50.1" customHeight="1">
      <c r="A553">
        <v>544</v>
      </c>
      <c r="B553" t="s">
        <v>4623</v>
      </c>
      <c r="C553" t="s">
        <v>4624</v>
      </c>
      <c r="D553">
        <v>405142821</v>
      </c>
      <c r="E553" t="s">
        <v>3954</v>
      </c>
      <c r="F553" t="s">
        <v>4715</v>
      </c>
      <c r="G553">
        <v>13.92</v>
      </c>
      <c r="H553" t="s">
        <v>3954</v>
      </c>
      <c r="I553" t="s">
        <v>4212</v>
      </c>
      <c r="J553">
        <f t="shared" si="21"/>
        <v>77.66379310344827</v>
      </c>
      <c r="K553">
        <v>1081.08</v>
      </c>
      <c r="L553" t="s">
        <v>4719</v>
      </c>
    </row>
    <row r="554" spans="1:12" ht="50.1" customHeight="1">
      <c r="A554">
        <v>545</v>
      </c>
      <c r="B554" t="s">
        <v>4623</v>
      </c>
      <c r="C554" t="s">
        <v>4624</v>
      </c>
      <c r="D554">
        <v>405142821</v>
      </c>
      <c r="E554" t="s">
        <v>3954</v>
      </c>
      <c r="F554" t="s">
        <v>4715</v>
      </c>
      <c r="G554">
        <v>13.92</v>
      </c>
      <c r="H554" t="s">
        <v>3954</v>
      </c>
      <c r="I554" t="s">
        <v>4212</v>
      </c>
      <c r="J554">
        <f t="shared" si="21"/>
        <v>77.66379310344827</v>
      </c>
      <c r="K554">
        <v>1081.08</v>
      </c>
      <c r="L554" t="s">
        <v>4720</v>
      </c>
    </row>
    <row r="555" spans="1:12" ht="50.1" customHeight="1">
      <c r="A555">
        <v>546</v>
      </c>
      <c r="B555" t="s">
        <v>4623</v>
      </c>
      <c r="C555" t="s">
        <v>4624</v>
      </c>
      <c r="D555">
        <v>405142821</v>
      </c>
      <c r="E555" t="s">
        <v>3954</v>
      </c>
      <c r="F555" t="s">
        <v>4715</v>
      </c>
      <c r="G555">
        <v>4.16</v>
      </c>
      <c r="H555" t="s">
        <v>3954</v>
      </c>
      <c r="I555" t="s">
        <v>4212</v>
      </c>
      <c r="J555">
        <f t="shared" si="21"/>
        <v>259.875</v>
      </c>
      <c r="K555">
        <v>1081.08</v>
      </c>
      <c r="L555" t="s">
        <v>4721</v>
      </c>
    </row>
    <row r="556" spans="1:12" ht="50.1" customHeight="1">
      <c r="A556">
        <v>547</v>
      </c>
      <c r="B556" t="s">
        <v>4623</v>
      </c>
      <c r="C556" t="s">
        <v>4624</v>
      </c>
      <c r="D556">
        <v>405142821</v>
      </c>
      <c r="E556" t="s">
        <v>3954</v>
      </c>
      <c r="F556" t="s">
        <v>4715</v>
      </c>
      <c r="G556">
        <v>4.16</v>
      </c>
      <c r="H556" t="s">
        <v>3954</v>
      </c>
      <c r="I556" t="s">
        <v>4212</v>
      </c>
      <c r="J556">
        <f t="shared" si="21"/>
        <v>259.875</v>
      </c>
      <c r="K556">
        <v>1081.08</v>
      </c>
      <c r="L556" t="s">
        <v>4722</v>
      </c>
    </row>
    <row r="557" spans="1:12" ht="50.1" customHeight="1">
      <c r="A557">
        <v>548</v>
      </c>
      <c r="B557" t="s">
        <v>4623</v>
      </c>
      <c r="C557" t="s">
        <v>4624</v>
      </c>
      <c r="D557">
        <v>405142821</v>
      </c>
      <c r="E557" t="s">
        <v>3954</v>
      </c>
      <c r="F557" t="s">
        <v>4715</v>
      </c>
      <c r="G557">
        <v>8.32</v>
      </c>
      <c r="H557" t="s">
        <v>3954</v>
      </c>
      <c r="I557" t="s">
        <v>4212</v>
      </c>
      <c r="J557">
        <f t="shared" si="21"/>
        <v>129.9375</v>
      </c>
      <c r="K557">
        <v>1081.08</v>
      </c>
      <c r="L557" t="s">
        <v>4723</v>
      </c>
    </row>
    <row r="558" spans="1:12" ht="50.1" customHeight="1">
      <c r="A558">
        <v>549</v>
      </c>
      <c r="B558" t="s">
        <v>4623</v>
      </c>
      <c r="C558" t="s">
        <v>4624</v>
      </c>
      <c r="D558">
        <v>405142821</v>
      </c>
      <c r="E558" t="s">
        <v>3954</v>
      </c>
      <c r="F558" t="s">
        <v>4715</v>
      </c>
      <c r="G558">
        <v>4.16</v>
      </c>
      <c r="H558" t="s">
        <v>3954</v>
      </c>
      <c r="I558" t="s">
        <v>4212</v>
      </c>
      <c r="J558">
        <f t="shared" si="21"/>
        <v>259.875</v>
      </c>
      <c r="K558">
        <v>1081.08</v>
      </c>
      <c r="L558" t="s">
        <v>4724</v>
      </c>
    </row>
    <row r="559" spans="1:12" ht="50.1" customHeight="1">
      <c r="A559">
        <v>550</v>
      </c>
      <c r="B559" t="s">
        <v>4623</v>
      </c>
      <c r="C559" t="s">
        <v>4624</v>
      </c>
      <c r="D559">
        <v>405142821</v>
      </c>
      <c r="E559" t="s">
        <v>3954</v>
      </c>
      <c r="F559" t="s">
        <v>4715</v>
      </c>
      <c r="G559">
        <v>4.16</v>
      </c>
      <c r="H559" t="s">
        <v>3954</v>
      </c>
      <c r="I559" t="s">
        <v>4212</v>
      </c>
      <c r="J559">
        <f t="shared" si="21"/>
        <v>259.875</v>
      </c>
      <c r="K559">
        <v>1081.08</v>
      </c>
      <c r="L559" t="s">
        <v>4725</v>
      </c>
    </row>
    <row r="560" spans="1:12" ht="50.1" customHeight="1">
      <c r="A560">
        <v>551</v>
      </c>
      <c r="B560" t="s">
        <v>4623</v>
      </c>
      <c r="C560" t="s">
        <v>4624</v>
      </c>
      <c r="D560">
        <v>405142821</v>
      </c>
      <c r="E560" t="s">
        <v>3954</v>
      </c>
      <c r="F560" t="s">
        <v>4715</v>
      </c>
      <c r="G560">
        <v>4.16</v>
      </c>
      <c r="H560" t="s">
        <v>3954</v>
      </c>
      <c r="I560" t="s">
        <v>4212</v>
      </c>
      <c r="J560">
        <f t="shared" si="21"/>
        <v>259.875</v>
      </c>
      <c r="K560">
        <v>1081.08</v>
      </c>
      <c r="L560" t="s">
        <v>4726</v>
      </c>
    </row>
    <row r="561" spans="1:12" ht="50.1" customHeight="1">
      <c r="A561">
        <v>552</v>
      </c>
      <c r="B561" t="s">
        <v>4623</v>
      </c>
      <c r="C561" t="s">
        <v>4624</v>
      </c>
      <c r="D561">
        <v>405142821</v>
      </c>
      <c r="E561" t="s">
        <v>3954</v>
      </c>
      <c r="F561" t="s">
        <v>4715</v>
      </c>
      <c r="G561">
        <v>4.16</v>
      </c>
      <c r="H561" t="s">
        <v>3954</v>
      </c>
      <c r="I561" t="s">
        <v>4212</v>
      </c>
      <c r="J561">
        <f t="shared" si="21"/>
        <v>259.875</v>
      </c>
      <c r="K561">
        <v>1081.08</v>
      </c>
      <c r="L561" t="s">
        <v>4727</v>
      </c>
    </row>
    <row r="562" spans="1:12" ht="50.1" customHeight="1">
      <c r="A562">
        <v>553</v>
      </c>
      <c r="B562" t="s">
        <v>4623</v>
      </c>
      <c r="C562" t="s">
        <v>4624</v>
      </c>
      <c r="D562">
        <v>405142821</v>
      </c>
      <c r="E562" t="s">
        <v>3954</v>
      </c>
      <c r="F562" t="s">
        <v>4715</v>
      </c>
      <c r="G562">
        <v>13.92</v>
      </c>
      <c r="H562" t="s">
        <v>3954</v>
      </c>
      <c r="I562" t="s">
        <v>4212</v>
      </c>
      <c r="J562">
        <f t="shared" si="21"/>
        <v>77.66379310344827</v>
      </c>
      <c r="K562">
        <v>1081.08</v>
      </c>
      <c r="L562" t="s">
        <v>4728</v>
      </c>
    </row>
    <row r="563" spans="1:12" ht="50.1" customHeight="1">
      <c r="A563">
        <v>554</v>
      </c>
      <c r="B563" t="s">
        <v>4623</v>
      </c>
      <c r="C563" t="s">
        <v>4624</v>
      </c>
      <c r="D563">
        <v>405142821</v>
      </c>
      <c r="E563" t="s">
        <v>3954</v>
      </c>
      <c r="F563" t="s">
        <v>4715</v>
      </c>
      <c r="G563">
        <v>8.32</v>
      </c>
      <c r="H563" t="s">
        <v>3954</v>
      </c>
      <c r="I563" t="s">
        <v>4212</v>
      </c>
      <c r="J563">
        <f t="shared" si="21"/>
        <v>129.9375</v>
      </c>
      <c r="K563">
        <v>1081.08</v>
      </c>
      <c r="L563" t="s">
        <v>4729</v>
      </c>
    </row>
    <row r="564" spans="1:12" ht="50.1" customHeight="1">
      <c r="A564">
        <v>555</v>
      </c>
      <c r="B564" t="s">
        <v>4623</v>
      </c>
      <c r="C564" t="s">
        <v>4624</v>
      </c>
      <c r="D564">
        <v>405142821</v>
      </c>
      <c r="E564" t="s">
        <v>3954</v>
      </c>
      <c r="F564" t="s">
        <v>4715</v>
      </c>
      <c r="G564">
        <v>13.92</v>
      </c>
      <c r="H564" t="s">
        <v>3954</v>
      </c>
      <c r="I564" t="s">
        <v>4212</v>
      </c>
      <c r="J564">
        <f t="shared" si="21"/>
        <v>77.66379310344827</v>
      </c>
      <c r="K564">
        <v>1081.08</v>
      </c>
      <c r="L564" t="s">
        <v>4730</v>
      </c>
    </row>
    <row r="565" spans="1:12" ht="50.1" customHeight="1">
      <c r="A565">
        <v>556</v>
      </c>
      <c r="B565" t="s">
        <v>4623</v>
      </c>
      <c r="C565" t="s">
        <v>4624</v>
      </c>
      <c r="D565">
        <v>405142821</v>
      </c>
      <c r="E565" t="s">
        <v>3954</v>
      </c>
      <c r="F565" t="s">
        <v>4715</v>
      </c>
      <c r="G565">
        <v>13.92</v>
      </c>
      <c r="H565" t="s">
        <v>3954</v>
      </c>
      <c r="I565" t="s">
        <v>4212</v>
      </c>
      <c r="J565">
        <f t="shared" si="21"/>
        <v>77.66379310344827</v>
      </c>
      <c r="K565">
        <v>1081.08</v>
      </c>
      <c r="L565" t="s">
        <v>4731</v>
      </c>
    </row>
    <row r="566" spans="1:12" ht="50.1" customHeight="1">
      <c r="A566">
        <v>557</v>
      </c>
      <c r="B566" t="s">
        <v>4623</v>
      </c>
      <c r="C566" t="s">
        <v>4624</v>
      </c>
      <c r="D566">
        <v>405142821</v>
      </c>
      <c r="E566" t="s">
        <v>3954</v>
      </c>
      <c r="F566" t="s">
        <v>4715</v>
      </c>
      <c r="G566">
        <v>13.92</v>
      </c>
      <c r="H566" t="s">
        <v>3954</v>
      </c>
      <c r="I566" t="s">
        <v>4212</v>
      </c>
      <c r="J566">
        <f t="shared" si="21"/>
        <v>77.66379310344827</v>
      </c>
      <c r="K566">
        <v>1081.08</v>
      </c>
      <c r="L566" t="s">
        <v>4732</v>
      </c>
    </row>
    <row r="567" spans="1:12" ht="50.1" customHeight="1">
      <c r="A567">
        <v>558</v>
      </c>
      <c r="B567" t="s">
        <v>4623</v>
      </c>
      <c r="C567" t="s">
        <v>4624</v>
      </c>
      <c r="D567">
        <v>405142821</v>
      </c>
      <c r="E567" t="s">
        <v>3954</v>
      </c>
      <c r="F567" t="s">
        <v>4715</v>
      </c>
      <c r="G567">
        <v>13.92</v>
      </c>
      <c r="H567" t="s">
        <v>3954</v>
      </c>
      <c r="I567" t="s">
        <v>4212</v>
      </c>
      <c r="J567">
        <f t="shared" si="21"/>
        <v>77.66379310344827</v>
      </c>
      <c r="K567">
        <v>1081.08</v>
      </c>
      <c r="L567" t="s">
        <v>4733</v>
      </c>
    </row>
    <row r="568" spans="1:12" ht="50.1" customHeight="1">
      <c r="A568">
        <v>559</v>
      </c>
      <c r="B568" t="s">
        <v>4623</v>
      </c>
      <c r="C568" t="s">
        <v>4624</v>
      </c>
      <c r="D568">
        <v>405142821</v>
      </c>
      <c r="E568" t="s">
        <v>3954</v>
      </c>
      <c r="F568" t="s">
        <v>4715</v>
      </c>
      <c r="G568">
        <v>4.5199999999999996</v>
      </c>
      <c r="H568" t="s">
        <v>3954</v>
      </c>
      <c r="I568" t="s">
        <v>4212</v>
      </c>
      <c r="J568">
        <f t="shared" si="21"/>
        <v>239.17699115044249</v>
      </c>
      <c r="K568">
        <v>1081.08</v>
      </c>
      <c r="L568" t="s">
        <v>4734</v>
      </c>
    </row>
    <row r="569" spans="1:12" ht="50.1" customHeight="1">
      <c r="A569">
        <v>560</v>
      </c>
      <c r="B569" t="s">
        <v>4623</v>
      </c>
      <c r="C569" t="s">
        <v>4624</v>
      </c>
      <c r="D569">
        <v>405142821</v>
      </c>
      <c r="E569" t="s">
        <v>3954</v>
      </c>
      <c r="F569" t="s">
        <v>4715</v>
      </c>
      <c r="G569">
        <v>4.5199999999999996</v>
      </c>
      <c r="H569" t="s">
        <v>3954</v>
      </c>
      <c r="I569" t="s">
        <v>4212</v>
      </c>
      <c r="J569">
        <f t="shared" si="21"/>
        <v>239.17699115044249</v>
      </c>
      <c r="K569">
        <v>1081.08</v>
      </c>
      <c r="L569" t="s">
        <v>4735</v>
      </c>
    </row>
    <row r="570" spans="1:12" ht="50.1" customHeight="1">
      <c r="A570">
        <v>561</v>
      </c>
      <c r="B570" t="s">
        <v>4623</v>
      </c>
      <c r="C570" t="s">
        <v>4624</v>
      </c>
      <c r="D570">
        <v>405142821</v>
      </c>
      <c r="E570" t="s">
        <v>3954</v>
      </c>
      <c r="F570" t="s">
        <v>4715</v>
      </c>
      <c r="G570">
        <v>4.49</v>
      </c>
      <c r="H570" t="s">
        <v>3954</v>
      </c>
      <c r="I570" t="s">
        <v>4212</v>
      </c>
      <c r="J570">
        <f t="shared" si="21"/>
        <v>240.77505567928728</v>
      </c>
      <c r="K570">
        <v>1081.08</v>
      </c>
      <c r="L570" t="s">
        <v>4736</v>
      </c>
    </row>
    <row r="571" spans="1:12" ht="50.1" customHeight="1">
      <c r="A571">
        <v>562</v>
      </c>
      <c r="B571" t="s">
        <v>4623</v>
      </c>
      <c r="C571" t="s">
        <v>4624</v>
      </c>
      <c r="D571">
        <v>405142821</v>
      </c>
      <c r="E571" t="s">
        <v>3954</v>
      </c>
      <c r="F571" t="s">
        <v>4715</v>
      </c>
      <c r="G571">
        <v>4.49</v>
      </c>
      <c r="H571" t="s">
        <v>3954</v>
      </c>
      <c r="I571" t="s">
        <v>4212</v>
      </c>
      <c r="J571">
        <f t="shared" si="21"/>
        <v>240.77505567928728</v>
      </c>
      <c r="K571">
        <v>1081.08</v>
      </c>
      <c r="L571" t="s">
        <v>4737</v>
      </c>
    </row>
    <row r="572" spans="1:12" ht="50.1" customHeight="1">
      <c r="A572">
        <v>563</v>
      </c>
      <c r="B572" t="s">
        <v>4623</v>
      </c>
      <c r="C572" t="s">
        <v>4624</v>
      </c>
      <c r="D572">
        <v>405142821</v>
      </c>
      <c r="E572" t="s">
        <v>3954</v>
      </c>
      <c r="F572" t="s">
        <v>4715</v>
      </c>
      <c r="G572">
        <v>4.5199999999999996</v>
      </c>
      <c r="H572" t="s">
        <v>3954</v>
      </c>
      <c r="I572" t="s">
        <v>4212</v>
      </c>
      <c r="J572">
        <f t="shared" si="21"/>
        <v>239.17699115044249</v>
      </c>
      <c r="K572">
        <v>1081.08</v>
      </c>
      <c r="L572" t="s">
        <v>4738</v>
      </c>
    </row>
    <row r="573" spans="1:12" ht="50.1" customHeight="1">
      <c r="A573">
        <v>564</v>
      </c>
      <c r="B573" t="s">
        <v>4623</v>
      </c>
      <c r="C573" t="s">
        <v>4624</v>
      </c>
      <c r="D573">
        <v>405142821</v>
      </c>
      <c r="E573" t="s">
        <v>3954</v>
      </c>
      <c r="F573" t="s">
        <v>4715</v>
      </c>
      <c r="G573">
        <v>4.9800000000000004</v>
      </c>
      <c r="H573" t="s">
        <v>3954</v>
      </c>
      <c r="I573" t="s">
        <v>4212</v>
      </c>
      <c r="J573">
        <f t="shared" si="21"/>
        <v>217.08433734939754</v>
      </c>
      <c r="K573">
        <v>1081.08</v>
      </c>
      <c r="L573" t="s">
        <v>4739</v>
      </c>
    </row>
    <row r="574" spans="1:12" ht="50.1" customHeight="1">
      <c r="A574">
        <v>565</v>
      </c>
      <c r="B574" t="s">
        <v>4623</v>
      </c>
      <c r="C574" t="s">
        <v>4624</v>
      </c>
      <c r="D574">
        <v>405142821</v>
      </c>
      <c r="E574" t="s">
        <v>3954</v>
      </c>
      <c r="F574" t="s">
        <v>4715</v>
      </c>
      <c r="G574">
        <v>8.32</v>
      </c>
      <c r="H574" t="s">
        <v>3954</v>
      </c>
      <c r="I574" t="s">
        <v>4212</v>
      </c>
      <c r="J574">
        <f t="shared" si="21"/>
        <v>129.9375</v>
      </c>
      <c r="K574">
        <v>1081.08</v>
      </c>
      <c r="L574" t="s">
        <v>4740</v>
      </c>
    </row>
    <row r="575" spans="1:12" ht="50.1" customHeight="1">
      <c r="A575">
        <v>566</v>
      </c>
      <c r="B575" t="s">
        <v>4623</v>
      </c>
      <c r="C575" t="s">
        <v>4624</v>
      </c>
      <c r="D575">
        <v>405142821</v>
      </c>
      <c r="E575" t="s">
        <v>3954</v>
      </c>
      <c r="F575" t="s">
        <v>4715</v>
      </c>
      <c r="G575">
        <v>8.32</v>
      </c>
      <c r="H575" t="s">
        <v>3954</v>
      </c>
      <c r="I575" t="s">
        <v>4212</v>
      </c>
      <c r="J575">
        <f t="shared" si="21"/>
        <v>129.9375</v>
      </c>
      <c r="K575">
        <v>1081.08</v>
      </c>
      <c r="L575" t="s">
        <v>4741</v>
      </c>
    </row>
    <row r="576" spans="1:12" ht="50.1" customHeight="1">
      <c r="A576">
        <v>567</v>
      </c>
      <c r="B576" t="s">
        <v>4623</v>
      </c>
      <c r="C576" t="s">
        <v>4624</v>
      </c>
      <c r="D576">
        <v>405142821</v>
      </c>
      <c r="E576" t="s">
        <v>3954</v>
      </c>
      <c r="F576" t="s">
        <v>4715</v>
      </c>
      <c r="G576">
        <v>8.32</v>
      </c>
      <c r="H576" t="s">
        <v>3954</v>
      </c>
      <c r="I576" t="s">
        <v>4212</v>
      </c>
      <c r="J576">
        <f t="shared" si="21"/>
        <v>129.9375</v>
      </c>
      <c r="K576">
        <v>1081.08</v>
      </c>
      <c r="L576" t="s">
        <v>4742</v>
      </c>
    </row>
    <row r="577" spans="1:12" ht="50.1" customHeight="1">
      <c r="A577">
        <v>568</v>
      </c>
      <c r="B577" t="s">
        <v>4623</v>
      </c>
      <c r="C577" t="s">
        <v>4624</v>
      </c>
      <c r="D577">
        <v>405142821</v>
      </c>
      <c r="E577" t="s">
        <v>3954</v>
      </c>
      <c r="F577" t="s">
        <v>4715</v>
      </c>
      <c r="G577">
        <v>13.92</v>
      </c>
      <c r="H577" t="s">
        <v>3954</v>
      </c>
      <c r="I577" t="s">
        <v>4212</v>
      </c>
      <c r="J577">
        <f t="shared" si="21"/>
        <v>77.66379310344827</v>
      </c>
      <c r="K577">
        <v>1081.08</v>
      </c>
      <c r="L577" t="s">
        <v>4743</v>
      </c>
    </row>
    <row r="578" spans="1:12" ht="50.1" customHeight="1">
      <c r="A578">
        <v>569</v>
      </c>
      <c r="B578" t="s">
        <v>4623</v>
      </c>
      <c r="C578" t="s">
        <v>4624</v>
      </c>
      <c r="D578">
        <v>405142821</v>
      </c>
      <c r="E578" t="s">
        <v>3954</v>
      </c>
      <c r="F578" t="s">
        <v>4715</v>
      </c>
      <c r="G578">
        <v>13.92</v>
      </c>
      <c r="H578" t="s">
        <v>3954</v>
      </c>
      <c r="I578" t="s">
        <v>4212</v>
      </c>
      <c r="J578">
        <f t="shared" si="21"/>
        <v>77.66379310344827</v>
      </c>
      <c r="K578">
        <v>1081.08</v>
      </c>
      <c r="L578" t="s">
        <v>4744</v>
      </c>
    </row>
    <row r="579" spans="1:12" ht="50.1" customHeight="1">
      <c r="A579">
        <v>570</v>
      </c>
      <c r="B579" t="s">
        <v>4623</v>
      </c>
      <c r="C579" t="s">
        <v>4624</v>
      </c>
      <c r="D579">
        <v>405142821</v>
      </c>
      <c r="E579" t="s">
        <v>3954</v>
      </c>
      <c r="F579" t="s">
        <v>4715</v>
      </c>
      <c r="G579">
        <v>6.57</v>
      </c>
      <c r="H579" t="s">
        <v>3954</v>
      </c>
      <c r="I579" t="s">
        <v>4212</v>
      </c>
      <c r="J579">
        <f t="shared" si="21"/>
        <v>164.54794520547944</v>
      </c>
      <c r="K579">
        <v>1081.08</v>
      </c>
      <c r="L579" t="s">
        <v>4745</v>
      </c>
    </row>
    <row r="580" spans="1:12" ht="50.1" customHeight="1">
      <c r="A580">
        <v>571</v>
      </c>
      <c r="B580" t="s">
        <v>4623</v>
      </c>
      <c r="C580" t="s">
        <v>4624</v>
      </c>
      <c r="D580">
        <v>405142821</v>
      </c>
      <c r="E580" t="s">
        <v>3954</v>
      </c>
      <c r="F580" t="s">
        <v>4715</v>
      </c>
      <c r="G580">
        <v>8.32</v>
      </c>
      <c r="H580" t="s">
        <v>3954</v>
      </c>
      <c r="I580" t="s">
        <v>4212</v>
      </c>
      <c r="J580">
        <f t="shared" si="21"/>
        <v>129.9375</v>
      </c>
      <c r="K580">
        <v>1081.08</v>
      </c>
      <c r="L580" t="s">
        <v>4746</v>
      </c>
    </row>
    <row r="581" spans="1:12" ht="50.1" customHeight="1">
      <c r="A581">
        <v>572</v>
      </c>
      <c r="B581" t="s">
        <v>4623</v>
      </c>
      <c r="C581" t="s">
        <v>4624</v>
      </c>
      <c r="D581">
        <v>405142821</v>
      </c>
      <c r="E581" t="s">
        <v>3954</v>
      </c>
      <c r="F581" t="s">
        <v>4715</v>
      </c>
      <c r="G581">
        <v>13.92</v>
      </c>
      <c r="H581" t="s">
        <v>3954</v>
      </c>
      <c r="I581" t="s">
        <v>4212</v>
      </c>
      <c r="J581">
        <f t="shared" si="21"/>
        <v>77.66379310344827</v>
      </c>
      <c r="K581">
        <v>1081.08</v>
      </c>
      <c r="L581" t="s">
        <v>4747</v>
      </c>
    </row>
    <row r="582" spans="1:12" ht="50.1" customHeight="1">
      <c r="A582">
        <v>573</v>
      </c>
      <c r="B582" t="s">
        <v>4623</v>
      </c>
      <c r="C582" t="s">
        <v>4624</v>
      </c>
      <c r="D582">
        <v>405142821</v>
      </c>
      <c r="E582" t="s">
        <v>3954</v>
      </c>
      <c r="F582" t="s">
        <v>4715</v>
      </c>
      <c r="G582">
        <v>13.92</v>
      </c>
      <c r="H582" t="s">
        <v>3954</v>
      </c>
      <c r="I582" t="s">
        <v>4212</v>
      </c>
      <c r="J582">
        <f t="shared" si="21"/>
        <v>77.66379310344827</v>
      </c>
      <c r="K582">
        <v>1081.08</v>
      </c>
      <c r="L582" t="s">
        <v>4748</v>
      </c>
    </row>
    <row r="583" spans="1:12" ht="50.1" customHeight="1">
      <c r="A583">
        <v>574</v>
      </c>
      <c r="B583" t="s">
        <v>4623</v>
      </c>
      <c r="C583" t="s">
        <v>4624</v>
      </c>
      <c r="D583">
        <v>405142821</v>
      </c>
      <c r="E583" t="s">
        <v>3954</v>
      </c>
      <c r="F583" t="s">
        <v>4715</v>
      </c>
      <c r="G583">
        <v>8.32</v>
      </c>
      <c r="H583" t="s">
        <v>3954</v>
      </c>
      <c r="I583" t="s">
        <v>4212</v>
      </c>
      <c r="J583">
        <f t="shared" si="21"/>
        <v>129.9375</v>
      </c>
      <c r="K583">
        <v>1081.08</v>
      </c>
      <c r="L583" t="s">
        <v>4749</v>
      </c>
    </row>
    <row r="584" spans="1:12" ht="50.1" customHeight="1">
      <c r="A584">
        <v>575</v>
      </c>
      <c r="B584" t="s">
        <v>4623</v>
      </c>
      <c r="C584" t="s">
        <v>4624</v>
      </c>
      <c r="D584">
        <v>405142821</v>
      </c>
      <c r="E584" t="s">
        <v>3954</v>
      </c>
      <c r="F584" t="s">
        <v>4715</v>
      </c>
      <c r="G584">
        <v>4.58</v>
      </c>
      <c r="H584" t="s">
        <v>3954</v>
      </c>
      <c r="I584" t="s">
        <v>4212</v>
      </c>
      <c r="J584">
        <f t="shared" si="21"/>
        <v>236.04366812227073</v>
      </c>
      <c r="K584">
        <v>1081.08</v>
      </c>
      <c r="L584" t="s">
        <v>4750</v>
      </c>
    </row>
    <row r="585" spans="1:12" ht="50.1" customHeight="1">
      <c r="A585">
        <v>576</v>
      </c>
      <c r="B585" t="s">
        <v>4623</v>
      </c>
      <c r="C585" t="s">
        <v>4624</v>
      </c>
      <c r="D585">
        <v>405142821</v>
      </c>
      <c r="E585" t="s">
        <v>3954</v>
      </c>
      <c r="F585" t="s">
        <v>4715</v>
      </c>
      <c r="G585">
        <v>4.22</v>
      </c>
      <c r="H585" t="s">
        <v>3954</v>
      </c>
      <c r="I585" t="s">
        <v>4212</v>
      </c>
      <c r="J585">
        <f t="shared" si="21"/>
        <v>256.18009478672985</v>
      </c>
      <c r="K585">
        <v>1081.08</v>
      </c>
      <c r="L585" t="s">
        <v>4751</v>
      </c>
    </row>
    <row r="586" spans="1:12" ht="50.1" customHeight="1">
      <c r="A586">
        <v>577</v>
      </c>
      <c r="B586" t="s">
        <v>4623</v>
      </c>
      <c r="C586" t="s">
        <v>4624</v>
      </c>
      <c r="D586">
        <v>405142821</v>
      </c>
      <c r="E586" t="s">
        <v>3954</v>
      </c>
      <c r="F586" t="s">
        <v>4715</v>
      </c>
      <c r="G586">
        <v>6.57</v>
      </c>
      <c r="H586" t="s">
        <v>3954</v>
      </c>
      <c r="I586" t="s">
        <v>4212</v>
      </c>
      <c r="J586">
        <f t="shared" si="21"/>
        <v>164.54794520547944</v>
      </c>
      <c r="K586">
        <v>1081.08</v>
      </c>
      <c r="L586" t="s">
        <v>4752</v>
      </c>
    </row>
    <row r="587" spans="1:12" ht="50.1" customHeight="1">
      <c r="A587">
        <v>578</v>
      </c>
      <c r="B587" t="s">
        <v>4623</v>
      </c>
      <c r="C587" t="s">
        <v>4624</v>
      </c>
      <c r="D587">
        <v>405142821</v>
      </c>
      <c r="E587" t="s">
        <v>3954</v>
      </c>
      <c r="F587" t="s">
        <v>4715</v>
      </c>
      <c r="G587">
        <v>4.49</v>
      </c>
      <c r="H587" t="s">
        <v>3954</v>
      </c>
      <c r="I587" t="s">
        <v>4212</v>
      </c>
      <c r="J587">
        <f t="shared" si="21"/>
        <v>240.77505567928728</v>
      </c>
      <c r="K587">
        <v>1081.08</v>
      </c>
      <c r="L587" t="s">
        <v>4753</v>
      </c>
    </row>
    <row r="588" spans="1:12" ht="50.1" customHeight="1">
      <c r="A588">
        <v>579</v>
      </c>
      <c r="B588" t="s">
        <v>4623</v>
      </c>
      <c r="C588" t="s">
        <v>4624</v>
      </c>
      <c r="D588">
        <v>405142821</v>
      </c>
      <c r="E588" t="s">
        <v>3954</v>
      </c>
      <c r="F588" t="s">
        <v>4715</v>
      </c>
      <c r="G588">
        <v>4.49</v>
      </c>
      <c r="H588" t="s">
        <v>3954</v>
      </c>
      <c r="I588" t="s">
        <v>4212</v>
      </c>
      <c r="J588">
        <f t="shared" si="21"/>
        <v>240.77505567928728</v>
      </c>
      <c r="K588">
        <v>1081.08</v>
      </c>
      <c r="L588" t="s">
        <v>4754</v>
      </c>
    </row>
    <row r="589" spans="1:12" ht="50.1" customHeight="1">
      <c r="A589">
        <v>580</v>
      </c>
      <c r="B589" t="s">
        <v>4623</v>
      </c>
      <c r="C589" t="s">
        <v>4624</v>
      </c>
      <c r="D589">
        <v>405142821</v>
      </c>
      <c r="E589" t="s">
        <v>3954</v>
      </c>
      <c r="F589" t="s">
        <v>4715</v>
      </c>
      <c r="G589">
        <v>4.7699999999999996</v>
      </c>
      <c r="H589" t="s">
        <v>3954</v>
      </c>
      <c r="I589" t="s">
        <v>4212</v>
      </c>
      <c r="J589">
        <f t="shared" si="21"/>
        <v>226.64150943396226</v>
      </c>
      <c r="K589">
        <v>1081.08</v>
      </c>
      <c r="L589" t="s">
        <v>4755</v>
      </c>
    </row>
    <row r="590" spans="1:12" ht="50.1" customHeight="1">
      <c r="A590">
        <v>581</v>
      </c>
      <c r="B590" t="s">
        <v>4623</v>
      </c>
      <c r="C590" t="s">
        <v>4624</v>
      </c>
      <c r="D590">
        <v>405142821</v>
      </c>
      <c r="E590" t="s">
        <v>3954</v>
      </c>
      <c r="F590" t="s">
        <v>4715</v>
      </c>
      <c r="G590">
        <v>6.57</v>
      </c>
      <c r="H590" t="s">
        <v>3954</v>
      </c>
      <c r="I590" t="s">
        <v>4212</v>
      </c>
      <c r="J590">
        <f t="shared" si="21"/>
        <v>164.54794520547944</v>
      </c>
      <c r="K590">
        <v>1081.08</v>
      </c>
      <c r="L590" t="s">
        <v>4756</v>
      </c>
    </row>
    <row r="591" spans="1:12" ht="50.1" customHeight="1">
      <c r="A591">
        <v>582</v>
      </c>
      <c r="B591" t="s">
        <v>4623</v>
      </c>
      <c r="C591" t="s">
        <v>4624</v>
      </c>
      <c r="D591">
        <v>405142821</v>
      </c>
      <c r="E591" t="s">
        <v>3954</v>
      </c>
      <c r="F591" t="s">
        <v>4715</v>
      </c>
      <c r="G591">
        <v>4.49</v>
      </c>
      <c r="H591" t="s">
        <v>3954</v>
      </c>
      <c r="I591" t="s">
        <v>4212</v>
      </c>
      <c r="J591">
        <f t="shared" si="21"/>
        <v>240.77505567928728</v>
      </c>
      <c r="K591">
        <v>1081.08</v>
      </c>
      <c r="L591" t="s">
        <v>4757</v>
      </c>
    </row>
    <row r="592" spans="1:12" ht="50.1" customHeight="1">
      <c r="A592">
        <v>583</v>
      </c>
      <c r="B592" t="s">
        <v>4623</v>
      </c>
      <c r="C592" t="s">
        <v>4624</v>
      </c>
      <c r="D592">
        <v>405142821</v>
      </c>
      <c r="E592" t="s">
        <v>3954</v>
      </c>
      <c r="F592" t="s">
        <v>4715</v>
      </c>
      <c r="G592">
        <v>4.16</v>
      </c>
      <c r="H592" t="s">
        <v>3954</v>
      </c>
      <c r="I592" t="s">
        <v>4212</v>
      </c>
      <c r="J592">
        <f t="shared" si="21"/>
        <v>259.875</v>
      </c>
      <c r="K592">
        <v>1081.08</v>
      </c>
      <c r="L592" t="s">
        <v>4758</v>
      </c>
    </row>
    <row r="593" spans="1:12" ht="50.1" customHeight="1">
      <c r="A593">
        <v>584</v>
      </c>
      <c r="B593" t="s">
        <v>4623</v>
      </c>
      <c r="C593" t="s">
        <v>4624</v>
      </c>
      <c r="D593">
        <v>405142821</v>
      </c>
      <c r="E593" t="s">
        <v>3954</v>
      </c>
      <c r="F593" t="s">
        <v>4715</v>
      </c>
      <c r="G593">
        <v>13.92</v>
      </c>
      <c r="H593" t="s">
        <v>3954</v>
      </c>
      <c r="I593" t="s">
        <v>4212</v>
      </c>
      <c r="J593">
        <f t="shared" si="21"/>
        <v>77.66379310344827</v>
      </c>
      <c r="K593">
        <v>1081.08</v>
      </c>
      <c r="L593" t="s">
        <v>4759</v>
      </c>
    </row>
    <row r="594" spans="1:12" ht="50.1" customHeight="1">
      <c r="A594">
        <v>585</v>
      </c>
      <c r="B594" t="s">
        <v>4623</v>
      </c>
      <c r="C594" t="s">
        <v>4624</v>
      </c>
      <c r="D594">
        <v>405142821</v>
      </c>
      <c r="E594" t="s">
        <v>3954</v>
      </c>
      <c r="F594" t="s">
        <v>4715</v>
      </c>
      <c r="G594">
        <v>4.16</v>
      </c>
      <c r="H594" t="s">
        <v>3954</v>
      </c>
      <c r="I594" t="s">
        <v>4212</v>
      </c>
      <c r="J594">
        <f t="shared" si="21"/>
        <v>259.875</v>
      </c>
      <c r="K594">
        <v>1081.08</v>
      </c>
      <c r="L594" t="s">
        <v>4760</v>
      </c>
    </row>
    <row r="595" spans="1:12" ht="50.1" customHeight="1">
      <c r="A595">
        <v>586</v>
      </c>
      <c r="B595" t="s">
        <v>4623</v>
      </c>
      <c r="C595" t="s">
        <v>4624</v>
      </c>
      <c r="D595">
        <v>405142821</v>
      </c>
      <c r="E595" t="s">
        <v>3954</v>
      </c>
      <c r="F595" t="s">
        <v>4715</v>
      </c>
      <c r="G595">
        <v>4.49</v>
      </c>
      <c r="H595" t="s">
        <v>3954</v>
      </c>
      <c r="I595" t="s">
        <v>4212</v>
      </c>
      <c r="J595">
        <f t="shared" si="21"/>
        <v>240.77505567928728</v>
      </c>
      <c r="K595">
        <v>1081.08</v>
      </c>
      <c r="L595" t="s">
        <v>4761</v>
      </c>
    </row>
    <row r="596" spans="1:12" ht="50.1" customHeight="1">
      <c r="A596">
        <v>587</v>
      </c>
      <c r="B596" t="s">
        <v>4623</v>
      </c>
      <c r="C596" t="s">
        <v>4624</v>
      </c>
      <c r="D596">
        <v>405142821</v>
      </c>
      <c r="E596" t="s">
        <v>3954</v>
      </c>
      <c r="F596" t="s">
        <v>4715</v>
      </c>
      <c r="G596">
        <v>4.16</v>
      </c>
      <c r="H596" t="s">
        <v>3954</v>
      </c>
      <c r="I596" t="s">
        <v>4212</v>
      </c>
      <c r="J596">
        <f t="shared" si="21"/>
        <v>259.875</v>
      </c>
      <c r="K596">
        <v>1081.08</v>
      </c>
      <c r="L596" t="s">
        <v>4762</v>
      </c>
    </row>
    <row r="597" spans="1:12" ht="50.1" customHeight="1">
      <c r="A597">
        <v>588</v>
      </c>
      <c r="B597" t="s">
        <v>4623</v>
      </c>
      <c r="C597" t="s">
        <v>4624</v>
      </c>
      <c r="D597">
        <v>405142821</v>
      </c>
      <c r="E597" t="s">
        <v>3954</v>
      </c>
      <c r="F597" t="s">
        <v>4715</v>
      </c>
      <c r="G597">
        <v>4.16</v>
      </c>
      <c r="H597" t="s">
        <v>3954</v>
      </c>
      <c r="I597" t="s">
        <v>4212</v>
      </c>
      <c r="J597">
        <f t="shared" si="21"/>
        <v>259.875</v>
      </c>
      <c r="K597">
        <v>1081.08</v>
      </c>
      <c r="L597" t="s">
        <v>4763</v>
      </c>
    </row>
    <row r="598" spans="1:12" ht="50.1" customHeight="1">
      <c r="A598">
        <v>589</v>
      </c>
      <c r="B598" t="s">
        <v>4623</v>
      </c>
      <c r="C598" t="s">
        <v>4624</v>
      </c>
      <c r="D598">
        <v>405142821</v>
      </c>
      <c r="E598" t="s">
        <v>3954</v>
      </c>
      <c r="F598" t="s">
        <v>4715</v>
      </c>
      <c r="G598">
        <v>4.45</v>
      </c>
      <c r="H598" t="s">
        <v>3954</v>
      </c>
      <c r="I598" t="s">
        <v>4212</v>
      </c>
      <c r="J598">
        <f t="shared" si="21"/>
        <v>242.9393258426966</v>
      </c>
      <c r="K598">
        <v>1081.08</v>
      </c>
      <c r="L598" t="s">
        <v>4764</v>
      </c>
    </row>
    <row r="599" spans="1:12" ht="50.1" customHeight="1">
      <c r="A599">
        <v>590</v>
      </c>
      <c r="B599" t="s">
        <v>4623</v>
      </c>
      <c r="C599" t="s">
        <v>4624</v>
      </c>
      <c r="D599">
        <v>405142821</v>
      </c>
      <c r="E599" t="s">
        <v>3954</v>
      </c>
      <c r="F599" t="s">
        <v>4715</v>
      </c>
      <c r="G599">
        <v>13.92</v>
      </c>
      <c r="H599" t="s">
        <v>3954</v>
      </c>
      <c r="I599" t="s">
        <v>4212</v>
      </c>
      <c r="J599">
        <f t="shared" si="21"/>
        <v>77.66379310344827</v>
      </c>
      <c r="K599">
        <v>1081.08</v>
      </c>
      <c r="L599" t="s">
        <v>4765</v>
      </c>
    </row>
    <row r="600" spans="1:12" ht="50.1" customHeight="1">
      <c r="A600">
        <v>591</v>
      </c>
      <c r="B600" t="s">
        <v>4623</v>
      </c>
      <c r="C600" t="s">
        <v>4624</v>
      </c>
      <c r="D600">
        <v>405142821</v>
      </c>
      <c r="E600" t="s">
        <v>3954</v>
      </c>
      <c r="F600" t="s">
        <v>4715</v>
      </c>
      <c r="G600">
        <v>13.92</v>
      </c>
      <c r="H600" t="s">
        <v>3954</v>
      </c>
      <c r="I600" t="s">
        <v>4212</v>
      </c>
      <c r="J600">
        <f t="shared" si="21"/>
        <v>77.66379310344827</v>
      </c>
      <c r="K600">
        <v>1081.08</v>
      </c>
      <c r="L600" t="s">
        <v>4766</v>
      </c>
    </row>
    <row r="601" spans="1:12" ht="50.1" customHeight="1">
      <c r="A601">
        <v>592</v>
      </c>
      <c r="B601" t="s">
        <v>4623</v>
      </c>
      <c r="C601" t="s">
        <v>4624</v>
      </c>
      <c r="D601">
        <v>405142821</v>
      </c>
      <c r="E601" t="s">
        <v>3954</v>
      </c>
      <c r="F601" t="s">
        <v>4715</v>
      </c>
      <c r="G601">
        <v>13.92</v>
      </c>
      <c r="H601" t="s">
        <v>3954</v>
      </c>
      <c r="I601" t="s">
        <v>4212</v>
      </c>
      <c r="J601">
        <f t="shared" si="21"/>
        <v>77.66379310344827</v>
      </c>
      <c r="K601">
        <v>1081.08</v>
      </c>
      <c r="L601" t="s">
        <v>4767</v>
      </c>
    </row>
    <row r="602" spans="1:12" ht="50.1" customHeight="1">
      <c r="A602">
        <v>593</v>
      </c>
      <c r="B602" t="s">
        <v>4623</v>
      </c>
      <c r="C602" t="s">
        <v>4624</v>
      </c>
      <c r="D602">
        <v>405142821</v>
      </c>
      <c r="E602" t="s">
        <v>3954</v>
      </c>
      <c r="F602" t="s">
        <v>4715</v>
      </c>
      <c r="G602">
        <v>13.92</v>
      </c>
      <c r="H602" t="s">
        <v>3954</v>
      </c>
      <c r="I602" t="s">
        <v>4212</v>
      </c>
      <c r="J602">
        <f t="shared" si="21"/>
        <v>77.66379310344827</v>
      </c>
      <c r="K602">
        <v>1081.08</v>
      </c>
      <c r="L602" t="s">
        <v>4768</v>
      </c>
    </row>
    <row r="603" spans="1:12" ht="50.1" customHeight="1">
      <c r="A603">
        <v>594</v>
      </c>
      <c r="B603" t="s">
        <v>4623</v>
      </c>
      <c r="C603" t="s">
        <v>4624</v>
      </c>
      <c r="D603">
        <v>405142821</v>
      </c>
      <c r="E603" t="s">
        <v>3954</v>
      </c>
      <c r="F603" t="s">
        <v>4715</v>
      </c>
      <c r="G603">
        <v>4.49</v>
      </c>
      <c r="H603" t="s">
        <v>3954</v>
      </c>
      <c r="I603" t="s">
        <v>4212</v>
      </c>
      <c r="J603">
        <f t="shared" si="21"/>
        <v>240.77505567928728</v>
      </c>
      <c r="K603">
        <v>1081.08</v>
      </c>
      <c r="L603" t="s">
        <v>4769</v>
      </c>
    </row>
    <row r="604" spans="1:12" ht="50.1" customHeight="1">
      <c r="A604">
        <v>595</v>
      </c>
      <c r="B604" t="s">
        <v>4623</v>
      </c>
      <c r="C604" t="s">
        <v>4624</v>
      </c>
      <c r="D604">
        <v>405142821</v>
      </c>
      <c r="E604" t="s">
        <v>3954</v>
      </c>
      <c r="F604" t="s">
        <v>4715</v>
      </c>
      <c r="G604">
        <v>4.16</v>
      </c>
      <c r="H604" t="s">
        <v>3954</v>
      </c>
      <c r="I604" t="s">
        <v>4212</v>
      </c>
      <c r="J604">
        <f t="shared" si="21"/>
        <v>259.875</v>
      </c>
      <c r="K604">
        <v>1081.08</v>
      </c>
      <c r="L604" t="s">
        <v>4770</v>
      </c>
    </row>
    <row r="605" spans="1:12" ht="50.1" customHeight="1">
      <c r="A605">
        <v>596</v>
      </c>
      <c r="B605" t="s">
        <v>4623</v>
      </c>
      <c r="C605" t="s">
        <v>4624</v>
      </c>
      <c r="D605">
        <v>405142821</v>
      </c>
      <c r="E605" t="s">
        <v>3954</v>
      </c>
      <c r="F605" t="s">
        <v>4715</v>
      </c>
      <c r="G605">
        <v>4.16</v>
      </c>
      <c r="H605" t="s">
        <v>3954</v>
      </c>
      <c r="I605" t="s">
        <v>4212</v>
      </c>
      <c r="J605">
        <f t="shared" si="21"/>
        <v>259.875</v>
      </c>
      <c r="K605">
        <v>1081.08</v>
      </c>
      <c r="L605" t="s">
        <v>4771</v>
      </c>
    </row>
    <row r="606" spans="1:12" ht="50.1" customHeight="1">
      <c r="A606">
        <v>597</v>
      </c>
      <c r="B606" t="s">
        <v>4623</v>
      </c>
      <c r="C606" t="s">
        <v>4624</v>
      </c>
      <c r="D606">
        <v>405142821</v>
      </c>
      <c r="E606" t="s">
        <v>3954</v>
      </c>
      <c r="F606" t="s">
        <v>4715</v>
      </c>
      <c r="G606">
        <v>4.16</v>
      </c>
      <c r="H606" t="s">
        <v>3954</v>
      </c>
      <c r="I606" t="s">
        <v>4212</v>
      </c>
      <c r="J606">
        <f t="shared" si="21"/>
        <v>259.875</v>
      </c>
      <c r="K606">
        <v>1081.08</v>
      </c>
      <c r="L606" t="s">
        <v>4772</v>
      </c>
    </row>
    <row r="607" spans="1:12" ht="50.1" customHeight="1">
      <c r="A607">
        <v>598</v>
      </c>
      <c r="B607" t="s">
        <v>4623</v>
      </c>
      <c r="C607" t="s">
        <v>4624</v>
      </c>
      <c r="D607">
        <v>405142821</v>
      </c>
      <c r="E607" t="s">
        <v>3954</v>
      </c>
      <c r="F607" t="s">
        <v>4715</v>
      </c>
      <c r="G607">
        <v>4.16</v>
      </c>
      <c r="H607" t="s">
        <v>3954</v>
      </c>
      <c r="I607" t="s">
        <v>4212</v>
      </c>
      <c r="J607">
        <f t="shared" si="21"/>
        <v>259.875</v>
      </c>
      <c r="K607">
        <v>1081.08</v>
      </c>
      <c r="L607" t="s">
        <v>4773</v>
      </c>
    </row>
    <row r="608" spans="1:12" ht="50.1" customHeight="1">
      <c r="A608">
        <v>599</v>
      </c>
      <c r="B608" t="s">
        <v>4623</v>
      </c>
      <c r="C608" t="s">
        <v>4624</v>
      </c>
      <c r="D608">
        <v>405142821</v>
      </c>
      <c r="E608" t="s">
        <v>3954</v>
      </c>
      <c r="F608" t="s">
        <v>4715</v>
      </c>
      <c r="G608">
        <v>13.92</v>
      </c>
      <c r="H608" t="s">
        <v>3954</v>
      </c>
      <c r="I608" t="s">
        <v>4212</v>
      </c>
      <c r="J608">
        <f t="shared" si="21"/>
        <v>77.66379310344827</v>
      </c>
      <c r="K608">
        <v>1081.08</v>
      </c>
      <c r="L608" t="s">
        <v>4774</v>
      </c>
    </row>
    <row r="609" spans="1:12" ht="50.1" customHeight="1">
      <c r="A609">
        <v>600</v>
      </c>
      <c r="B609" t="s">
        <v>4623</v>
      </c>
      <c r="C609" t="s">
        <v>4624</v>
      </c>
      <c r="D609">
        <v>405142821</v>
      </c>
      <c r="E609" t="s">
        <v>3954</v>
      </c>
      <c r="F609" t="s">
        <v>4715</v>
      </c>
      <c r="G609">
        <v>4.16</v>
      </c>
      <c r="H609" t="s">
        <v>3954</v>
      </c>
      <c r="I609" t="s">
        <v>4212</v>
      </c>
      <c r="J609">
        <f t="shared" si="21"/>
        <v>259.875</v>
      </c>
      <c r="K609">
        <v>1081.08</v>
      </c>
      <c r="L609" t="s">
        <v>4775</v>
      </c>
    </row>
    <row r="610" spans="1:12" ht="50.1" customHeight="1">
      <c r="A610">
        <v>601</v>
      </c>
      <c r="B610" t="s">
        <v>4623</v>
      </c>
      <c r="C610" t="s">
        <v>4624</v>
      </c>
      <c r="D610">
        <v>405142821</v>
      </c>
      <c r="E610" t="s">
        <v>3954</v>
      </c>
      <c r="F610" t="s">
        <v>4715</v>
      </c>
      <c r="G610">
        <v>4.16</v>
      </c>
      <c r="H610" t="s">
        <v>3954</v>
      </c>
      <c r="I610" t="s">
        <v>4212</v>
      </c>
      <c r="J610">
        <f t="shared" si="21"/>
        <v>259.875</v>
      </c>
      <c r="K610">
        <v>1081.08</v>
      </c>
      <c r="L610" t="s">
        <v>4776</v>
      </c>
    </row>
    <row r="611" spans="1:12" ht="50.1" customHeight="1">
      <c r="A611">
        <v>602</v>
      </c>
      <c r="B611" t="s">
        <v>4623</v>
      </c>
      <c r="C611" t="s">
        <v>4624</v>
      </c>
      <c r="D611">
        <v>405142821</v>
      </c>
      <c r="E611" t="s">
        <v>3954</v>
      </c>
      <c r="F611" t="s">
        <v>4715</v>
      </c>
      <c r="G611">
        <v>8.32</v>
      </c>
      <c r="H611" t="s">
        <v>3954</v>
      </c>
      <c r="I611" t="s">
        <v>4212</v>
      </c>
      <c r="J611">
        <f t="shared" si="21"/>
        <v>129.9375</v>
      </c>
      <c r="K611">
        <v>1081.08</v>
      </c>
      <c r="L611" t="s">
        <v>4777</v>
      </c>
    </row>
    <row r="612" spans="1:12" ht="50.1" customHeight="1">
      <c r="A612">
        <v>603</v>
      </c>
      <c r="B612" t="s">
        <v>4623</v>
      </c>
      <c r="C612" t="s">
        <v>4624</v>
      </c>
      <c r="D612">
        <v>405142821</v>
      </c>
      <c r="E612" t="s">
        <v>3954</v>
      </c>
      <c r="F612" t="s">
        <v>4715</v>
      </c>
      <c r="G612">
        <v>4.16</v>
      </c>
      <c r="H612" t="s">
        <v>3954</v>
      </c>
      <c r="I612" t="s">
        <v>4212</v>
      </c>
      <c r="J612">
        <f t="shared" si="21"/>
        <v>259.875</v>
      </c>
      <c r="K612">
        <v>1081.08</v>
      </c>
      <c r="L612" t="s">
        <v>4778</v>
      </c>
    </row>
    <row r="613" spans="1:12" ht="50.1" customHeight="1">
      <c r="A613">
        <v>604</v>
      </c>
      <c r="B613" t="s">
        <v>4623</v>
      </c>
      <c r="C613" t="s">
        <v>4624</v>
      </c>
      <c r="D613">
        <v>405142821</v>
      </c>
      <c r="E613" t="s">
        <v>3954</v>
      </c>
      <c r="F613" t="s">
        <v>4715</v>
      </c>
      <c r="G613">
        <v>4.16</v>
      </c>
      <c r="H613" t="s">
        <v>3954</v>
      </c>
      <c r="I613" t="s">
        <v>4212</v>
      </c>
      <c r="J613">
        <f t="shared" si="21"/>
        <v>259.875</v>
      </c>
      <c r="K613">
        <v>1081.08</v>
      </c>
      <c r="L613" t="s">
        <v>4779</v>
      </c>
    </row>
    <row r="614" spans="1:12" ht="50.1" customHeight="1">
      <c r="A614">
        <v>605</v>
      </c>
      <c r="B614" t="s">
        <v>4623</v>
      </c>
      <c r="C614" t="s">
        <v>4624</v>
      </c>
      <c r="D614">
        <v>405142821</v>
      </c>
      <c r="E614" t="s">
        <v>3954</v>
      </c>
      <c r="F614" t="s">
        <v>4715</v>
      </c>
      <c r="G614">
        <v>8.32</v>
      </c>
      <c r="H614" t="s">
        <v>3954</v>
      </c>
      <c r="I614" t="s">
        <v>4212</v>
      </c>
      <c r="J614">
        <f t="shared" si="21"/>
        <v>129.9375</v>
      </c>
      <c r="K614">
        <v>1081.08</v>
      </c>
      <c r="L614" t="s">
        <v>4780</v>
      </c>
    </row>
    <row r="615" spans="1:12" ht="50.1" customHeight="1">
      <c r="A615">
        <v>606</v>
      </c>
      <c r="B615" t="s">
        <v>4623</v>
      </c>
      <c r="C615" t="s">
        <v>4624</v>
      </c>
      <c r="D615">
        <v>405142821</v>
      </c>
      <c r="E615" t="s">
        <v>3954</v>
      </c>
      <c r="F615" t="s">
        <v>4715</v>
      </c>
      <c r="G615">
        <v>8.32</v>
      </c>
      <c r="H615" t="s">
        <v>3954</v>
      </c>
      <c r="I615" t="s">
        <v>4212</v>
      </c>
      <c r="J615">
        <f t="shared" ref="J615:J617" si="22">K615/G615</f>
        <v>129.9375</v>
      </c>
      <c r="K615">
        <v>1081.08</v>
      </c>
      <c r="L615" t="s">
        <v>4781</v>
      </c>
    </row>
    <row r="616" spans="1:12" ht="50.1" customHeight="1">
      <c r="A616">
        <v>607</v>
      </c>
      <c r="B616" t="s">
        <v>4623</v>
      </c>
      <c r="C616" t="s">
        <v>4624</v>
      </c>
      <c r="D616">
        <v>405142821</v>
      </c>
      <c r="E616" t="s">
        <v>3954</v>
      </c>
      <c r="F616" t="s">
        <v>4715</v>
      </c>
      <c r="G616">
        <v>4.16</v>
      </c>
      <c r="H616" t="s">
        <v>3954</v>
      </c>
      <c r="I616" t="s">
        <v>4212</v>
      </c>
      <c r="J616">
        <f t="shared" si="22"/>
        <v>259.875</v>
      </c>
      <c r="K616">
        <v>1081.08</v>
      </c>
      <c r="L616" t="s">
        <v>4782</v>
      </c>
    </row>
    <row r="617" spans="1:12" ht="50.1" customHeight="1">
      <c r="A617">
        <v>608</v>
      </c>
      <c r="B617" t="s">
        <v>4623</v>
      </c>
      <c r="C617" t="s">
        <v>4624</v>
      </c>
      <c r="D617">
        <v>405142821</v>
      </c>
      <c r="E617" t="s">
        <v>3954</v>
      </c>
      <c r="F617" t="s">
        <v>4715</v>
      </c>
      <c r="G617">
        <v>8.32</v>
      </c>
      <c r="H617" t="s">
        <v>3954</v>
      </c>
      <c r="I617" t="s">
        <v>4212</v>
      </c>
      <c r="J617">
        <f t="shared" si="22"/>
        <v>129.9375</v>
      </c>
      <c r="K617">
        <v>1081.08</v>
      </c>
      <c r="L617" t="s">
        <v>4783</v>
      </c>
    </row>
    <row r="618" spans="1:12" ht="50.1" customHeight="1">
      <c r="A618">
        <v>609</v>
      </c>
      <c r="B618" t="s">
        <v>4209</v>
      </c>
      <c r="C618" t="s">
        <v>4784</v>
      </c>
      <c r="D618">
        <v>205255917</v>
      </c>
      <c r="E618" t="s">
        <v>3954</v>
      </c>
      <c r="F618" t="s">
        <v>4785</v>
      </c>
      <c r="G618">
        <v>190.35000000000002</v>
      </c>
      <c r="H618" t="s">
        <v>3954</v>
      </c>
      <c r="I618" t="s">
        <v>4212</v>
      </c>
      <c r="J618">
        <f>K618/G618</f>
        <v>417.17129032258072</v>
      </c>
      <c r="K618">
        <v>79408.555112903254</v>
      </c>
      <c r="L618" t="s">
        <v>4786</v>
      </c>
    </row>
    <row r="619" spans="1:12" ht="50.1" customHeight="1">
      <c r="A619">
        <v>610</v>
      </c>
      <c r="B619" t="s">
        <v>4209</v>
      </c>
      <c r="C619" t="s">
        <v>4784</v>
      </c>
      <c r="D619">
        <v>205255917</v>
      </c>
      <c r="E619" t="s">
        <v>3954</v>
      </c>
      <c r="F619" t="s">
        <v>4785</v>
      </c>
      <c r="G619">
        <v>64</v>
      </c>
      <c r="H619" t="s">
        <v>3954</v>
      </c>
      <c r="I619" t="s">
        <v>4212</v>
      </c>
      <c r="J619">
        <f t="shared" ref="J619:J682" si="23">K619/G619</f>
        <v>408.88129032258064</v>
      </c>
      <c r="K619">
        <v>26168.402580645161</v>
      </c>
      <c r="L619" t="s">
        <v>4787</v>
      </c>
    </row>
    <row r="620" spans="1:12" ht="50.1" customHeight="1">
      <c r="A620">
        <v>611</v>
      </c>
      <c r="B620" t="s">
        <v>4209</v>
      </c>
      <c r="C620" t="s">
        <v>4784</v>
      </c>
      <c r="D620">
        <v>205255917</v>
      </c>
      <c r="E620" t="s">
        <v>3954</v>
      </c>
      <c r="F620" t="s">
        <v>4785</v>
      </c>
      <c r="G620">
        <v>29.639999999999997</v>
      </c>
      <c r="H620" t="s">
        <v>3954</v>
      </c>
      <c r="I620" t="s">
        <v>4212</v>
      </c>
      <c r="J620">
        <f t="shared" si="23"/>
        <v>408.88129032258064</v>
      </c>
      <c r="K620">
        <v>12119.241445161289</v>
      </c>
      <c r="L620" t="s">
        <v>4788</v>
      </c>
    </row>
    <row r="621" spans="1:12" ht="50.1" customHeight="1">
      <c r="A621">
        <v>612</v>
      </c>
      <c r="B621" t="s">
        <v>4209</v>
      </c>
      <c r="C621" t="s">
        <v>4784</v>
      </c>
      <c r="D621">
        <v>205255917</v>
      </c>
      <c r="E621" t="s">
        <v>3954</v>
      </c>
      <c r="F621" t="s">
        <v>4785</v>
      </c>
      <c r="G621">
        <v>126.9</v>
      </c>
      <c r="H621" t="s">
        <v>3954</v>
      </c>
      <c r="I621" t="s">
        <v>4212</v>
      </c>
      <c r="J621">
        <f t="shared" si="23"/>
        <v>417.17129032258066</v>
      </c>
      <c r="K621">
        <v>52939.036741935488</v>
      </c>
      <c r="L621" t="s">
        <v>4789</v>
      </c>
    </row>
    <row r="622" spans="1:12" ht="50.1" customHeight="1">
      <c r="A622">
        <v>613</v>
      </c>
      <c r="B622" t="s">
        <v>4209</v>
      </c>
      <c r="C622" t="s">
        <v>4784</v>
      </c>
      <c r="D622">
        <v>205255917</v>
      </c>
      <c r="E622" t="s">
        <v>3954</v>
      </c>
      <c r="F622" t="s">
        <v>4785</v>
      </c>
      <c r="G622">
        <v>126.9</v>
      </c>
      <c r="H622" t="s">
        <v>3954</v>
      </c>
      <c r="I622" t="s">
        <v>4212</v>
      </c>
      <c r="J622">
        <f t="shared" si="23"/>
        <v>417.17129032258066</v>
      </c>
      <c r="K622">
        <v>52939.036741935488</v>
      </c>
      <c r="L622" t="s">
        <v>4790</v>
      </c>
    </row>
    <row r="623" spans="1:12" ht="50.1" customHeight="1">
      <c r="A623">
        <v>614</v>
      </c>
      <c r="B623" t="s">
        <v>4209</v>
      </c>
      <c r="C623" t="s">
        <v>4784</v>
      </c>
      <c r="D623">
        <v>205255917</v>
      </c>
      <c r="E623" t="s">
        <v>3954</v>
      </c>
      <c r="F623" t="s">
        <v>4785</v>
      </c>
      <c r="G623">
        <v>78.900000000000006</v>
      </c>
      <c r="H623" t="s">
        <v>3954</v>
      </c>
      <c r="I623" t="s">
        <v>4212</v>
      </c>
      <c r="J623">
        <f t="shared" si="23"/>
        <v>408.88129032258064</v>
      </c>
      <c r="K623">
        <v>32260.733806451615</v>
      </c>
      <c r="L623" t="s">
        <v>4791</v>
      </c>
    </row>
    <row r="624" spans="1:12" ht="50.1" customHeight="1">
      <c r="A624">
        <v>615</v>
      </c>
      <c r="B624" t="s">
        <v>4209</v>
      </c>
      <c r="C624" t="s">
        <v>4784</v>
      </c>
      <c r="D624">
        <v>205255917</v>
      </c>
      <c r="E624" t="s">
        <v>3954</v>
      </c>
      <c r="F624" t="s">
        <v>4785</v>
      </c>
      <c r="G624">
        <v>36</v>
      </c>
      <c r="H624" t="s">
        <v>3954</v>
      </c>
      <c r="I624" t="s">
        <v>4212</v>
      </c>
      <c r="J624">
        <f t="shared" si="23"/>
        <v>408.88129032258053</v>
      </c>
      <c r="K624">
        <v>14719.7264516129</v>
      </c>
      <c r="L624" t="s">
        <v>4792</v>
      </c>
    </row>
    <row r="625" spans="1:12" ht="50.1" customHeight="1">
      <c r="A625">
        <v>616</v>
      </c>
      <c r="B625" t="s">
        <v>4209</v>
      </c>
      <c r="C625" t="s">
        <v>4784</v>
      </c>
      <c r="D625">
        <v>205255917</v>
      </c>
      <c r="E625" t="s">
        <v>3954</v>
      </c>
      <c r="F625" t="s">
        <v>4785</v>
      </c>
      <c r="G625">
        <v>32.983999999999995</v>
      </c>
      <c r="H625" t="s">
        <v>3954</v>
      </c>
      <c r="I625" t="s">
        <v>4212</v>
      </c>
      <c r="J625">
        <f t="shared" si="23"/>
        <v>408.88129032258064</v>
      </c>
      <c r="K625">
        <v>13486.540479999998</v>
      </c>
      <c r="L625" t="s">
        <v>4793</v>
      </c>
    </row>
    <row r="626" spans="1:12" ht="50.1" customHeight="1">
      <c r="A626">
        <v>617</v>
      </c>
      <c r="B626" t="s">
        <v>4209</v>
      </c>
      <c r="C626" t="s">
        <v>4784</v>
      </c>
      <c r="D626">
        <v>205255917</v>
      </c>
      <c r="E626" t="s">
        <v>3954</v>
      </c>
      <c r="F626" t="s">
        <v>4785</v>
      </c>
      <c r="G626">
        <v>60</v>
      </c>
      <c r="H626" t="s">
        <v>3954</v>
      </c>
      <c r="I626" t="s">
        <v>4212</v>
      </c>
      <c r="J626">
        <f t="shared" si="23"/>
        <v>408.8812903225807</v>
      </c>
      <c r="K626">
        <v>24532.877419354842</v>
      </c>
      <c r="L626" t="s">
        <v>4794</v>
      </c>
    </row>
    <row r="627" spans="1:12" ht="50.1" customHeight="1">
      <c r="A627">
        <v>618</v>
      </c>
      <c r="B627" t="s">
        <v>4209</v>
      </c>
      <c r="C627" t="s">
        <v>4784</v>
      </c>
      <c r="D627">
        <v>205255917</v>
      </c>
      <c r="E627" t="s">
        <v>3954</v>
      </c>
      <c r="F627" t="s">
        <v>4785</v>
      </c>
      <c r="G627">
        <v>75</v>
      </c>
      <c r="H627" t="s">
        <v>3954</v>
      </c>
      <c r="I627" t="s">
        <v>4212</v>
      </c>
      <c r="J627">
        <f t="shared" si="23"/>
        <v>408.88129032258058</v>
      </c>
      <c r="K627">
        <v>30666.096774193546</v>
      </c>
      <c r="L627" t="s">
        <v>4795</v>
      </c>
    </row>
    <row r="628" spans="1:12" ht="50.1" customHeight="1">
      <c r="A628">
        <v>619</v>
      </c>
      <c r="B628" t="s">
        <v>4209</v>
      </c>
      <c r="C628" t="s">
        <v>4784</v>
      </c>
      <c r="D628">
        <v>205255917</v>
      </c>
      <c r="E628" t="s">
        <v>3954</v>
      </c>
      <c r="F628" t="s">
        <v>4785</v>
      </c>
      <c r="G628">
        <v>60</v>
      </c>
      <c r="H628" t="s">
        <v>3954</v>
      </c>
      <c r="I628" t="s">
        <v>4212</v>
      </c>
      <c r="J628">
        <f t="shared" si="23"/>
        <v>408.8812903225807</v>
      </c>
      <c r="K628">
        <v>24532.877419354842</v>
      </c>
      <c r="L628" t="s">
        <v>4796</v>
      </c>
    </row>
    <row r="629" spans="1:12" ht="50.1" customHeight="1">
      <c r="A629">
        <v>620</v>
      </c>
      <c r="B629" t="s">
        <v>4209</v>
      </c>
      <c r="C629" t="s">
        <v>4784</v>
      </c>
      <c r="D629">
        <v>205255917</v>
      </c>
      <c r="E629" t="s">
        <v>3954</v>
      </c>
      <c r="F629" t="s">
        <v>4785</v>
      </c>
      <c r="G629">
        <v>16.239999999999998</v>
      </c>
      <c r="H629" t="s">
        <v>3954</v>
      </c>
      <c r="I629" t="s">
        <v>4212</v>
      </c>
      <c r="J629">
        <f t="shared" si="23"/>
        <v>408.88129032258058</v>
      </c>
      <c r="K629">
        <v>6640.2321548387081</v>
      </c>
      <c r="L629" t="s">
        <v>4797</v>
      </c>
    </row>
    <row r="630" spans="1:12" ht="50.1" customHeight="1">
      <c r="A630">
        <v>621</v>
      </c>
      <c r="B630" t="s">
        <v>4209</v>
      </c>
      <c r="C630" t="s">
        <v>4784</v>
      </c>
      <c r="D630">
        <v>205255917</v>
      </c>
      <c r="E630" t="s">
        <v>3954</v>
      </c>
      <c r="F630" t="s">
        <v>4785</v>
      </c>
      <c r="G630">
        <v>16.239999999999998</v>
      </c>
      <c r="H630" t="s">
        <v>3954</v>
      </c>
      <c r="I630" t="s">
        <v>4212</v>
      </c>
      <c r="J630">
        <f t="shared" si="23"/>
        <v>408.88129032258058</v>
      </c>
      <c r="K630">
        <v>6640.2321548387081</v>
      </c>
      <c r="L630" t="s">
        <v>4798</v>
      </c>
    </row>
    <row r="631" spans="1:12" ht="50.1" customHeight="1">
      <c r="A631">
        <v>622</v>
      </c>
      <c r="B631" t="s">
        <v>4209</v>
      </c>
      <c r="C631" t="s">
        <v>4784</v>
      </c>
      <c r="D631">
        <v>205255917</v>
      </c>
      <c r="E631" t="s">
        <v>3954</v>
      </c>
      <c r="F631" t="s">
        <v>4785</v>
      </c>
      <c r="G631">
        <v>16.239999999999998</v>
      </c>
      <c r="H631" t="s">
        <v>3954</v>
      </c>
      <c r="I631" t="s">
        <v>4212</v>
      </c>
      <c r="J631">
        <f t="shared" si="23"/>
        <v>408.88129032258058</v>
      </c>
      <c r="K631">
        <v>6640.2321548387081</v>
      </c>
      <c r="L631" t="s">
        <v>4799</v>
      </c>
    </row>
    <row r="632" spans="1:12" ht="50.1" customHeight="1">
      <c r="A632">
        <v>623</v>
      </c>
      <c r="B632" t="s">
        <v>4209</v>
      </c>
      <c r="C632" t="s">
        <v>4784</v>
      </c>
      <c r="D632">
        <v>205255917</v>
      </c>
      <c r="E632" t="s">
        <v>3954</v>
      </c>
      <c r="F632" t="s">
        <v>4785</v>
      </c>
      <c r="G632">
        <v>32.479999999999997</v>
      </c>
      <c r="H632" t="s">
        <v>3954</v>
      </c>
      <c r="I632" t="s">
        <v>4212</v>
      </c>
      <c r="J632">
        <f t="shared" si="23"/>
        <v>391.72498172572693</v>
      </c>
      <c r="K632">
        <v>12723.22740645161</v>
      </c>
      <c r="L632" t="s">
        <v>4800</v>
      </c>
    </row>
    <row r="633" spans="1:12" ht="50.1" customHeight="1">
      <c r="A633">
        <v>624</v>
      </c>
      <c r="B633" t="s">
        <v>4209</v>
      </c>
      <c r="C633" t="s">
        <v>4784</v>
      </c>
      <c r="D633">
        <v>205255917</v>
      </c>
      <c r="E633" t="s">
        <v>3954</v>
      </c>
      <c r="F633" t="s">
        <v>4785</v>
      </c>
      <c r="G633">
        <v>72</v>
      </c>
      <c r="H633" t="s">
        <v>3954</v>
      </c>
      <c r="I633" t="s">
        <v>4212</v>
      </c>
      <c r="J633">
        <f t="shared" si="23"/>
        <v>408.88129032258053</v>
      </c>
      <c r="K633">
        <v>29439.4529032258</v>
      </c>
      <c r="L633" t="s">
        <v>4801</v>
      </c>
    </row>
    <row r="634" spans="1:12" ht="50.1" customHeight="1">
      <c r="A634">
        <v>625</v>
      </c>
      <c r="B634" t="s">
        <v>4209</v>
      </c>
      <c r="C634" t="s">
        <v>4784</v>
      </c>
      <c r="D634">
        <v>205255917</v>
      </c>
      <c r="E634" t="s">
        <v>3954</v>
      </c>
      <c r="F634" t="s">
        <v>4785</v>
      </c>
      <c r="G634">
        <v>72</v>
      </c>
      <c r="H634" t="s">
        <v>3954</v>
      </c>
      <c r="I634" t="s">
        <v>4212</v>
      </c>
      <c r="J634">
        <f t="shared" si="23"/>
        <v>408.88129032258053</v>
      </c>
      <c r="K634">
        <v>29439.4529032258</v>
      </c>
      <c r="L634" t="s">
        <v>4801</v>
      </c>
    </row>
    <row r="635" spans="1:12" ht="50.1" customHeight="1">
      <c r="A635">
        <v>626</v>
      </c>
      <c r="B635" t="s">
        <v>4209</v>
      </c>
      <c r="C635" t="s">
        <v>4784</v>
      </c>
      <c r="D635">
        <v>205255917</v>
      </c>
      <c r="E635" t="s">
        <v>3954</v>
      </c>
      <c r="F635" t="s">
        <v>4785</v>
      </c>
      <c r="G635">
        <v>108</v>
      </c>
      <c r="H635" t="s">
        <v>3954</v>
      </c>
      <c r="I635" t="s">
        <v>4212</v>
      </c>
      <c r="J635">
        <f t="shared" si="23"/>
        <v>408.8812903225807</v>
      </c>
      <c r="K635">
        <v>44159.179354838714</v>
      </c>
      <c r="L635" t="s">
        <v>4802</v>
      </c>
    </row>
    <row r="636" spans="1:12" ht="50.1" customHeight="1">
      <c r="A636">
        <v>627</v>
      </c>
      <c r="B636" t="s">
        <v>4209</v>
      </c>
      <c r="C636" t="s">
        <v>4784</v>
      </c>
      <c r="D636">
        <v>205255917</v>
      </c>
      <c r="E636" t="s">
        <v>3954</v>
      </c>
      <c r="F636" t="s">
        <v>4785</v>
      </c>
      <c r="G636">
        <v>65.967999999999989</v>
      </c>
      <c r="H636" t="s">
        <v>3954</v>
      </c>
      <c r="I636" t="s">
        <v>4212</v>
      </c>
      <c r="J636">
        <f t="shared" si="23"/>
        <v>408.88129032258064</v>
      </c>
      <c r="K636">
        <v>26973.080959999996</v>
      </c>
      <c r="L636" t="s">
        <v>4803</v>
      </c>
    </row>
    <row r="637" spans="1:12" ht="50.1" customHeight="1">
      <c r="A637">
        <v>628</v>
      </c>
      <c r="B637" t="s">
        <v>4209</v>
      </c>
      <c r="C637" t="s">
        <v>4784</v>
      </c>
      <c r="D637">
        <v>205255917</v>
      </c>
      <c r="E637" t="s">
        <v>3954</v>
      </c>
      <c r="F637" t="s">
        <v>4785</v>
      </c>
      <c r="G637">
        <v>66.08</v>
      </c>
      <c r="H637" t="s">
        <v>3954</v>
      </c>
      <c r="I637" t="s">
        <v>4212</v>
      </c>
      <c r="J637">
        <f t="shared" si="23"/>
        <v>408.8812903225807</v>
      </c>
      <c r="K637">
        <v>27018.87566451613</v>
      </c>
      <c r="L637" t="s">
        <v>4804</v>
      </c>
    </row>
    <row r="638" spans="1:12" ht="50.1" customHeight="1">
      <c r="A638">
        <v>629</v>
      </c>
      <c r="B638" t="s">
        <v>4209</v>
      </c>
      <c r="C638" t="s">
        <v>4784</v>
      </c>
      <c r="D638">
        <v>205255917</v>
      </c>
      <c r="E638" t="s">
        <v>3954</v>
      </c>
      <c r="F638" t="s">
        <v>4785</v>
      </c>
      <c r="G638">
        <v>66.08</v>
      </c>
      <c r="H638" t="s">
        <v>3954</v>
      </c>
      <c r="I638" t="s">
        <v>4212</v>
      </c>
      <c r="J638">
        <f t="shared" si="23"/>
        <v>408.8812903225807</v>
      </c>
      <c r="K638">
        <v>27018.87566451613</v>
      </c>
      <c r="L638" t="s">
        <v>4805</v>
      </c>
    </row>
    <row r="639" spans="1:12" ht="50.1" customHeight="1">
      <c r="A639">
        <v>630</v>
      </c>
      <c r="B639" t="s">
        <v>4209</v>
      </c>
      <c r="C639" t="s">
        <v>4784</v>
      </c>
      <c r="D639">
        <v>205255917</v>
      </c>
      <c r="E639" t="s">
        <v>3954</v>
      </c>
      <c r="F639" t="s">
        <v>4785</v>
      </c>
      <c r="G639">
        <v>18</v>
      </c>
      <c r="H639" t="s">
        <v>3954</v>
      </c>
      <c r="I639" t="s">
        <v>4212</v>
      </c>
      <c r="J639">
        <f t="shared" si="23"/>
        <v>316.07096774193553</v>
      </c>
      <c r="K639">
        <v>5689.2774193548394</v>
      </c>
      <c r="L639" t="s">
        <v>4806</v>
      </c>
    </row>
    <row r="640" spans="1:12" ht="50.1" customHeight="1">
      <c r="A640">
        <v>631</v>
      </c>
      <c r="B640" t="s">
        <v>4209</v>
      </c>
      <c r="C640" t="s">
        <v>4784</v>
      </c>
      <c r="D640">
        <v>205255917</v>
      </c>
      <c r="E640" t="s">
        <v>3954</v>
      </c>
      <c r="F640" t="s">
        <v>4785</v>
      </c>
      <c r="G640">
        <v>18</v>
      </c>
      <c r="H640" t="s">
        <v>3954</v>
      </c>
      <c r="I640" t="s">
        <v>4212</v>
      </c>
      <c r="J640">
        <f t="shared" si="23"/>
        <v>316.07096774193553</v>
      </c>
      <c r="K640">
        <v>5689.2774193548394</v>
      </c>
      <c r="L640" t="s">
        <v>4807</v>
      </c>
    </row>
    <row r="641" spans="1:12" ht="50.1" customHeight="1">
      <c r="A641">
        <v>632</v>
      </c>
      <c r="B641" t="s">
        <v>4209</v>
      </c>
      <c r="C641" t="s">
        <v>4784</v>
      </c>
      <c r="D641">
        <v>205255917</v>
      </c>
      <c r="E641" t="s">
        <v>3954</v>
      </c>
      <c r="F641" t="s">
        <v>4785</v>
      </c>
      <c r="G641">
        <v>18</v>
      </c>
      <c r="H641" t="s">
        <v>3954</v>
      </c>
      <c r="I641" t="s">
        <v>4212</v>
      </c>
      <c r="J641">
        <f t="shared" si="23"/>
        <v>316.07096774193553</v>
      </c>
      <c r="K641">
        <v>5689.2774193548394</v>
      </c>
      <c r="L641" t="s">
        <v>4808</v>
      </c>
    </row>
    <row r="642" spans="1:12" ht="50.1" customHeight="1">
      <c r="A642">
        <v>633</v>
      </c>
      <c r="B642" t="s">
        <v>4209</v>
      </c>
      <c r="C642" t="s">
        <v>4784</v>
      </c>
      <c r="D642">
        <v>205255917</v>
      </c>
      <c r="E642" t="s">
        <v>3954</v>
      </c>
      <c r="F642" t="s">
        <v>4785</v>
      </c>
      <c r="G642">
        <v>18</v>
      </c>
      <c r="H642" t="s">
        <v>3954</v>
      </c>
      <c r="I642" t="s">
        <v>4212</v>
      </c>
      <c r="J642">
        <f t="shared" si="23"/>
        <v>316.07096774193553</v>
      </c>
      <c r="K642">
        <v>5689.2774193548394</v>
      </c>
      <c r="L642" t="s">
        <v>4809</v>
      </c>
    </row>
    <row r="643" spans="1:12" ht="50.1" customHeight="1">
      <c r="A643">
        <v>634</v>
      </c>
      <c r="B643" t="s">
        <v>4209</v>
      </c>
      <c r="C643" t="s">
        <v>4784</v>
      </c>
      <c r="D643">
        <v>205255917</v>
      </c>
      <c r="E643" t="s">
        <v>3954</v>
      </c>
      <c r="F643" t="s">
        <v>4785</v>
      </c>
      <c r="G643">
        <v>36</v>
      </c>
      <c r="H643" t="s">
        <v>3954</v>
      </c>
      <c r="I643" t="s">
        <v>4212</v>
      </c>
      <c r="J643">
        <f t="shared" si="23"/>
        <v>316.07096774193553</v>
      </c>
      <c r="K643">
        <v>11378.554838709679</v>
      </c>
      <c r="L643" t="s">
        <v>4810</v>
      </c>
    </row>
    <row r="644" spans="1:12" ht="50.1" customHeight="1">
      <c r="A644">
        <v>635</v>
      </c>
      <c r="B644" t="s">
        <v>4209</v>
      </c>
      <c r="C644" t="s">
        <v>4784</v>
      </c>
      <c r="D644">
        <v>205255917</v>
      </c>
      <c r="E644" t="s">
        <v>3954</v>
      </c>
      <c r="F644" t="s">
        <v>4785</v>
      </c>
      <c r="G644">
        <v>36</v>
      </c>
      <c r="H644" t="s">
        <v>3954</v>
      </c>
      <c r="I644" t="s">
        <v>4212</v>
      </c>
      <c r="J644">
        <f t="shared" si="23"/>
        <v>316.07096774193553</v>
      </c>
      <c r="K644">
        <v>11378.554838709679</v>
      </c>
      <c r="L644" t="s">
        <v>4811</v>
      </c>
    </row>
    <row r="645" spans="1:12" ht="50.1" customHeight="1">
      <c r="A645">
        <v>636</v>
      </c>
      <c r="B645" t="s">
        <v>4209</v>
      </c>
      <c r="C645" t="s">
        <v>4784</v>
      </c>
      <c r="D645">
        <v>205255917</v>
      </c>
      <c r="E645" t="s">
        <v>3954</v>
      </c>
      <c r="F645" t="s">
        <v>4812</v>
      </c>
      <c r="G645">
        <v>18</v>
      </c>
      <c r="H645" t="s">
        <v>3954</v>
      </c>
      <c r="I645" t="s">
        <v>4212</v>
      </c>
      <c r="J645">
        <f t="shared" si="23"/>
        <v>277.40000000000003</v>
      </c>
      <c r="K645">
        <v>4993.2000000000007</v>
      </c>
      <c r="L645" t="s">
        <v>4813</v>
      </c>
    </row>
    <row r="646" spans="1:12" ht="50.1" customHeight="1">
      <c r="A646">
        <v>637</v>
      </c>
      <c r="B646" t="s">
        <v>4209</v>
      </c>
      <c r="C646" t="s">
        <v>4784</v>
      </c>
      <c r="D646">
        <v>205255917</v>
      </c>
      <c r="E646" t="s">
        <v>3954</v>
      </c>
      <c r="F646" t="s">
        <v>4812</v>
      </c>
      <c r="G646">
        <v>18</v>
      </c>
      <c r="H646" t="s">
        <v>3954</v>
      </c>
      <c r="I646" t="s">
        <v>4212</v>
      </c>
      <c r="J646">
        <f t="shared" si="23"/>
        <v>277.40000000000003</v>
      </c>
      <c r="K646">
        <v>4993.2000000000007</v>
      </c>
      <c r="L646" t="s">
        <v>4814</v>
      </c>
    </row>
    <row r="647" spans="1:12" ht="50.1" customHeight="1">
      <c r="A647">
        <v>638</v>
      </c>
      <c r="B647" t="s">
        <v>4209</v>
      </c>
      <c r="C647" t="s">
        <v>4784</v>
      </c>
      <c r="D647">
        <v>205255917</v>
      </c>
      <c r="E647" t="s">
        <v>3954</v>
      </c>
      <c r="F647" t="s">
        <v>4812</v>
      </c>
      <c r="G647">
        <v>18</v>
      </c>
      <c r="H647" t="s">
        <v>3954</v>
      </c>
      <c r="I647" t="s">
        <v>4212</v>
      </c>
      <c r="J647">
        <f t="shared" si="23"/>
        <v>277.40000000000003</v>
      </c>
      <c r="K647">
        <v>4993.2000000000007</v>
      </c>
      <c r="L647" t="s">
        <v>4815</v>
      </c>
    </row>
    <row r="648" spans="1:12" ht="50.1" customHeight="1">
      <c r="A648">
        <v>639</v>
      </c>
      <c r="B648" t="s">
        <v>4209</v>
      </c>
      <c r="C648" t="s">
        <v>4784</v>
      </c>
      <c r="D648">
        <v>205255917</v>
      </c>
      <c r="E648" t="s">
        <v>3954</v>
      </c>
      <c r="F648" t="s">
        <v>4812</v>
      </c>
      <c r="G648">
        <v>36</v>
      </c>
      <c r="H648" t="s">
        <v>3954</v>
      </c>
      <c r="I648" t="s">
        <v>4212</v>
      </c>
      <c r="J648">
        <f t="shared" si="23"/>
        <v>277.40000000000003</v>
      </c>
      <c r="K648">
        <v>9986.4000000000015</v>
      </c>
      <c r="L648" t="s">
        <v>4816</v>
      </c>
    </row>
    <row r="649" spans="1:12" ht="50.1" customHeight="1">
      <c r="A649">
        <v>640</v>
      </c>
      <c r="B649" t="s">
        <v>4209</v>
      </c>
      <c r="C649" t="s">
        <v>4784</v>
      </c>
      <c r="D649">
        <v>205255917</v>
      </c>
      <c r="E649" t="s">
        <v>3954</v>
      </c>
      <c r="F649" t="s">
        <v>4812</v>
      </c>
      <c r="G649">
        <v>36</v>
      </c>
      <c r="H649" t="s">
        <v>3954</v>
      </c>
      <c r="I649" t="s">
        <v>4212</v>
      </c>
      <c r="J649">
        <f t="shared" si="23"/>
        <v>277.40000000000003</v>
      </c>
      <c r="K649">
        <v>9986.4000000000015</v>
      </c>
      <c r="L649" t="s">
        <v>4817</v>
      </c>
    </row>
    <row r="650" spans="1:12" ht="50.1" customHeight="1">
      <c r="A650">
        <v>641</v>
      </c>
      <c r="B650" t="s">
        <v>4209</v>
      </c>
      <c r="C650" t="s">
        <v>4784</v>
      </c>
      <c r="D650">
        <v>205255917</v>
      </c>
      <c r="E650" t="s">
        <v>3954</v>
      </c>
      <c r="F650" t="s">
        <v>4812</v>
      </c>
      <c r="G650">
        <v>36</v>
      </c>
      <c r="H650" t="s">
        <v>3954</v>
      </c>
      <c r="I650" t="s">
        <v>4212</v>
      </c>
      <c r="J650">
        <f t="shared" si="23"/>
        <v>277.40000000000003</v>
      </c>
      <c r="K650">
        <v>9986.4000000000015</v>
      </c>
      <c r="L650" t="s">
        <v>4818</v>
      </c>
    </row>
    <row r="651" spans="1:12" ht="50.1" customHeight="1">
      <c r="A651">
        <v>642</v>
      </c>
      <c r="B651" t="s">
        <v>4209</v>
      </c>
      <c r="C651" t="s">
        <v>4784</v>
      </c>
      <c r="D651">
        <v>205255917</v>
      </c>
      <c r="E651" t="s">
        <v>3954</v>
      </c>
      <c r="F651" t="s">
        <v>4812</v>
      </c>
      <c r="G651">
        <v>18</v>
      </c>
      <c r="H651" t="s">
        <v>3954</v>
      </c>
      <c r="I651" t="s">
        <v>4212</v>
      </c>
      <c r="J651">
        <f t="shared" si="23"/>
        <v>277.40000000000003</v>
      </c>
      <c r="K651">
        <v>4993.2000000000007</v>
      </c>
      <c r="L651" t="s">
        <v>4819</v>
      </c>
    </row>
    <row r="652" spans="1:12" ht="50.1" customHeight="1">
      <c r="A652">
        <v>643</v>
      </c>
      <c r="B652" t="s">
        <v>4209</v>
      </c>
      <c r="C652" t="s">
        <v>4784</v>
      </c>
      <c r="D652">
        <v>205255917</v>
      </c>
      <c r="E652" t="s">
        <v>3954</v>
      </c>
      <c r="F652" t="s">
        <v>4812</v>
      </c>
      <c r="G652">
        <v>18</v>
      </c>
      <c r="H652" t="s">
        <v>3954</v>
      </c>
      <c r="I652" t="s">
        <v>4212</v>
      </c>
      <c r="J652">
        <f t="shared" si="23"/>
        <v>277.40000000000003</v>
      </c>
      <c r="K652">
        <v>4993.2000000000007</v>
      </c>
      <c r="L652" t="s">
        <v>4820</v>
      </c>
    </row>
    <row r="653" spans="1:12" ht="50.1" customHeight="1">
      <c r="A653">
        <v>644</v>
      </c>
      <c r="B653" t="s">
        <v>4209</v>
      </c>
      <c r="C653" t="s">
        <v>4784</v>
      </c>
      <c r="D653">
        <v>205255917</v>
      </c>
      <c r="E653" t="s">
        <v>3954</v>
      </c>
      <c r="F653" t="s">
        <v>4812</v>
      </c>
      <c r="G653">
        <v>18</v>
      </c>
      <c r="H653" t="s">
        <v>3954</v>
      </c>
      <c r="I653" t="s">
        <v>4212</v>
      </c>
      <c r="J653">
        <f t="shared" si="23"/>
        <v>277.40000000000003</v>
      </c>
      <c r="K653">
        <v>4993.2000000000007</v>
      </c>
      <c r="L653" t="s">
        <v>4821</v>
      </c>
    </row>
    <row r="654" spans="1:12" ht="50.1" customHeight="1">
      <c r="A654">
        <v>645</v>
      </c>
      <c r="B654" t="s">
        <v>4209</v>
      </c>
      <c r="C654" t="s">
        <v>4784</v>
      </c>
      <c r="D654">
        <v>205255917</v>
      </c>
      <c r="E654" t="s">
        <v>3954</v>
      </c>
      <c r="F654" t="s">
        <v>4812</v>
      </c>
      <c r="G654">
        <v>18</v>
      </c>
      <c r="H654" t="s">
        <v>3954</v>
      </c>
      <c r="I654" t="s">
        <v>4212</v>
      </c>
      <c r="J654">
        <f t="shared" si="23"/>
        <v>277.40000000000003</v>
      </c>
      <c r="K654">
        <v>4993.2000000000007</v>
      </c>
      <c r="L654" t="s">
        <v>4822</v>
      </c>
    </row>
    <row r="655" spans="1:12" ht="50.1" customHeight="1">
      <c r="A655">
        <v>646</v>
      </c>
      <c r="B655" t="s">
        <v>4209</v>
      </c>
      <c r="C655" t="s">
        <v>4784</v>
      </c>
      <c r="D655">
        <v>205255917</v>
      </c>
      <c r="E655" t="s">
        <v>3954</v>
      </c>
      <c r="F655" t="s">
        <v>4812</v>
      </c>
      <c r="G655">
        <v>18</v>
      </c>
      <c r="H655" t="s">
        <v>3954</v>
      </c>
      <c r="I655" t="s">
        <v>4212</v>
      </c>
      <c r="J655">
        <f t="shared" si="23"/>
        <v>277.40000000000003</v>
      </c>
      <c r="K655">
        <v>4993.2000000000007</v>
      </c>
      <c r="L655" t="s">
        <v>4823</v>
      </c>
    </row>
    <row r="656" spans="1:12" ht="50.1" customHeight="1">
      <c r="A656">
        <v>647</v>
      </c>
      <c r="B656" t="s">
        <v>4209</v>
      </c>
      <c r="C656" t="s">
        <v>4784</v>
      </c>
      <c r="D656">
        <v>205255917</v>
      </c>
      <c r="E656" t="s">
        <v>3954</v>
      </c>
      <c r="F656" t="s">
        <v>4812</v>
      </c>
      <c r="G656">
        <v>18</v>
      </c>
      <c r="H656" t="s">
        <v>3954</v>
      </c>
      <c r="I656" t="s">
        <v>4212</v>
      </c>
      <c r="J656">
        <f t="shared" si="23"/>
        <v>277.40000000000003</v>
      </c>
      <c r="K656">
        <v>4993.2000000000007</v>
      </c>
      <c r="L656" t="s">
        <v>4824</v>
      </c>
    </row>
    <row r="657" spans="1:12" ht="50.1" customHeight="1">
      <c r="A657">
        <v>648</v>
      </c>
      <c r="B657" t="s">
        <v>4209</v>
      </c>
      <c r="C657" t="s">
        <v>4784</v>
      </c>
      <c r="D657">
        <v>205255917</v>
      </c>
      <c r="E657" t="s">
        <v>3954</v>
      </c>
      <c r="F657" t="s">
        <v>4812</v>
      </c>
      <c r="G657">
        <v>18</v>
      </c>
      <c r="H657" t="s">
        <v>3954</v>
      </c>
      <c r="I657" t="s">
        <v>4212</v>
      </c>
      <c r="J657">
        <f t="shared" si="23"/>
        <v>277.40000000000003</v>
      </c>
      <c r="K657">
        <v>4993.2000000000007</v>
      </c>
      <c r="L657" t="s">
        <v>4825</v>
      </c>
    </row>
    <row r="658" spans="1:12" ht="50.1" customHeight="1">
      <c r="A658">
        <v>649</v>
      </c>
      <c r="B658" t="s">
        <v>4209</v>
      </c>
      <c r="C658" t="s">
        <v>4784</v>
      </c>
      <c r="D658">
        <v>205255917</v>
      </c>
      <c r="E658" t="s">
        <v>3954</v>
      </c>
      <c r="F658" t="s">
        <v>4812</v>
      </c>
      <c r="G658">
        <v>18</v>
      </c>
      <c r="H658" t="s">
        <v>3954</v>
      </c>
      <c r="I658" t="s">
        <v>4212</v>
      </c>
      <c r="J658">
        <f t="shared" si="23"/>
        <v>277.40000000000003</v>
      </c>
      <c r="K658">
        <v>4993.2000000000007</v>
      </c>
      <c r="L658" t="s">
        <v>4806</v>
      </c>
    </row>
    <row r="659" spans="1:12" ht="50.1" customHeight="1">
      <c r="A659">
        <v>650</v>
      </c>
      <c r="B659" t="s">
        <v>4209</v>
      </c>
      <c r="C659" t="s">
        <v>4784</v>
      </c>
      <c r="D659">
        <v>205255917</v>
      </c>
      <c r="E659" t="s">
        <v>3954</v>
      </c>
      <c r="F659" t="s">
        <v>4812</v>
      </c>
      <c r="G659">
        <v>18</v>
      </c>
      <c r="H659" t="s">
        <v>3954</v>
      </c>
      <c r="I659" t="s">
        <v>4212</v>
      </c>
      <c r="J659">
        <f t="shared" si="23"/>
        <v>277.40000000000003</v>
      </c>
      <c r="K659">
        <v>4993.2000000000007</v>
      </c>
      <c r="L659" t="s">
        <v>4826</v>
      </c>
    </row>
    <row r="660" spans="1:12" ht="50.1" customHeight="1">
      <c r="A660">
        <v>651</v>
      </c>
      <c r="B660" t="s">
        <v>4209</v>
      </c>
      <c r="C660" t="s">
        <v>4784</v>
      </c>
      <c r="D660">
        <v>205255917</v>
      </c>
      <c r="E660" t="s">
        <v>3954</v>
      </c>
      <c r="F660" t="s">
        <v>4812</v>
      </c>
      <c r="G660">
        <v>18</v>
      </c>
      <c r="H660" t="s">
        <v>3954</v>
      </c>
      <c r="I660" t="s">
        <v>4212</v>
      </c>
      <c r="J660">
        <f t="shared" si="23"/>
        <v>277.40000000000003</v>
      </c>
      <c r="K660">
        <v>4993.2000000000007</v>
      </c>
      <c r="L660" t="s">
        <v>4827</v>
      </c>
    </row>
    <row r="661" spans="1:12" ht="50.1" customHeight="1">
      <c r="A661">
        <v>652</v>
      </c>
      <c r="B661" t="s">
        <v>4209</v>
      </c>
      <c r="C661" t="s">
        <v>4784</v>
      </c>
      <c r="D661">
        <v>205255917</v>
      </c>
      <c r="E661" t="s">
        <v>3954</v>
      </c>
      <c r="F661" t="s">
        <v>4812</v>
      </c>
      <c r="G661">
        <v>18</v>
      </c>
      <c r="H661" t="s">
        <v>3954</v>
      </c>
      <c r="I661" t="s">
        <v>4212</v>
      </c>
      <c r="J661">
        <f t="shared" si="23"/>
        <v>277.40000000000003</v>
      </c>
      <c r="K661">
        <v>4993.2000000000007</v>
      </c>
      <c r="L661" t="s">
        <v>4828</v>
      </c>
    </row>
    <row r="662" spans="1:12" ht="50.1" customHeight="1">
      <c r="A662">
        <v>653</v>
      </c>
      <c r="B662" t="s">
        <v>4209</v>
      </c>
      <c r="C662" t="s">
        <v>4784</v>
      </c>
      <c r="D662">
        <v>205255917</v>
      </c>
      <c r="E662" t="s">
        <v>3954</v>
      </c>
      <c r="F662" t="s">
        <v>4812</v>
      </c>
      <c r="G662">
        <v>18</v>
      </c>
      <c r="H662" t="s">
        <v>3954</v>
      </c>
      <c r="I662" t="s">
        <v>4212</v>
      </c>
      <c r="J662">
        <f t="shared" si="23"/>
        <v>277.40000000000003</v>
      </c>
      <c r="K662">
        <v>4993.2000000000007</v>
      </c>
      <c r="L662" t="s">
        <v>4829</v>
      </c>
    </row>
    <row r="663" spans="1:12" ht="50.1" customHeight="1">
      <c r="A663">
        <v>654</v>
      </c>
      <c r="B663" t="s">
        <v>4209</v>
      </c>
      <c r="C663" t="s">
        <v>4784</v>
      </c>
      <c r="D663">
        <v>205255917</v>
      </c>
      <c r="E663" t="s">
        <v>3954</v>
      </c>
      <c r="F663" t="s">
        <v>4812</v>
      </c>
      <c r="G663">
        <v>18</v>
      </c>
      <c r="H663" t="s">
        <v>3954</v>
      </c>
      <c r="I663" t="s">
        <v>4212</v>
      </c>
      <c r="J663">
        <f t="shared" si="23"/>
        <v>277.40000000000003</v>
      </c>
      <c r="K663">
        <v>4993.2000000000007</v>
      </c>
      <c r="L663" t="s">
        <v>4830</v>
      </c>
    </row>
    <row r="664" spans="1:12" ht="50.1" customHeight="1">
      <c r="A664">
        <v>655</v>
      </c>
      <c r="B664" t="s">
        <v>4209</v>
      </c>
      <c r="C664" t="s">
        <v>4784</v>
      </c>
      <c r="D664">
        <v>205255917</v>
      </c>
      <c r="E664" t="s">
        <v>3954</v>
      </c>
      <c r="F664" t="s">
        <v>4812</v>
      </c>
      <c r="G664">
        <v>18</v>
      </c>
      <c r="H664" t="s">
        <v>3954</v>
      </c>
      <c r="I664" t="s">
        <v>4212</v>
      </c>
      <c r="J664">
        <f t="shared" si="23"/>
        <v>277.40000000000003</v>
      </c>
      <c r="K664">
        <v>4993.2000000000007</v>
      </c>
      <c r="L664" t="s">
        <v>4831</v>
      </c>
    </row>
    <row r="665" spans="1:12" ht="50.1" customHeight="1">
      <c r="A665">
        <v>656</v>
      </c>
      <c r="B665" t="s">
        <v>4209</v>
      </c>
      <c r="C665" t="s">
        <v>4784</v>
      </c>
      <c r="D665">
        <v>205255917</v>
      </c>
      <c r="E665" t="s">
        <v>3954</v>
      </c>
      <c r="F665" t="s">
        <v>4812</v>
      </c>
      <c r="G665">
        <v>18</v>
      </c>
      <c r="H665" t="s">
        <v>3954</v>
      </c>
      <c r="I665" t="s">
        <v>4212</v>
      </c>
      <c r="J665">
        <f t="shared" si="23"/>
        <v>277.40000000000003</v>
      </c>
      <c r="K665">
        <v>4993.2000000000007</v>
      </c>
      <c r="L665" t="s">
        <v>4832</v>
      </c>
    </row>
    <row r="666" spans="1:12" ht="50.1" customHeight="1">
      <c r="A666">
        <v>657</v>
      </c>
      <c r="B666" t="s">
        <v>4209</v>
      </c>
      <c r="C666" t="s">
        <v>4784</v>
      </c>
      <c r="D666">
        <v>205255917</v>
      </c>
      <c r="E666" t="s">
        <v>3954</v>
      </c>
      <c r="F666" t="s">
        <v>4812</v>
      </c>
      <c r="G666">
        <v>18</v>
      </c>
      <c r="H666" t="s">
        <v>3954</v>
      </c>
      <c r="I666" t="s">
        <v>4212</v>
      </c>
      <c r="J666">
        <f t="shared" si="23"/>
        <v>277.40000000000003</v>
      </c>
      <c r="K666">
        <v>4993.2000000000007</v>
      </c>
      <c r="L666" t="s">
        <v>4833</v>
      </c>
    </row>
    <row r="667" spans="1:12" ht="50.1" customHeight="1">
      <c r="A667">
        <v>658</v>
      </c>
      <c r="B667" t="s">
        <v>4209</v>
      </c>
      <c r="C667" t="s">
        <v>4784</v>
      </c>
      <c r="D667">
        <v>205255917</v>
      </c>
      <c r="E667" t="s">
        <v>3954</v>
      </c>
      <c r="F667" t="s">
        <v>4812</v>
      </c>
      <c r="G667">
        <v>18</v>
      </c>
      <c r="H667" t="s">
        <v>3954</v>
      </c>
      <c r="I667" t="s">
        <v>4212</v>
      </c>
      <c r="J667">
        <f t="shared" si="23"/>
        <v>277.40000000000003</v>
      </c>
      <c r="K667">
        <v>4993.2000000000007</v>
      </c>
      <c r="L667" t="s">
        <v>4834</v>
      </c>
    </row>
    <row r="668" spans="1:12" ht="50.1" customHeight="1">
      <c r="A668">
        <v>659</v>
      </c>
      <c r="B668" t="s">
        <v>4209</v>
      </c>
      <c r="C668" t="s">
        <v>4784</v>
      </c>
      <c r="D668">
        <v>205255917</v>
      </c>
      <c r="E668" t="s">
        <v>3954</v>
      </c>
      <c r="F668" t="s">
        <v>4812</v>
      </c>
      <c r="G668">
        <v>18</v>
      </c>
      <c r="H668" t="s">
        <v>3954</v>
      </c>
      <c r="I668" t="s">
        <v>4212</v>
      </c>
      <c r="J668">
        <f t="shared" si="23"/>
        <v>277.40000000000003</v>
      </c>
      <c r="K668">
        <v>4993.2000000000007</v>
      </c>
      <c r="L668" t="s">
        <v>4835</v>
      </c>
    </row>
    <row r="669" spans="1:12" ht="50.1" customHeight="1">
      <c r="A669">
        <v>660</v>
      </c>
      <c r="B669" t="s">
        <v>4209</v>
      </c>
      <c r="C669" t="s">
        <v>4784</v>
      </c>
      <c r="D669">
        <v>205255917</v>
      </c>
      <c r="E669" t="s">
        <v>3954</v>
      </c>
      <c r="F669" t="s">
        <v>4812</v>
      </c>
      <c r="G669">
        <v>18</v>
      </c>
      <c r="H669" t="s">
        <v>3954</v>
      </c>
      <c r="I669" t="s">
        <v>4212</v>
      </c>
      <c r="J669">
        <f t="shared" si="23"/>
        <v>277.40000000000003</v>
      </c>
      <c r="K669">
        <v>4993.2000000000007</v>
      </c>
      <c r="L669" t="s">
        <v>4836</v>
      </c>
    </row>
    <row r="670" spans="1:12" ht="50.1" customHeight="1">
      <c r="A670">
        <v>661</v>
      </c>
      <c r="B670" t="s">
        <v>4209</v>
      </c>
      <c r="C670" t="s">
        <v>4784</v>
      </c>
      <c r="D670">
        <v>205255917</v>
      </c>
      <c r="E670" t="s">
        <v>3954</v>
      </c>
      <c r="F670" t="s">
        <v>4812</v>
      </c>
      <c r="G670">
        <v>18</v>
      </c>
      <c r="H670" t="s">
        <v>3954</v>
      </c>
      <c r="I670" t="s">
        <v>4212</v>
      </c>
      <c r="J670">
        <f t="shared" si="23"/>
        <v>277.40000000000003</v>
      </c>
      <c r="K670">
        <v>4993.2000000000007</v>
      </c>
      <c r="L670" t="s">
        <v>4837</v>
      </c>
    </row>
    <row r="671" spans="1:12" ht="50.1" customHeight="1">
      <c r="A671">
        <v>662</v>
      </c>
      <c r="B671" t="s">
        <v>4209</v>
      </c>
      <c r="C671" t="s">
        <v>4784</v>
      </c>
      <c r="D671">
        <v>205255917</v>
      </c>
      <c r="E671" t="s">
        <v>3954</v>
      </c>
      <c r="F671" t="s">
        <v>4812</v>
      </c>
      <c r="G671">
        <v>36</v>
      </c>
      <c r="H671" t="s">
        <v>3954</v>
      </c>
      <c r="I671" t="s">
        <v>4212</v>
      </c>
      <c r="J671">
        <f t="shared" si="23"/>
        <v>277.40000000000003</v>
      </c>
      <c r="K671">
        <v>9986.4000000000015</v>
      </c>
      <c r="L671" t="s">
        <v>4838</v>
      </c>
    </row>
    <row r="672" spans="1:12" ht="50.1" customHeight="1">
      <c r="A672">
        <v>663</v>
      </c>
      <c r="B672" t="s">
        <v>4209</v>
      </c>
      <c r="C672" t="s">
        <v>4784</v>
      </c>
      <c r="D672">
        <v>205255917</v>
      </c>
      <c r="E672" t="s">
        <v>3954</v>
      </c>
      <c r="F672" t="s">
        <v>4812</v>
      </c>
      <c r="G672">
        <v>24</v>
      </c>
      <c r="H672" t="s">
        <v>3954</v>
      </c>
      <c r="I672" t="s">
        <v>4212</v>
      </c>
      <c r="J672">
        <f t="shared" si="23"/>
        <v>277.39999999999992</v>
      </c>
      <c r="K672">
        <v>6657.5999999999985</v>
      </c>
      <c r="L672" t="s">
        <v>4839</v>
      </c>
    </row>
    <row r="673" spans="1:12" ht="50.1" customHeight="1">
      <c r="A673">
        <v>664</v>
      </c>
      <c r="B673" t="s">
        <v>4209</v>
      </c>
      <c r="C673" t="s">
        <v>4784</v>
      </c>
      <c r="D673">
        <v>205255917</v>
      </c>
      <c r="E673" t="s">
        <v>3954</v>
      </c>
      <c r="F673" t="s">
        <v>4812</v>
      </c>
      <c r="G673">
        <v>18</v>
      </c>
      <c r="H673" t="s">
        <v>3954</v>
      </c>
      <c r="I673" t="s">
        <v>4212</v>
      </c>
      <c r="J673">
        <f t="shared" si="23"/>
        <v>277.40000000000003</v>
      </c>
      <c r="K673">
        <v>4993.2000000000007</v>
      </c>
      <c r="L673" t="s">
        <v>4840</v>
      </c>
    </row>
    <row r="674" spans="1:12" ht="50.1" customHeight="1">
      <c r="A674">
        <v>665</v>
      </c>
      <c r="B674" t="s">
        <v>4209</v>
      </c>
      <c r="C674" t="s">
        <v>4784</v>
      </c>
      <c r="D674">
        <v>205255917</v>
      </c>
      <c r="E674" t="s">
        <v>3954</v>
      </c>
      <c r="F674" t="s">
        <v>4812</v>
      </c>
      <c r="G674">
        <v>18</v>
      </c>
      <c r="H674" t="s">
        <v>3954</v>
      </c>
      <c r="I674" t="s">
        <v>4212</v>
      </c>
      <c r="J674">
        <f t="shared" si="23"/>
        <v>277.40000000000003</v>
      </c>
      <c r="K674">
        <v>4993.2000000000007</v>
      </c>
      <c r="L674" t="s">
        <v>4841</v>
      </c>
    </row>
    <row r="675" spans="1:12" ht="50.1" customHeight="1">
      <c r="A675">
        <v>666</v>
      </c>
      <c r="B675" t="s">
        <v>4209</v>
      </c>
      <c r="C675" t="s">
        <v>4784</v>
      </c>
      <c r="D675">
        <v>205255917</v>
      </c>
      <c r="E675" t="s">
        <v>3954</v>
      </c>
      <c r="F675" t="s">
        <v>4812</v>
      </c>
      <c r="G675">
        <v>36</v>
      </c>
      <c r="H675" t="s">
        <v>3954</v>
      </c>
      <c r="I675" t="s">
        <v>4212</v>
      </c>
      <c r="J675">
        <f t="shared" si="23"/>
        <v>277.40000000000003</v>
      </c>
      <c r="K675">
        <v>9986.4000000000015</v>
      </c>
      <c r="L675" t="s">
        <v>4842</v>
      </c>
    </row>
    <row r="676" spans="1:12" ht="50.1" customHeight="1">
      <c r="A676">
        <v>667</v>
      </c>
      <c r="B676" t="s">
        <v>4209</v>
      </c>
      <c r="C676" t="s">
        <v>4784</v>
      </c>
      <c r="D676">
        <v>205255917</v>
      </c>
      <c r="E676" t="s">
        <v>3954</v>
      </c>
      <c r="F676" t="s">
        <v>4812</v>
      </c>
      <c r="G676">
        <v>18</v>
      </c>
      <c r="H676" t="s">
        <v>3954</v>
      </c>
      <c r="I676" t="s">
        <v>4212</v>
      </c>
      <c r="J676">
        <f t="shared" si="23"/>
        <v>277.40000000000003</v>
      </c>
      <c r="K676">
        <v>4993.2000000000007</v>
      </c>
      <c r="L676" t="s">
        <v>4843</v>
      </c>
    </row>
    <row r="677" spans="1:12" ht="50.1" customHeight="1">
      <c r="A677">
        <v>668</v>
      </c>
      <c r="B677" t="s">
        <v>4209</v>
      </c>
      <c r="C677" t="s">
        <v>4784</v>
      </c>
      <c r="D677">
        <v>205255917</v>
      </c>
      <c r="E677" t="s">
        <v>3954</v>
      </c>
      <c r="F677" t="s">
        <v>4812</v>
      </c>
      <c r="G677">
        <v>18</v>
      </c>
      <c r="H677" t="s">
        <v>3954</v>
      </c>
      <c r="I677" t="s">
        <v>4212</v>
      </c>
      <c r="J677">
        <f t="shared" si="23"/>
        <v>277.40000000000003</v>
      </c>
      <c r="K677">
        <v>4993.2000000000007</v>
      </c>
      <c r="L677" t="s">
        <v>4844</v>
      </c>
    </row>
    <row r="678" spans="1:12" ht="50.1" customHeight="1">
      <c r="A678">
        <v>669</v>
      </c>
      <c r="B678" t="s">
        <v>4209</v>
      </c>
      <c r="C678" t="s">
        <v>4784</v>
      </c>
      <c r="D678">
        <v>205255917</v>
      </c>
      <c r="E678" t="s">
        <v>3954</v>
      </c>
      <c r="F678" t="s">
        <v>4812</v>
      </c>
      <c r="G678">
        <v>36</v>
      </c>
      <c r="H678" t="s">
        <v>3954</v>
      </c>
      <c r="I678" t="s">
        <v>4212</v>
      </c>
      <c r="J678">
        <f t="shared" si="23"/>
        <v>277.40000000000003</v>
      </c>
      <c r="K678">
        <v>9986.4000000000015</v>
      </c>
      <c r="L678" t="s">
        <v>4845</v>
      </c>
    </row>
    <row r="679" spans="1:12" ht="50.1" customHeight="1">
      <c r="A679">
        <v>670</v>
      </c>
      <c r="B679" t="s">
        <v>4209</v>
      </c>
      <c r="C679" t="s">
        <v>4784</v>
      </c>
      <c r="D679">
        <v>205255917</v>
      </c>
      <c r="E679" t="s">
        <v>3954</v>
      </c>
      <c r="F679" t="s">
        <v>4812</v>
      </c>
      <c r="G679">
        <v>18</v>
      </c>
      <c r="H679" t="s">
        <v>3954</v>
      </c>
      <c r="I679" t="s">
        <v>4212</v>
      </c>
      <c r="J679">
        <f t="shared" si="23"/>
        <v>277.40000000000003</v>
      </c>
      <c r="K679">
        <v>4993.2000000000007</v>
      </c>
      <c r="L679" t="s">
        <v>4846</v>
      </c>
    </row>
    <row r="680" spans="1:12" ht="50.1" customHeight="1">
      <c r="A680">
        <v>671</v>
      </c>
      <c r="B680" t="s">
        <v>4209</v>
      </c>
      <c r="C680" t="s">
        <v>4784</v>
      </c>
      <c r="D680">
        <v>205255917</v>
      </c>
      <c r="E680" t="s">
        <v>3954</v>
      </c>
      <c r="F680" t="s">
        <v>4812</v>
      </c>
      <c r="G680">
        <v>36</v>
      </c>
      <c r="H680" t="s">
        <v>3954</v>
      </c>
      <c r="I680" t="s">
        <v>4212</v>
      </c>
      <c r="J680">
        <f t="shared" si="23"/>
        <v>277.40000000000003</v>
      </c>
      <c r="K680">
        <v>9986.4000000000015</v>
      </c>
      <c r="L680" t="s">
        <v>4847</v>
      </c>
    </row>
    <row r="681" spans="1:12" ht="50.1" customHeight="1">
      <c r="A681">
        <v>672</v>
      </c>
      <c r="B681" t="s">
        <v>4209</v>
      </c>
      <c r="C681" t="s">
        <v>4784</v>
      </c>
      <c r="D681">
        <v>205255917</v>
      </c>
      <c r="E681" t="s">
        <v>3954</v>
      </c>
      <c r="F681" t="s">
        <v>4812</v>
      </c>
      <c r="G681">
        <v>36</v>
      </c>
      <c r="H681" t="s">
        <v>3954</v>
      </c>
      <c r="I681" t="s">
        <v>4212</v>
      </c>
      <c r="J681">
        <f t="shared" si="23"/>
        <v>277.40000000000003</v>
      </c>
      <c r="K681">
        <v>9986.4000000000015</v>
      </c>
      <c r="L681" t="s">
        <v>4848</v>
      </c>
    </row>
    <row r="682" spans="1:12" ht="50.1" customHeight="1">
      <c r="A682">
        <v>673</v>
      </c>
      <c r="B682" t="s">
        <v>4209</v>
      </c>
      <c r="C682" t="s">
        <v>4784</v>
      </c>
      <c r="D682">
        <v>205255917</v>
      </c>
      <c r="E682" t="s">
        <v>3954</v>
      </c>
      <c r="F682" t="s">
        <v>4812</v>
      </c>
      <c r="G682">
        <v>18</v>
      </c>
      <c r="H682" t="s">
        <v>3954</v>
      </c>
      <c r="I682" t="s">
        <v>4212</v>
      </c>
      <c r="J682">
        <f t="shared" si="23"/>
        <v>277.40000000000003</v>
      </c>
      <c r="K682">
        <v>4993.2000000000007</v>
      </c>
      <c r="L682" t="s">
        <v>4849</v>
      </c>
    </row>
    <row r="683" spans="1:12" ht="50.1" customHeight="1">
      <c r="A683">
        <v>674</v>
      </c>
      <c r="B683" t="s">
        <v>4209</v>
      </c>
      <c r="C683" t="s">
        <v>4784</v>
      </c>
      <c r="D683">
        <v>205255917</v>
      </c>
      <c r="E683" t="s">
        <v>3954</v>
      </c>
      <c r="F683" t="s">
        <v>4812</v>
      </c>
      <c r="G683">
        <v>18</v>
      </c>
      <c r="H683" t="s">
        <v>3954</v>
      </c>
      <c r="I683" t="s">
        <v>4212</v>
      </c>
      <c r="J683">
        <f t="shared" ref="J683:J685" si="24">K683/G683</f>
        <v>277.40000000000003</v>
      </c>
      <c r="K683">
        <v>4993.2000000000007</v>
      </c>
      <c r="L683" t="s">
        <v>4850</v>
      </c>
    </row>
    <row r="684" spans="1:12" ht="50.1" customHeight="1">
      <c r="A684">
        <v>675</v>
      </c>
      <c r="B684" t="s">
        <v>4209</v>
      </c>
      <c r="C684" t="s">
        <v>4784</v>
      </c>
      <c r="D684">
        <v>205255917</v>
      </c>
      <c r="E684" t="s">
        <v>3954</v>
      </c>
      <c r="F684" t="s">
        <v>4812</v>
      </c>
      <c r="G684">
        <v>36</v>
      </c>
      <c r="H684" t="s">
        <v>3954</v>
      </c>
      <c r="I684" t="s">
        <v>4212</v>
      </c>
      <c r="J684">
        <f t="shared" si="24"/>
        <v>277.40000000000003</v>
      </c>
      <c r="K684">
        <v>9986.4000000000015</v>
      </c>
      <c r="L684" t="s">
        <v>4851</v>
      </c>
    </row>
    <row r="685" spans="1:12" ht="50.1" customHeight="1">
      <c r="A685">
        <v>676</v>
      </c>
      <c r="B685" t="s">
        <v>4209</v>
      </c>
      <c r="C685" t="s">
        <v>4784</v>
      </c>
      <c r="D685">
        <v>205255917</v>
      </c>
      <c r="E685" t="s">
        <v>3954</v>
      </c>
      <c r="F685" t="s">
        <v>4812</v>
      </c>
      <c r="G685">
        <v>18</v>
      </c>
      <c r="H685" t="s">
        <v>3954</v>
      </c>
      <c r="I685" t="s">
        <v>4212</v>
      </c>
      <c r="J685">
        <f t="shared" si="24"/>
        <v>277.40000000000003</v>
      </c>
      <c r="K685">
        <v>4993.2000000000007</v>
      </c>
      <c r="L685" t="s">
        <v>4852</v>
      </c>
    </row>
    <row r="686" spans="1:12" ht="50.1" customHeight="1">
      <c r="A686">
        <v>677</v>
      </c>
      <c r="B686" t="s">
        <v>4209</v>
      </c>
      <c r="C686" t="s">
        <v>4784</v>
      </c>
      <c r="D686">
        <v>205255917</v>
      </c>
      <c r="E686" t="s">
        <v>3954</v>
      </c>
      <c r="F686" t="s">
        <v>4853</v>
      </c>
      <c r="G686">
        <v>32.479999999999997</v>
      </c>
      <c r="H686" t="s">
        <v>3954</v>
      </c>
      <c r="I686" t="s">
        <v>4212</v>
      </c>
      <c r="J686">
        <f>K686/G686</f>
        <v>218.79199999999997</v>
      </c>
      <c r="K686">
        <v>7106.3641599999983</v>
      </c>
      <c r="L686" t="s">
        <v>4854</v>
      </c>
    </row>
    <row r="687" spans="1:12" ht="50.1" customHeight="1">
      <c r="A687">
        <v>678</v>
      </c>
      <c r="B687" t="s">
        <v>4209</v>
      </c>
      <c r="C687" t="s">
        <v>4784</v>
      </c>
      <c r="D687">
        <v>205255917</v>
      </c>
      <c r="E687" t="s">
        <v>3954</v>
      </c>
      <c r="F687" t="s">
        <v>4853</v>
      </c>
      <c r="G687">
        <v>16.239999999999998</v>
      </c>
      <c r="H687" t="s">
        <v>3954</v>
      </c>
      <c r="I687" t="s">
        <v>4212</v>
      </c>
      <c r="J687">
        <f t="shared" ref="J687:J730" si="25">K687/G687</f>
        <v>218.79199999999997</v>
      </c>
      <c r="K687">
        <v>3553.1820799999991</v>
      </c>
      <c r="L687" t="s">
        <v>4855</v>
      </c>
    </row>
    <row r="688" spans="1:12" ht="50.1" customHeight="1">
      <c r="A688">
        <v>679</v>
      </c>
      <c r="B688" t="s">
        <v>4209</v>
      </c>
      <c r="C688" t="s">
        <v>4784</v>
      </c>
      <c r="D688">
        <v>205255917</v>
      </c>
      <c r="E688" t="s">
        <v>3954</v>
      </c>
      <c r="F688" t="s">
        <v>4853</v>
      </c>
      <c r="G688">
        <v>126.9</v>
      </c>
      <c r="H688" t="s">
        <v>3954</v>
      </c>
      <c r="I688" t="s">
        <v>4212</v>
      </c>
      <c r="J688">
        <f t="shared" si="25"/>
        <v>227.08200000000002</v>
      </c>
      <c r="K688">
        <v>28816.705800000003</v>
      </c>
      <c r="L688" t="s">
        <v>4856</v>
      </c>
    </row>
    <row r="689" spans="1:12" ht="50.1" customHeight="1">
      <c r="A689">
        <v>680</v>
      </c>
      <c r="B689" t="s">
        <v>4209</v>
      </c>
      <c r="C689" t="s">
        <v>4784</v>
      </c>
      <c r="D689">
        <v>205255917</v>
      </c>
      <c r="E689" t="s">
        <v>3954</v>
      </c>
      <c r="F689" t="s">
        <v>4853</v>
      </c>
      <c r="G689">
        <v>16.239999999999998</v>
      </c>
      <c r="H689" t="s">
        <v>3954</v>
      </c>
      <c r="I689" t="s">
        <v>4212</v>
      </c>
      <c r="J689">
        <f t="shared" si="25"/>
        <v>218.79199999999997</v>
      </c>
      <c r="K689">
        <v>3553.1820799999991</v>
      </c>
      <c r="L689" t="s">
        <v>4857</v>
      </c>
    </row>
    <row r="690" spans="1:12" ht="50.1" customHeight="1">
      <c r="A690">
        <v>681</v>
      </c>
      <c r="B690" t="s">
        <v>4209</v>
      </c>
      <c r="C690" t="s">
        <v>4784</v>
      </c>
      <c r="D690">
        <v>205255917</v>
      </c>
      <c r="E690" t="s">
        <v>3954</v>
      </c>
      <c r="F690" t="s">
        <v>4853</v>
      </c>
      <c r="G690">
        <v>36</v>
      </c>
      <c r="H690" t="s">
        <v>3954</v>
      </c>
      <c r="I690" t="s">
        <v>4212</v>
      </c>
      <c r="J690">
        <f t="shared" si="25"/>
        <v>218.792</v>
      </c>
      <c r="K690">
        <v>7876.5119999999997</v>
      </c>
      <c r="L690" t="s">
        <v>4858</v>
      </c>
    </row>
    <row r="691" spans="1:12" ht="50.1" customHeight="1">
      <c r="A691">
        <v>682</v>
      </c>
      <c r="B691" t="s">
        <v>4209</v>
      </c>
      <c r="C691" t="s">
        <v>4784</v>
      </c>
      <c r="D691">
        <v>205255917</v>
      </c>
      <c r="E691" t="s">
        <v>3954</v>
      </c>
      <c r="F691" t="s">
        <v>4853</v>
      </c>
      <c r="G691">
        <v>21.052</v>
      </c>
      <c r="H691" t="s">
        <v>3954</v>
      </c>
      <c r="I691" t="s">
        <v>4212</v>
      </c>
      <c r="J691">
        <f t="shared" si="25"/>
        <v>218.79200000000003</v>
      </c>
      <c r="K691">
        <v>4606.0091840000005</v>
      </c>
      <c r="L691" t="s">
        <v>4859</v>
      </c>
    </row>
    <row r="692" spans="1:12" ht="50.1" customHeight="1">
      <c r="A692">
        <v>683</v>
      </c>
      <c r="B692" t="s">
        <v>4209</v>
      </c>
      <c r="C692" t="s">
        <v>4784</v>
      </c>
      <c r="D692">
        <v>205255917</v>
      </c>
      <c r="E692" t="s">
        <v>3954</v>
      </c>
      <c r="F692" t="s">
        <v>4853</v>
      </c>
      <c r="G692">
        <v>21.052</v>
      </c>
      <c r="H692" t="s">
        <v>3954</v>
      </c>
      <c r="I692" t="s">
        <v>4212</v>
      </c>
      <c r="J692">
        <f t="shared" si="25"/>
        <v>218.79200000000003</v>
      </c>
      <c r="K692">
        <v>4606.0091840000005</v>
      </c>
      <c r="L692" t="s">
        <v>4860</v>
      </c>
    </row>
    <row r="693" spans="1:12" ht="50.1" customHeight="1">
      <c r="A693">
        <v>684</v>
      </c>
      <c r="B693" t="s">
        <v>4209</v>
      </c>
      <c r="C693" t="s">
        <v>4784</v>
      </c>
      <c r="D693">
        <v>205255917</v>
      </c>
      <c r="E693" t="s">
        <v>3954</v>
      </c>
      <c r="F693" t="s">
        <v>4853</v>
      </c>
      <c r="G693">
        <v>32.479999999999997</v>
      </c>
      <c r="H693" t="s">
        <v>3954</v>
      </c>
      <c r="I693" t="s">
        <v>4212</v>
      </c>
      <c r="J693">
        <f t="shared" si="25"/>
        <v>218.79199999999997</v>
      </c>
      <c r="K693">
        <v>7106.3641599999983</v>
      </c>
      <c r="L693" t="s">
        <v>4861</v>
      </c>
    </row>
    <row r="694" spans="1:12" ht="50.1" customHeight="1">
      <c r="A694">
        <v>685</v>
      </c>
      <c r="B694" t="s">
        <v>4209</v>
      </c>
      <c r="C694" t="s">
        <v>4784</v>
      </c>
      <c r="D694">
        <v>205255917</v>
      </c>
      <c r="E694" t="s">
        <v>3954</v>
      </c>
      <c r="F694" t="s">
        <v>4853</v>
      </c>
      <c r="G694">
        <v>36</v>
      </c>
      <c r="H694" t="s">
        <v>3954</v>
      </c>
      <c r="I694" t="s">
        <v>4212</v>
      </c>
      <c r="J694">
        <f t="shared" si="25"/>
        <v>218.792</v>
      </c>
      <c r="K694">
        <v>7876.5119999999997</v>
      </c>
      <c r="L694" t="s">
        <v>4862</v>
      </c>
    </row>
    <row r="695" spans="1:12" ht="50.1" customHeight="1">
      <c r="A695">
        <v>686</v>
      </c>
      <c r="B695" t="s">
        <v>4209</v>
      </c>
      <c r="C695" t="s">
        <v>4784</v>
      </c>
      <c r="D695">
        <v>205255917</v>
      </c>
      <c r="E695" t="s">
        <v>3954</v>
      </c>
      <c r="F695" t="s">
        <v>4853</v>
      </c>
      <c r="G695">
        <v>18</v>
      </c>
      <c r="H695" t="s">
        <v>3954</v>
      </c>
      <c r="I695" t="s">
        <v>4212</v>
      </c>
      <c r="J695">
        <f t="shared" si="25"/>
        <v>218.792</v>
      </c>
      <c r="K695">
        <v>3938.2559999999999</v>
      </c>
      <c r="L695" t="s">
        <v>4863</v>
      </c>
    </row>
    <row r="696" spans="1:12" ht="50.1" customHeight="1">
      <c r="A696">
        <v>687</v>
      </c>
      <c r="B696" t="s">
        <v>4209</v>
      </c>
      <c r="C696" t="s">
        <v>4784</v>
      </c>
      <c r="D696">
        <v>205255917</v>
      </c>
      <c r="E696" t="s">
        <v>3954</v>
      </c>
      <c r="F696" t="s">
        <v>4853</v>
      </c>
      <c r="G696">
        <v>21.052</v>
      </c>
      <c r="H696" t="s">
        <v>3954</v>
      </c>
      <c r="I696" t="s">
        <v>4212</v>
      </c>
      <c r="J696">
        <f t="shared" si="25"/>
        <v>218.79200000000003</v>
      </c>
      <c r="K696">
        <v>4606.0091840000005</v>
      </c>
      <c r="L696" t="s">
        <v>4864</v>
      </c>
    </row>
    <row r="697" spans="1:12" ht="50.1" customHeight="1">
      <c r="A697">
        <v>688</v>
      </c>
      <c r="B697" t="s">
        <v>4209</v>
      </c>
      <c r="C697" t="s">
        <v>4784</v>
      </c>
      <c r="D697">
        <v>205255917</v>
      </c>
      <c r="E697" t="s">
        <v>3954</v>
      </c>
      <c r="F697" t="s">
        <v>4853</v>
      </c>
      <c r="G697">
        <v>18</v>
      </c>
      <c r="H697" t="s">
        <v>3954</v>
      </c>
      <c r="I697" t="s">
        <v>4212</v>
      </c>
      <c r="J697">
        <f t="shared" si="25"/>
        <v>218.792</v>
      </c>
      <c r="K697">
        <v>3938.2559999999999</v>
      </c>
      <c r="L697" t="s">
        <v>4865</v>
      </c>
    </row>
    <row r="698" spans="1:12" ht="50.1" customHeight="1">
      <c r="A698">
        <v>689</v>
      </c>
      <c r="B698" t="s">
        <v>4209</v>
      </c>
      <c r="C698" t="s">
        <v>4784</v>
      </c>
      <c r="D698">
        <v>205255917</v>
      </c>
      <c r="E698" t="s">
        <v>3954</v>
      </c>
      <c r="F698" t="s">
        <v>4853</v>
      </c>
      <c r="G698">
        <v>32.479999999999997</v>
      </c>
      <c r="H698" t="s">
        <v>3954</v>
      </c>
      <c r="I698" t="s">
        <v>4212</v>
      </c>
      <c r="J698">
        <f t="shared" si="25"/>
        <v>218.79199999999997</v>
      </c>
      <c r="K698">
        <v>7106.3641599999983</v>
      </c>
      <c r="L698" t="s">
        <v>4866</v>
      </c>
    </row>
    <row r="699" spans="1:12" ht="50.1" customHeight="1">
      <c r="A699">
        <v>690</v>
      </c>
      <c r="B699" t="s">
        <v>4209</v>
      </c>
      <c r="C699" t="s">
        <v>4784</v>
      </c>
      <c r="D699">
        <v>205255917</v>
      </c>
      <c r="E699" t="s">
        <v>3954</v>
      </c>
      <c r="F699" t="s">
        <v>4853</v>
      </c>
      <c r="G699">
        <v>32.479999999999997</v>
      </c>
      <c r="H699" t="s">
        <v>3954</v>
      </c>
      <c r="I699" t="s">
        <v>4212</v>
      </c>
      <c r="J699">
        <f t="shared" si="25"/>
        <v>218.79199999999997</v>
      </c>
      <c r="K699">
        <v>7106.3641599999983</v>
      </c>
      <c r="L699" t="s">
        <v>4867</v>
      </c>
    </row>
    <row r="700" spans="1:12" ht="50.1" customHeight="1">
      <c r="A700">
        <v>691</v>
      </c>
      <c r="B700" t="s">
        <v>4209</v>
      </c>
      <c r="C700" t="s">
        <v>4784</v>
      </c>
      <c r="D700">
        <v>205255917</v>
      </c>
      <c r="E700" t="s">
        <v>3954</v>
      </c>
      <c r="F700" t="s">
        <v>4853</v>
      </c>
      <c r="G700">
        <v>24.64</v>
      </c>
      <c r="H700" t="s">
        <v>3954</v>
      </c>
      <c r="I700" t="s">
        <v>4212</v>
      </c>
      <c r="J700">
        <f t="shared" si="25"/>
        <v>218.792</v>
      </c>
      <c r="K700">
        <v>5391.0348800000002</v>
      </c>
      <c r="L700" t="s">
        <v>4868</v>
      </c>
    </row>
    <row r="701" spans="1:12" ht="50.1" customHeight="1">
      <c r="A701">
        <v>692</v>
      </c>
      <c r="B701" t="s">
        <v>4209</v>
      </c>
      <c r="C701" t="s">
        <v>4784</v>
      </c>
      <c r="D701">
        <v>205255917</v>
      </c>
      <c r="E701" t="s">
        <v>3954</v>
      </c>
      <c r="F701" t="s">
        <v>4853</v>
      </c>
      <c r="G701">
        <v>24.64</v>
      </c>
      <c r="H701" t="s">
        <v>3954</v>
      </c>
      <c r="I701" t="s">
        <v>4212</v>
      </c>
      <c r="J701">
        <f t="shared" si="25"/>
        <v>218.792</v>
      </c>
      <c r="K701">
        <v>5391.0348800000002</v>
      </c>
      <c r="L701" t="s">
        <v>4869</v>
      </c>
    </row>
    <row r="702" spans="1:12" ht="50.1" customHeight="1">
      <c r="A702">
        <v>693</v>
      </c>
      <c r="B702" t="s">
        <v>4209</v>
      </c>
      <c r="C702" t="s">
        <v>4784</v>
      </c>
      <c r="D702">
        <v>205255917</v>
      </c>
      <c r="E702" t="s">
        <v>3954</v>
      </c>
      <c r="F702" t="s">
        <v>4853</v>
      </c>
      <c r="G702">
        <v>40</v>
      </c>
      <c r="H702" t="s">
        <v>3954</v>
      </c>
      <c r="I702" t="s">
        <v>4212</v>
      </c>
      <c r="J702">
        <f t="shared" si="25"/>
        <v>218.79199999999997</v>
      </c>
      <c r="K702">
        <v>8751.6799999999985</v>
      </c>
      <c r="L702" t="s">
        <v>4870</v>
      </c>
    </row>
    <row r="703" spans="1:12" ht="50.1" customHeight="1">
      <c r="A703">
        <v>694</v>
      </c>
      <c r="B703" t="s">
        <v>4209</v>
      </c>
      <c r="C703" t="s">
        <v>4784</v>
      </c>
      <c r="D703">
        <v>205255917</v>
      </c>
      <c r="E703" t="s">
        <v>3954</v>
      </c>
      <c r="F703" t="s">
        <v>4853</v>
      </c>
      <c r="G703">
        <v>18</v>
      </c>
      <c r="H703" t="s">
        <v>3954</v>
      </c>
      <c r="I703" t="s">
        <v>4212</v>
      </c>
      <c r="J703">
        <f t="shared" si="25"/>
        <v>218.792</v>
      </c>
      <c r="K703">
        <v>3938.2559999999999</v>
      </c>
      <c r="L703" t="s">
        <v>4871</v>
      </c>
    </row>
    <row r="704" spans="1:12" ht="50.1" customHeight="1">
      <c r="A704">
        <v>695</v>
      </c>
      <c r="B704" t="s">
        <v>4209</v>
      </c>
      <c r="C704" t="s">
        <v>4784</v>
      </c>
      <c r="D704">
        <v>205255917</v>
      </c>
      <c r="E704" t="s">
        <v>3954</v>
      </c>
      <c r="F704" t="s">
        <v>4853</v>
      </c>
      <c r="G704">
        <v>27.059999999999995</v>
      </c>
      <c r="H704" t="s">
        <v>3954</v>
      </c>
      <c r="I704" t="s">
        <v>4212</v>
      </c>
      <c r="J704">
        <f t="shared" si="25"/>
        <v>218.79200000000003</v>
      </c>
      <c r="K704">
        <v>5920.51152</v>
      </c>
      <c r="L704" t="s">
        <v>4872</v>
      </c>
    </row>
    <row r="705" spans="1:12" ht="50.1" customHeight="1">
      <c r="A705">
        <v>696</v>
      </c>
      <c r="B705" t="s">
        <v>4209</v>
      </c>
      <c r="C705" t="s">
        <v>4784</v>
      </c>
      <c r="D705">
        <v>205255917</v>
      </c>
      <c r="E705" t="s">
        <v>3954</v>
      </c>
      <c r="F705" t="s">
        <v>4853</v>
      </c>
      <c r="G705">
        <v>32.479999999999997</v>
      </c>
      <c r="H705" t="s">
        <v>3954</v>
      </c>
      <c r="I705" t="s">
        <v>4212</v>
      </c>
      <c r="J705">
        <f t="shared" si="25"/>
        <v>218.79199999999997</v>
      </c>
      <c r="K705">
        <v>7106.3641599999983</v>
      </c>
      <c r="L705" t="s">
        <v>4873</v>
      </c>
    </row>
    <row r="706" spans="1:12" ht="50.1" customHeight="1">
      <c r="A706">
        <v>697</v>
      </c>
      <c r="B706" t="s">
        <v>4209</v>
      </c>
      <c r="C706" t="s">
        <v>4784</v>
      </c>
      <c r="D706">
        <v>205255917</v>
      </c>
      <c r="E706" t="s">
        <v>3954</v>
      </c>
      <c r="F706" t="s">
        <v>4853</v>
      </c>
      <c r="G706">
        <v>72</v>
      </c>
      <c r="H706" t="s">
        <v>3954</v>
      </c>
      <c r="I706" t="s">
        <v>4212</v>
      </c>
      <c r="J706">
        <f t="shared" si="25"/>
        <v>218.792</v>
      </c>
      <c r="K706">
        <v>15753.023999999999</v>
      </c>
      <c r="L706" t="s">
        <v>4874</v>
      </c>
    </row>
    <row r="707" spans="1:12" ht="50.1" customHeight="1">
      <c r="A707">
        <v>698</v>
      </c>
      <c r="B707" t="s">
        <v>4209</v>
      </c>
      <c r="C707" t="s">
        <v>4784</v>
      </c>
      <c r="D707">
        <v>205255917</v>
      </c>
      <c r="E707" t="s">
        <v>3954</v>
      </c>
      <c r="F707" t="s">
        <v>4853</v>
      </c>
      <c r="G707">
        <v>18</v>
      </c>
      <c r="H707" t="s">
        <v>3954</v>
      </c>
      <c r="I707" t="s">
        <v>4212</v>
      </c>
      <c r="J707">
        <f t="shared" si="25"/>
        <v>218.792</v>
      </c>
      <c r="K707">
        <v>3938.2559999999999</v>
      </c>
      <c r="L707" t="s">
        <v>4875</v>
      </c>
    </row>
    <row r="708" spans="1:12" ht="50.1" customHeight="1">
      <c r="A708">
        <v>699</v>
      </c>
      <c r="B708" t="s">
        <v>4209</v>
      </c>
      <c r="C708" t="s">
        <v>4784</v>
      </c>
      <c r="D708">
        <v>205255917</v>
      </c>
      <c r="E708" t="s">
        <v>3954</v>
      </c>
      <c r="F708" t="s">
        <v>4853</v>
      </c>
      <c r="G708">
        <v>36</v>
      </c>
      <c r="H708" t="s">
        <v>3954</v>
      </c>
      <c r="I708" t="s">
        <v>4212</v>
      </c>
      <c r="J708">
        <f t="shared" si="25"/>
        <v>218.792</v>
      </c>
      <c r="K708">
        <v>7876.5119999999997</v>
      </c>
      <c r="L708" t="s">
        <v>4876</v>
      </c>
    </row>
    <row r="709" spans="1:12" ht="50.1" customHeight="1">
      <c r="A709">
        <v>700</v>
      </c>
      <c r="B709" t="s">
        <v>4209</v>
      </c>
      <c r="C709" t="s">
        <v>4784</v>
      </c>
      <c r="D709">
        <v>205255917</v>
      </c>
      <c r="E709" t="s">
        <v>3954</v>
      </c>
      <c r="F709" t="s">
        <v>4853</v>
      </c>
      <c r="G709">
        <v>18</v>
      </c>
      <c r="H709" t="s">
        <v>3954</v>
      </c>
      <c r="I709" t="s">
        <v>4212</v>
      </c>
      <c r="J709">
        <f t="shared" si="25"/>
        <v>218.792</v>
      </c>
      <c r="K709">
        <v>3938.2559999999999</v>
      </c>
      <c r="L709" t="s">
        <v>4877</v>
      </c>
    </row>
    <row r="710" spans="1:12" ht="50.1" customHeight="1">
      <c r="A710">
        <v>701</v>
      </c>
      <c r="B710" t="s">
        <v>4209</v>
      </c>
      <c r="C710" t="s">
        <v>4784</v>
      </c>
      <c r="D710">
        <v>205255917</v>
      </c>
      <c r="E710" t="s">
        <v>3954</v>
      </c>
      <c r="F710" t="s">
        <v>4853</v>
      </c>
      <c r="G710">
        <v>90</v>
      </c>
      <c r="H710" t="s">
        <v>3954</v>
      </c>
      <c r="I710" t="s">
        <v>4212</v>
      </c>
      <c r="J710">
        <f t="shared" si="25"/>
        <v>218.79199999999997</v>
      </c>
      <c r="K710">
        <v>19691.28</v>
      </c>
      <c r="L710" t="s">
        <v>4878</v>
      </c>
    </row>
    <row r="711" spans="1:12" ht="50.1" customHeight="1">
      <c r="A711">
        <v>702</v>
      </c>
      <c r="B711" t="s">
        <v>4209</v>
      </c>
      <c r="C711" t="s">
        <v>4784</v>
      </c>
      <c r="D711">
        <v>205255917</v>
      </c>
      <c r="E711" t="s">
        <v>3954</v>
      </c>
      <c r="F711" t="s">
        <v>4853</v>
      </c>
      <c r="G711">
        <v>128</v>
      </c>
      <c r="H711" t="s">
        <v>3954</v>
      </c>
      <c r="I711" t="s">
        <v>4212</v>
      </c>
      <c r="J711">
        <f t="shared" si="25"/>
        <v>218.79199999999997</v>
      </c>
      <c r="K711">
        <v>28005.375999999997</v>
      </c>
      <c r="L711" t="s">
        <v>4879</v>
      </c>
    </row>
    <row r="712" spans="1:12" ht="50.1" customHeight="1">
      <c r="A712">
        <v>703</v>
      </c>
      <c r="B712" t="s">
        <v>4209</v>
      </c>
      <c r="C712" t="s">
        <v>4784</v>
      </c>
      <c r="D712">
        <v>205255917</v>
      </c>
      <c r="E712" t="s">
        <v>3954</v>
      </c>
      <c r="F712" t="s">
        <v>4853</v>
      </c>
      <c r="G712">
        <v>24.0625</v>
      </c>
      <c r="H712" t="s">
        <v>3954</v>
      </c>
      <c r="I712" t="s">
        <v>4212</v>
      </c>
      <c r="J712">
        <f t="shared" si="25"/>
        <v>218.792</v>
      </c>
      <c r="K712">
        <v>5264.6824999999999</v>
      </c>
      <c r="L712" t="s">
        <v>4880</v>
      </c>
    </row>
    <row r="713" spans="1:12" ht="50.1" customHeight="1">
      <c r="A713">
        <v>704</v>
      </c>
      <c r="B713" t="s">
        <v>4209</v>
      </c>
      <c r="C713" t="s">
        <v>4784</v>
      </c>
      <c r="D713">
        <v>205255917</v>
      </c>
      <c r="E713" t="s">
        <v>3954</v>
      </c>
      <c r="F713" t="s">
        <v>4853</v>
      </c>
      <c r="G713">
        <v>21.052</v>
      </c>
      <c r="H713" t="s">
        <v>3954</v>
      </c>
      <c r="I713" t="s">
        <v>4212</v>
      </c>
      <c r="J713">
        <f t="shared" si="25"/>
        <v>218.79200000000003</v>
      </c>
      <c r="K713">
        <v>4606.0091840000005</v>
      </c>
      <c r="L713" t="s">
        <v>4881</v>
      </c>
    </row>
    <row r="714" spans="1:12" ht="50.1" customHeight="1">
      <c r="A714">
        <v>705</v>
      </c>
      <c r="B714" t="s">
        <v>4209</v>
      </c>
      <c r="C714" t="s">
        <v>4784</v>
      </c>
      <c r="D714">
        <v>205255917</v>
      </c>
      <c r="E714" t="s">
        <v>3954</v>
      </c>
      <c r="F714" t="s">
        <v>4853</v>
      </c>
      <c r="G714">
        <v>36</v>
      </c>
      <c r="H714" t="s">
        <v>3954</v>
      </c>
      <c r="I714" t="s">
        <v>4212</v>
      </c>
      <c r="J714">
        <f t="shared" si="25"/>
        <v>218.792</v>
      </c>
      <c r="K714">
        <v>7876.5119999999997</v>
      </c>
      <c r="L714" t="s">
        <v>4882</v>
      </c>
    </row>
    <row r="715" spans="1:12" ht="50.1" customHeight="1">
      <c r="A715">
        <v>706</v>
      </c>
      <c r="B715" t="s">
        <v>4209</v>
      </c>
      <c r="C715" t="s">
        <v>4784</v>
      </c>
      <c r="D715">
        <v>205255917</v>
      </c>
      <c r="E715" t="s">
        <v>3954</v>
      </c>
      <c r="F715" t="s">
        <v>4853</v>
      </c>
      <c r="G715">
        <v>32.479999999999997</v>
      </c>
      <c r="H715" t="s">
        <v>3954</v>
      </c>
      <c r="I715" t="s">
        <v>4212</v>
      </c>
      <c r="J715">
        <f t="shared" si="25"/>
        <v>218.79199999999997</v>
      </c>
      <c r="K715">
        <v>7106.3641599999983</v>
      </c>
      <c r="L715" t="s">
        <v>4883</v>
      </c>
    </row>
    <row r="716" spans="1:12" ht="50.1" customHeight="1">
      <c r="A716">
        <v>707</v>
      </c>
      <c r="B716" t="s">
        <v>4209</v>
      </c>
      <c r="C716" t="s">
        <v>4784</v>
      </c>
      <c r="D716">
        <v>205255917</v>
      </c>
      <c r="E716" t="s">
        <v>3954</v>
      </c>
      <c r="F716" t="s">
        <v>4853</v>
      </c>
      <c r="G716">
        <v>32.479999999999997</v>
      </c>
      <c r="H716" t="s">
        <v>3954</v>
      </c>
      <c r="I716" t="s">
        <v>4212</v>
      </c>
      <c r="J716">
        <f t="shared" si="25"/>
        <v>218.79199999999997</v>
      </c>
      <c r="K716">
        <v>7106.3641599999983</v>
      </c>
      <c r="L716" t="s">
        <v>4884</v>
      </c>
    </row>
    <row r="717" spans="1:12" ht="50.1" customHeight="1">
      <c r="A717">
        <v>708</v>
      </c>
      <c r="B717" t="s">
        <v>4209</v>
      </c>
      <c r="C717" t="s">
        <v>4784</v>
      </c>
      <c r="D717">
        <v>205255917</v>
      </c>
      <c r="E717" t="s">
        <v>3954</v>
      </c>
      <c r="F717" t="s">
        <v>4853</v>
      </c>
      <c r="G717">
        <v>36</v>
      </c>
      <c r="H717" t="s">
        <v>3954</v>
      </c>
      <c r="I717" t="s">
        <v>4212</v>
      </c>
      <c r="J717">
        <f t="shared" si="25"/>
        <v>218.792</v>
      </c>
      <c r="K717">
        <v>7876.5119999999997</v>
      </c>
      <c r="L717" t="s">
        <v>4885</v>
      </c>
    </row>
    <row r="718" spans="1:12" ht="50.1" customHeight="1">
      <c r="A718">
        <v>709</v>
      </c>
      <c r="B718" t="s">
        <v>4209</v>
      </c>
      <c r="C718" t="s">
        <v>4784</v>
      </c>
      <c r="D718">
        <v>205255917</v>
      </c>
      <c r="E718" t="s">
        <v>3954</v>
      </c>
      <c r="F718" t="s">
        <v>4853</v>
      </c>
      <c r="G718">
        <v>32.479999999999997</v>
      </c>
      <c r="H718" t="s">
        <v>3954</v>
      </c>
      <c r="I718" t="s">
        <v>4212</v>
      </c>
      <c r="J718">
        <f t="shared" si="25"/>
        <v>218.79199999999997</v>
      </c>
      <c r="K718">
        <v>7106.3641599999983</v>
      </c>
      <c r="L718" t="s">
        <v>4886</v>
      </c>
    </row>
    <row r="719" spans="1:12" ht="50.1" customHeight="1">
      <c r="A719">
        <v>710</v>
      </c>
      <c r="B719" t="s">
        <v>4209</v>
      </c>
      <c r="C719" t="s">
        <v>4784</v>
      </c>
      <c r="D719">
        <v>205255917</v>
      </c>
      <c r="E719" t="s">
        <v>3954</v>
      </c>
      <c r="F719" t="s">
        <v>4853</v>
      </c>
      <c r="G719">
        <v>36</v>
      </c>
      <c r="H719" t="s">
        <v>3954</v>
      </c>
      <c r="I719" t="s">
        <v>4212</v>
      </c>
      <c r="J719">
        <f t="shared" si="25"/>
        <v>218.792</v>
      </c>
      <c r="K719">
        <v>7876.5119999999997</v>
      </c>
      <c r="L719" t="s">
        <v>4887</v>
      </c>
    </row>
    <row r="720" spans="1:12" ht="50.1" customHeight="1">
      <c r="A720">
        <v>711</v>
      </c>
      <c r="B720" t="s">
        <v>4209</v>
      </c>
      <c r="C720" t="s">
        <v>4784</v>
      </c>
      <c r="D720">
        <v>205255917</v>
      </c>
      <c r="E720" t="s">
        <v>3954</v>
      </c>
      <c r="F720" t="s">
        <v>4853</v>
      </c>
      <c r="G720">
        <v>32.479999999999997</v>
      </c>
      <c r="H720" t="s">
        <v>3954</v>
      </c>
      <c r="I720" t="s">
        <v>4212</v>
      </c>
      <c r="J720">
        <f t="shared" si="25"/>
        <v>218.79199999999997</v>
      </c>
      <c r="K720">
        <v>7106.3641599999983</v>
      </c>
      <c r="L720" t="s">
        <v>4888</v>
      </c>
    </row>
    <row r="721" spans="1:12" ht="50.1" customHeight="1">
      <c r="A721">
        <v>712</v>
      </c>
      <c r="B721" t="s">
        <v>4209</v>
      </c>
      <c r="C721" t="s">
        <v>4784</v>
      </c>
      <c r="D721">
        <v>205255917</v>
      </c>
      <c r="E721" t="s">
        <v>3954</v>
      </c>
      <c r="F721" t="s">
        <v>4853</v>
      </c>
      <c r="G721">
        <v>32.479999999999997</v>
      </c>
      <c r="H721" t="s">
        <v>3954</v>
      </c>
      <c r="I721" t="s">
        <v>4212</v>
      </c>
      <c r="J721">
        <f t="shared" si="25"/>
        <v>218.79199999999997</v>
      </c>
      <c r="K721">
        <v>7106.3641599999983</v>
      </c>
      <c r="L721" t="s">
        <v>4889</v>
      </c>
    </row>
    <row r="722" spans="1:12" ht="50.1" customHeight="1">
      <c r="A722">
        <v>713</v>
      </c>
      <c r="B722" t="s">
        <v>4209</v>
      </c>
      <c r="C722" t="s">
        <v>4784</v>
      </c>
      <c r="D722">
        <v>205255917</v>
      </c>
      <c r="E722" t="s">
        <v>3954</v>
      </c>
      <c r="F722" t="s">
        <v>4853</v>
      </c>
      <c r="G722">
        <v>32.479999999999997</v>
      </c>
      <c r="H722" t="s">
        <v>3954</v>
      </c>
      <c r="I722" t="s">
        <v>4212</v>
      </c>
      <c r="J722">
        <f t="shared" si="25"/>
        <v>218.79199999999997</v>
      </c>
      <c r="K722">
        <v>7106.3641599999983</v>
      </c>
      <c r="L722" t="s">
        <v>4890</v>
      </c>
    </row>
    <row r="723" spans="1:12" ht="50.1" customHeight="1">
      <c r="A723">
        <v>714</v>
      </c>
      <c r="B723" t="s">
        <v>4209</v>
      </c>
      <c r="C723" t="s">
        <v>4784</v>
      </c>
      <c r="D723">
        <v>205255917</v>
      </c>
      <c r="E723" t="s">
        <v>3954</v>
      </c>
      <c r="F723" t="s">
        <v>4853</v>
      </c>
      <c r="G723">
        <v>32.479999999999997</v>
      </c>
      <c r="H723" t="s">
        <v>3954</v>
      </c>
      <c r="I723" t="s">
        <v>4212</v>
      </c>
      <c r="J723">
        <f t="shared" si="25"/>
        <v>218.79199999999997</v>
      </c>
      <c r="K723">
        <v>7106.3641599999983</v>
      </c>
      <c r="L723" t="s">
        <v>4891</v>
      </c>
    </row>
    <row r="724" spans="1:12" ht="50.1" customHeight="1">
      <c r="A724">
        <v>715</v>
      </c>
      <c r="B724" t="s">
        <v>4209</v>
      </c>
      <c r="C724" t="s">
        <v>4784</v>
      </c>
      <c r="D724">
        <v>205255917</v>
      </c>
      <c r="E724" t="s">
        <v>3954</v>
      </c>
      <c r="F724" t="s">
        <v>4853</v>
      </c>
      <c r="G724">
        <v>16.239999999999998</v>
      </c>
      <c r="H724" t="s">
        <v>3954</v>
      </c>
      <c r="I724" t="s">
        <v>4212</v>
      </c>
      <c r="J724">
        <f t="shared" si="25"/>
        <v>218.79199999999997</v>
      </c>
      <c r="K724">
        <v>3553.1820799999991</v>
      </c>
      <c r="L724" t="s">
        <v>4892</v>
      </c>
    </row>
    <row r="725" spans="1:12" ht="50.1" customHeight="1">
      <c r="A725">
        <v>716</v>
      </c>
      <c r="B725" t="s">
        <v>4209</v>
      </c>
      <c r="C725" t="s">
        <v>4784</v>
      </c>
      <c r="D725">
        <v>205255917</v>
      </c>
      <c r="E725" t="s">
        <v>3954</v>
      </c>
      <c r="F725" t="s">
        <v>4853</v>
      </c>
      <c r="G725">
        <v>18</v>
      </c>
      <c r="H725" t="s">
        <v>3954</v>
      </c>
      <c r="I725" t="s">
        <v>4212</v>
      </c>
      <c r="J725">
        <f t="shared" si="25"/>
        <v>218.792</v>
      </c>
      <c r="K725">
        <v>3938.2559999999999</v>
      </c>
      <c r="L725" t="s">
        <v>4893</v>
      </c>
    </row>
    <row r="726" spans="1:12" ht="50.1" customHeight="1">
      <c r="A726">
        <v>717</v>
      </c>
      <c r="B726" t="s">
        <v>4209</v>
      </c>
      <c r="C726" t="s">
        <v>4784</v>
      </c>
      <c r="D726">
        <v>205255917</v>
      </c>
      <c r="E726" t="s">
        <v>3954</v>
      </c>
      <c r="F726" t="s">
        <v>4853</v>
      </c>
      <c r="G726">
        <v>18</v>
      </c>
      <c r="H726" t="s">
        <v>3954</v>
      </c>
      <c r="I726" t="s">
        <v>4212</v>
      </c>
      <c r="J726">
        <f t="shared" si="25"/>
        <v>218.792</v>
      </c>
      <c r="K726">
        <v>3938.2559999999999</v>
      </c>
      <c r="L726" t="s">
        <v>4894</v>
      </c>
    </row>
    <row r="727" spans="1:12" ht="50.1" customHeight="1">
      <c r="A727">
        <v>718</v>
      </c>
      <c r="B727" t="s">
        <v>4209</v>
      </c>
      <c r="C727" t="s">
        <v>4784</v>
      </c>
      <c r="D727">
        <v>205255917</v>
      </c>
      <c r="E727" t="s">
        <v>3954</v>
      </c>
      <c r="F727" t="s">
        <v>4853</v>
      </c>
      <c r="G727">
        <v>36</v>
      </c>
      <c r="H727" t="s">
        <v>3954</v>
      </c>
      <c r="I727" t="s">
        <v>4212</v>
      </c>
      <c r="J727">
        <f t="shared" si="25"/>
        <v>173.50399999999999</v>
      </c>
      <c r="K727">
        <v>6246.1439999999993</v>
      </c>
      <c r="L727" t="s">
        <v>4895</v>
      </c>
    </row>
    <row r="728" spans="1:12" ht="50.1" customHeight="1">
      <c r="A728">
        <v>719</v>
      </c>
      <c r="B728" t="s">
        <v>4209</v>
      </c>
      <c r="C728" t="s">
        <v>4784</v>
      </c>
      <c r="D728">
        <v>205255917</v>
      </c>
      <c r="E728" t="s">
        <v>3954</v>
      </c>
      <c r="F728" t="s">
        <v>4853</v>
      </c>
      <c r="G728">
        <v>32.479999999999997</v>
      </c>
      <c r="H728" t="s">
        <v>3954</v>
      </c>
      <c r="I728" t="s">
        <v>4212</v>
      </c>
      <c r="J728">
        <f t="shared" si="25"/>
        <v>218.79199999999997</v>
      </c>
      <c r="K728">
        <v>7106.3641599999983</v>
      </c>
      <c r="L728" t="s">
        <v>4896</v>
      </c>
    </row>
    <row r="729" spans="1:12" ht="50.1" customHeight="1">
      <c r="A729">
        <v>720</v>
      </c>
      <c r="B729" t="s">
        <v>4209</v>
      </c>
      <c r="C729" t="s">
        <v>4784</v>
      </c>
      <c r="D729">
        <v>205255917</v>
      </c>
      <c r="E729" t="s">
        <v>3954</v>
      </c>
      <c r="F729" t="s">
        <v>4853</v>
      </c>
      <c r="G729">
        <v>18</v>
      </c>
      <c r="H729" t="s">
        <v>3954</v>
      </c>
      <c r="I729" t="s">
        <v>4212</v>
      </c>
      <c r="J729">
        <f t="shared" si="25"/>
        <v>218.792</v>
      </c>
      <c r="K729">
        <v>3938.2559999999999</v>
      </c>
      <c r="L729" t="s">
        <v>4897</v>
      </c>
    </row>
    <row r="730" spans="1:12" ht="50.1" customHeight="1">
      <c r="A730">
        <v>721</v>
      </c>
      <c r="B730" t="s">
        <v>4209</v>
      </c>
      <c r="C730" t="s">
        <v>4784</v>
      </c>
      <c r="D730">
        <v>205255917</v>
      </c>
      <c r="E730" t="s">
        <v>3954</v>
      </c>
      <c r="F730" t="s">
        <v>4853</v>
      </c>
      <c r="G730">
        <v>40</v>
      </c>
      <c r="H730" t="s">
        <v>3954</v>
      </c>
      <c r="I730" t="s">
        <v>4212</v>
      </c>
      <c r="J730">
        <f t="shared" si="25"/>
        <v>218.79199999999997</v>
      </c>
      <c r="K730">
        <v>8751.6799999999985</v>
      </c>
      <c r="L730" t="s">
        <v>4898</v>
      </c>
    </row>
    <row r="731" spans="1:12" ht="50.1" customHeight="1">
      <c r="A731">
        <v>722</v>
      </c>
      <c r="B731" t="s">
        <v>4209</v>
      </c>
      <c r="C731" t="s">
        <v>4784</v>
      </c>
      <c r="D731">
        <v>205255917</v>
      </c>
      <c r="E731" t="s">
        <v>3954</v>
      </c>
      <c r="F731" t="s">
        <v>4899</v>
      </c>
      <c r="G731">
        <v>32.479999999999997</v>
      </c>
      <c r="H731" t="s">
        <v>3954</v>
      </c>
      <c r="I731" t="s">
        <v>4212</v>
      </c>
      <c r="J731">
        <f>K731/G731</f>
        <v>186.82399999999996</v>
      </c>
      <c r="K731">
        <v>6068.0435199999984</v>
      </c>
      <c r="L731" t="s">
        <v>4900</v>
      </c>
    </row>
    <row r="732" spans="1:12" ht="50.1" customHeight="1">
      <c r="A732">
        <v>723</v>
      </c>
      <c r="B732" t="s">
        <v>4380</v>
      </c>
      <c r="C732" t="s">
        <v>4784</v>
      </c>
      <c r="D732">
        <v>205255917</v>
      </c>
      <c r="E732" t="s">
        <v>3954</v>
      </c>
      <c r="F732" t="s">
        <v>4901</v>
      </c>
      <c r="G732">
        <v>77.41</v>
      </c>
      <c r="H732" t="s">
        <v>3954</v>
      </c>
      <c r="I732" t="s">
        <v>4212</v>
      </c>
      <c r="J732">
        <f>K732/G732</f>
        <v>211.60056840201526</v>
      </c>
      <c r="K732">
        <v>16380</v>
      </c>
      <c r="L732" t="s">
        <v>4902</v>
      </c>
    </row>
    <row r="733" spans="1:12" ht="50.1" customHeight="1">
      <c r="A733">
        <v>724</v>
      </c>
      <c r="B733" t="s">
        <v>4209</v>
      </c>
      <c r="C733" t="s">
        <v>4903</v>
      </c>
      <c r="D733">
        <v>204873388</v>
      </c>
      <c r="E733" t="s">
        <v>3954</v>
      </c>
      <c r="F733" t="s">
        <v>4785</v>
      </c>
      <c r="G733">
        <v>96</v>
      </c>
      <c r="H733" t="s">
        <v>3954</v>
      </c>
      <c r="I733" t="s">
        <v>4212</v>
      </c>
      <c r="J733">
        <f>K733/G733</f>
        <v>412.0772399999999</v>
      </c>
      <c r="K733">
        <v>39559.415039999993</v>
      </c>
      <c r="L733" t="s">
        <v>4904</v>
      </c>
    </row>
    <row r="734" spans="1:12" ht="50.1" customHeight="1">
      <c r="A734">
        <v>725</v>
      </c>
      <c r="B734" t="s">
        <v>4209</v>
      </c>
      <c r="C734" t="s">
        <v>4903</v>
      </c>
      <c r="D734">
        <v>204873388</v>
      </c>
      <c r="E734" t="s">
        <v>3954</v>
      </c>
      <c r="F734" t="s">
        <v>4785</v>
      </c>
      <c r="G734">
        <v>60</v>
      </c>
      <c r="H734" t="s">
        <v>3954</v>
      </c>
      <c r="I734" t="s">
        <v>4212</v>
      </c>
      <c r="J734">
        <f t="shared" ref="J734:J779" si="26">K734/G734</f>
        <v>412.0772399999999</v>
      </c>
      <c r="K734">
        <v>24724.634399999995</v>
      </c>
      <c r="L734" t="s">
        <v>4905</v>
      </c>
    </row>
    <row r="735" spans="1:12" ht="50.1" customHeight="1">
      <c r="A735">
        <v>726</v>
      </c>
      <c r="B735" t="s">
        <v>4209</v>
      </c>
      <c r="C735" t="s">
        <v>4903</v>
      </c>
      <c r="D735">
        <v>204873388</v>
      </c>
      <c r="E735" t="s">
        <v>3954</v>
      </c>
      <c r="F735" t="s">
        <v>4785</v>
      </c>
      <c r="G735">
        <v>126</v>
      </c>
      <c r="H735" t="s">
        <v>3954</v>
      </c>
      <c r="I735" t="s">
        <v>4212</v>
      </c>
      <c r="J735">
        <f t="shared" si="26"/>
        <v>412.07724000000002</v>
      </c>
      <c r="K735">
        <v>51921.732240000005</v>
      </c>
      <c r="L735" t="s">
        <v>4906</v>
      </c>
    </row>
    <row r="736" spans="1:12" ht="50.1" customHeight="1">
      <c r="A736">
        <v>727</v>
      </c>
      <c r="B736" t="s">
        <v>4209</v>
      </c>
      <c r="C736" t="s">
        <v>4903</v>
      </c>
      <c r="D736">
        <v>204873388</v>
      </c>
      <c r="E736" t="s">
        <v>3954</v>
      </c>
      <c r="F736" t="s">
        <v>4785</v>
      </c>
      <c r="G736">
        <v>80</v>
      </c>
      <c r="H736" t="s">
        <v>3954</v>
      </c>
      <c r="I736" t="s">
        <v>4212</v>
      </c>
      <c r="J736">
        <f t="shared" si="26"/>
        <v>412.07723999999996</v>
      </c>
      <c r="K736">
        <v>32966.179199999999</v>
      </c>
      <c r="L736" t="s">
        <v>4907</v>
      </c>
    </row>
    <row r="737" spans="1:12" ht="50.1" customHeight="1">
      <c r="A737">
        <v>728</v>
      </c>
      <c r="B737" t="s">
        <v>4209</v>
      </c>
      <c r="C737" t="s">
        <v>4903</v>
      </c>
      <c r="D737">
        <v>204873388</v>
      </c>
      <c r="E737" t="s">
        <v>3954</v>
      </c>
      <c r="F737" t="s">
        <v>4785</v>
      </c>
      <c r="G737">
        <v>100</v>
      </c>
      <c r="H737" t="s">
        <v>3954</v>
      </c>
      <c r="I737" t="s">
        <v>4212</v>
      </c>
      <c r="J737">
        <f t="shared" si="26"/>
        <v>412.07724000000002</v>
      </c>
      <c r="K737">
        <v>41207.724000000002</v>
      </c>
      <c r="L737" t="s">
        <v>4908</v>
      </c>
    </row>
    <row r="738" spans="1:12" ht="50.1" customHeight="1">
      <c r="A738">
        <v>729</v>
      </c>
      <c r="B738" t="s">
        <v>4209</v>
      </c>
      <c r="C738" t="s">
        <v>4903</v>
      </c>
      <c r="D738">
        <v>204873388</v>
      </c>
      <c r="E738" t="s">
        <v>3954</v>
      </c>
      <c r="F738" t="s">
        <v>4785</v>
      </c>
      <c r="G738">
        <v>80</v>
      </c>
      <c r="H738" t="s">
        <v>3954</v>
      </c>
      <c r="I738" t="s">
        <v>4212</v>
      </c>
      <c r="J738">
        <f t="shared" si="26"/>
        <v>412.07723999999996</v>
      </c>
      <c r="K738">
        <v>32966.179199999999</v>
      </c>
      <c r="L738" t="s">
        <v>4909</v>
      </c>
    </row>
    <row r="739" spans="1:12" ht="50.1" customHeight="1">
      <c r="A739">
        <v>730</v>
      </c>
      <c r="B739" t="s">
        <v>4209</v>
      </c>
      <c r="C739" t="s">
        <v>4903</v>
      </c>
      <c r="D739">
        <v>204873388</v>
      </c>
      <c r="E739" t="s">
        <v>3954</v>
      </c>
      <c r="F739" t="s">
        <v>4785</v>
      </c>
      <c r="G739">
        <v>52</v>
      </c>
      <c r="H739" t="s">
        <v>3954</v>
      </c>
      <c r="I739" t="s">
        <v>4212</v>
      </c>
      <c r="J739">
        <f t="shared" si="26"/>
        <v>412.07723999999996</v>
      </c>
      <c r="K739">
        <v>21428.016479999998</v>
      </c>
      <c r="L739" t="s">
        <v>4910</v>
      </c>
    </row>
    <row r="740" spans="1:12" ht="50.1" customHeight="1">
      <c r="A740">
        <v>731</v>
      </c>
      <c r="B740" t="s">
        <v>4209</v>
      </c>
      <c r="C740" t="s">
        <v>4903</v>
      </c>
      <c r="D740">
        <v>204873388</v>
      </c>
      <c r="E740" t="s">
        <v>3954</v>
      </c>
      <c r="F740" t="s">
        <v>4785</v>
      </c>
      <c r="G740">
        <v>150</v>
      </c>
      <c r="H740" t="s">
        <v>3954</v>
      </c>
      <c r="I740" t="s">
        <v>4212</v>
      </c>
      <c r="J740">
        <f t="shared" si="26"/>
        <v>412.07723999999996</v>
      </c>
      <c r="K740">
        <v>61811.585999999996</v>
      </c>
      <c r="L740" t="s">
        <v>4911</v>
      </c>
    </row>
    <row r="741" spans="1:12" ht="50.1" customHeight="1">
      <c r="A741">
        <v>732</v>
      </c>
      <c r="B741" t="s">
        <v>4209</v>
      </c>
      <c r="C741" t="s">
        <v>4903</v>
      </c>
      <c r="D741">
        <v>204873388</v>
      </c>
      <c r="E741" t="s">
        <v>3954</v>
      </c>
      <c r="F741" t="s">
        <v>4785</v>
      </c>
      <c r="G741">
        <v>32</v>
      </c>
      <c r="H741" t="s">
        <v>3954</v>
      </c>
      <c r="I741" t="s">
        <v>4212</v>
      </c>
      <c r="J741">
        <f t="shared" si="26"/>
        <v>412.07723999999996</v>
      </c>
      <c r="K741">
        <v>13186.471679999999</v>
      </c>
      <c r="L741" t="s">
        <v>4912</v>
      </c>
    </row>
    <row r="742" spans="1:12" ht="50.1" customHeight="1">
      <c r="A742">
        <v>733</v>
      </c>
      <c r="B742" t="s">
        <v>4209</v>
      </c>
      <c r="C742" t="s">
        <v>4903</v>
      </c>
      <c r="D742">
        <v>204873388</v>
      </c>
      <c r="E742" t="s">
        <v>3954</v>
      </c>
      <c r="F742" t="s">
        <v>4785</v>
      </c>
      <c r="G742">
        <v>60</v>
      </c>
      <c r="H742" t="s">
        <v>3954</v>
      </c>
      <c r="I742" t="s">
        <v>4212</v>
      </c>
      <c r="J742">
        <f t="shared" si="26"/>
        <v>412.0772399999999</v>
      </c>
      <c r="K742">
        <v>24724.634399999995</v>
      </c>
      <c r="L742" t="s">
        <v>4913</v>
      </c>
    </row>
    <row r="743" spans="1:12" ht="50.1" customHeight="1">
      <c r="A743">
        <v>734</v>
      </c>
      <c r="B743" t="s">
        <v>4209</v>
      </c>
      <c r="C743" t="s">
        <v>4903</v>
      </c>
      <c r="D743">
        <v>204873388</v>
      </c>
      <c r="E743" t="s">
        <v>3954</v>
      </c>
      <c r="F743" t="s">
        <v>4785</v>
      </c>
      <c r="G743">
        <v>60</v>
      </c>
      <c r="H743" t="s">
        <v>3954</v>
      </c>
      <c r="I743" t="s">
        <v>4212</v>
      </c>
      <c r="J743">
        <f t="shared" si="26"/>
        <v>412.0772399999999</v>
      </c>
      <c r="K743">
        <v>24724.634399999995</v>
      </c>
      <c r="L743" t="s">
        <v>4914</v>
      </c>
    </row>
    <row r="744" spans="1:12" ht="50.1" customHeight="1">
      <c r="A744">
        <v>735</v>
      </c>
      <c r="B744" t="s">
        <v>4209</v>
      </c>
      <c r="C744" t="s">
        <v>4903</v>
      </c>
      <c r="D744">
        <v>204873388</v>
      </c>
      <c r="E744" t="s">
        <v>3954</v>
      </c>
      <c r="F744" t="s">
        <v>4785</v>
      </c>
      <c r="G744">
        <v>300</v>
      </c>
      <c r="H744" t="s">
        <v>3954</v>
      </c>
      <c r="I744" t="s">
        <v>4212</v>
      </c>
      <c r="J744">
        <f t="shared" si="26"/>
        <v>412.07723999999996</v>
      </c>
      <c r="K744">
        <v>123623.17199999999</v>
      </c>
      <c r="L744" t="s">
        <v>4915</v>
      </c>
    </row>
    <row r="745" spans="1:12" ht="50.1" customHeight="1">
      <c r="A745">
        <v>736</v>
      </c>
      <c r="B745" t="s">
        <v>4209</v>
      </c>
      <c r="C745" t="s">
        <v>4903</v>
      </c>
      <c r="D745">
        <v>204873388</v>
      </c>
      <c r="E745" t="s">
        <v>3954</v>
      </c>
      <c r="F745" t="s">
        <v>4785</v>
      </c>
      <c r="G745">
        <v>60</v>
      </c>
      <c r="H745" t="s">
        <v>3954</v>
      </c>
      <c r="I745" t="s">
        <v>4212</v>
      </c>
      <c r="J745">
        <f t="shared" si="26"/>
        <v>412.0772399999999</v>
      </c>
      <c r="K745">
        <v>24724.634399999995</v>
      </c>
      <c r="L745" t="s">
        <v>4916</v>
      </c>
    </row>
    <row r="746" spans="1:12" ht="50.1" customHeight="1">
      <c r="A746">
        <v>737</v>
      </c>
      <c r="B746" t="s">
        <v>4209</v>
      </c>
      <c r="C746" t="s">
        <v>4903</v>
      </c>
      <c r="D746">
        <v>204873388</v>
      </c>
      <c r="E746" t="s">
        <v>3954</v>
      </c>
      <c r="F746" t="s">
        <v>4785</v>
      </c>
      <c r="G746">
        <v>200</v>
      </c>
      <c r="H746" t="s">
        <v>3954</v>
      </c>
      <c r="I746" t="s">
        <v>4212</v>
      </c>
      <c r="J746">
        <f t="shared" si="26"/>
        <v>412.07724000000002</v>
      </c>
      <c r="K746">
        <v>82415.448000000004</v>
      </c>
      <c r="L746" t="s">
        <v>4917</v>
      </c>
    </row>
    <row r="747" spans="1:12" ht="50.1" customHeight="1">
      <c r="A747">
        <v>738</v>
      </c>
      <c r="B747" t="s">
        <v>4209</v>
      </c>
      <c r="C747" t="s">
        <v>4903</v>
      </c>
      <c r="D747">
        <v>204873388</v>
      </c>
      <c r="E747" t="s">
        <v>3954</v>
      </c>
      <c r="F747" t="s">
        <v>4785</v>
      </c>
      <c r="G747">
        <v>36</v>
      </c>
      <c r="H747" t="s">
        <v>3954</v>
      </c>
      <c r="I747" t="s">
        <v>4212</v>
      </c>
      <c r="J747">
        <f t="shared" si="26"/>
        <v>412.0772399999999</v>
      </c>
      <c r="K747">
        <v>14834.780639999997</v>
      </c>
      <c r="L747" t="s">
        <v>4918</v>
      </c>
    </row>
    <row r="748" spans="1:12" ht="50.1" customHeight="1">
      <c r="A748">
        <v>739</v>
      </c>
      <c r="B748" t="s">
        <v>4209</v>
      </c>
      <c r="C748" t="s">
        <v>4903</v>
      </c>
      <c r="D748">
        <v>204873388</v>
      </c>
      <c r="E748" t="s">
        <v>3954</v>
      </c>
      <c r="F748" t="s">
        <v>4785</v>
      </c>
      <c r="G748">
        <v>54</v>
      </c>
      <c r="H748" t="s">
        <v>3954</v>
      </c>
      <c r="I748" t="s">
        <v>4212</v>
      </c>
      <c r="J748">
        <f t="shared" si="26"/>
        <v>412.0772399999999</v>
      </c>
      <c r="K748">
        <v>22252.170959999996</v>
      </c>
      <c r="L748" t="s">
        <v>4919</v>
      </c>
    </row>
    <row r="749" spans="1:12" ht="50.1" customHeight="1">
      <c r="A749">
        <v>740</v>
      </c>
      <c r="B749" t="s">
        <v>4209</v>
      </c>
      <c r="C749" t="s">
        <v>4903</v>
      </c>
      <c r="D749">
        <v>204873388</v>
      </c>
      <c r="E749" t="s">
        <v>3954</v>
      </c>
      <c r="F749" t="s">
        <v>4785</v>
      </c>
      <c r="G749">
        <v>100</v>
      </c>
      <c r="H749" t="s">
        <v>3954</v>
      </c>
      <c r="I749" t="s">
        <v>4212</v>
      </c>
      <c r="J749">
        <f t="shared" si="26"/>
        <v>412.07724000000002</v>
      </c>
      <c r="K749">
        <v>41207.724000000002</v>
      </c>
      <c r="L749" t="s">
        <v>4920</v>
      </c>
    </row>
    <row r="750" spans="1:12" ht="50.1" customHeight="1">
      <c r="A750">
        <v>741</v>
      </c>
      <c r="B750" t="s">
        <v>4209</v>
      </c>
      <c r="C750" t="s">
        <v>4903</v>
      </c>
      <c r="D750">
        <v>204873388</v>
      </c>
      <c r="E750" t="s">
        <v>3954</v>
      </c>
      <c r="F750" t="s">
        <v>4785</v>
      </c>
      <c r="G750">
        <v>32</v>
      </c>
      <c r="H750" t="s">
        <v>3954</v>
      </c>
      <c r="I750" t="s">
        <v>4212</v>
      </c>
      <c r="J750">
        <f t="shared" si="26"/>
        <v>412.07723999999996</v>
      </c>
      <c r="K750">
        <v>13186.471679999999</v>
      </c>
      <c r="L750" t="s">
        <v>4921</v>
      </c>
    </row>
    <row r="751" spans="1:12" ht="50.1" customHeight="1">
      <c r="A751">
        <v>742</v>
      </c>
      <c r="B751" t="s">
        <v>4209</v>
      </c>
      <c r="C751" t="s">
        <v>4903</v>
      </c>
      <c r="D751">
        <v>204873388</v>
      </c>
      <c r="E751" t="s">
        <v>3954</v>
      </c>
      <c r="F751" t="s">
        <v>4785</v>
      </c>
      <c r="G751">
        <v>36</v>
      </c>
      <c r="H751" t="s">
        <v>3954</v>
      </c>
      <c r="I751" t="s">
        <v>4212</v>
      </c>
      <c r="J751">
        <f t="shared" si="26"/>
        <v>315.97213999999997</v>
      </c>
      <c r="K751">
        <v>11374.997039999998</v>
      </c>
      <c r="L751" t="s">
        <v>4922</v>
      </c>
    </row>
    <row r="752" spans="1:12" ht="50.1" customHeight="1">
      <c r="A752">
        <v>743</v>
      </c>
      <c r="B752" t="s">
        <v>4209</v>
      </c>
      <c r="C752" t="s">
        <v>4903</v>
      </c>
      <c r="D752">
        <v>204873388</v>
      </c>
      <c r="E752" t="s">
        <v>3954</v>
      </c>
      <c r="F752" t="s">
        <v>4785</v>
      </c>
      <c r="G752">
        <v>18</v>
      </c>
      <c r="H752" t="s">
        <v>3954</v>
      </c>
      <c r="I752" t="s">
        <v>4212</v>
      </c>
      <c r="J752">
        <f t="shared" si="26"/>
        <v>315.97213999999997</v>
      </c>
      <c r="K752">
        <v>5687.4985199999992</v>
      </c>
      <c r="L752" t="s">
        <v>4923</v>
      </c>
    </row>
    <row r="753" spans="1:12" ht="50.1" customHeight="1">
      <c r="A753">
        <v>744</v>
      </c>
      <c r="B753" t="s">
        <v>4209</v>
      </c>
      <c r="C753" t="s">
        <v>4903</v>
      </c>
      <c r="D753">
        <v>204873388</v>
      </c>
      <c r="E753" t="s">
        <v>3954</v>
      </c>
      <c r="F753" t="s">
        <v>4785</v>
      </c>
      <c r="G753">
        <v>80</v>
      </c>
      <c r="H753" t="s">
        <v>3954</v>
      </c>
      <c r="I753" t="s">
        <v>4212</v>
      </c>
      <c r="J753">
        <f t="shared" si="26"/>
        <v>315.97214000000002</v>
      </c>
      <c r="K753">
        <v>25277.771200000003</v>
      </c>
      <c r="L753" t="s">
        <v>4924</v>
      </c>
    </row>
    <row r="754" spans="1:12" ht="50.1" customHeight="1">
      <c r="A754">
        <v>745</v>
      </c>
      <c r="B754" t="s">
        <v>4209</v>
      </c>
      <c r="C754" t="s">
        <v>4903</v>
      </c>
      <c r="D754">
        <v>204873388</v>
      </c>
      <c r="E754" t="s">
        <v>3954</v>
      </c>
      <c r="F754" t="s">
        <v>4785</v>
      </c>
      <c r="G754">
        <v>36</v>
      </c>
      <c r="H754" t="s">
        <v>3954</v>
      </c>
      <c r="I754" t="s">
        <v>4212</v>
      </c>
      <c r="J754">
        <f t="shared" si="26"/>
        <v>315.97213999999997</v>
      </c>
      <c r="K754">
        <v>11374.997039999998</v>
      </c>
      <c r="L754" t="s">
        <v>4925</v>
      </c>
    </row>
    <row r="755" spans="1:12" ht="50.1" customHeight="1">
      <c r="A755">
        <v>746</v>
      </c>
      <c r="B755" t="s">
        <v>4209</v>
      </c>
      <c r="C755" t="s">
        <v>4903</v>
      </c>
      <c r="D755">
        <v>204873388</v>
      </c>
      <c r="E755" t="s">
        <v>3954</v>
      </c>
      <c r="F755" t="s">
        <v>4785</v>
      </c>
      <c r="G755">
        <v>36</v>
      </c>
      <c r="H755" t="s">
        <v>3954</v>
      </c>
      <c r="I755" t="s">
        <v>4212</v>
      </c>
      <c r="J755">
        <f t="shared" si="26"/>
        <v>315.97213999999997</v>
      </c>
      <c r="K755">
        <v>11374.997039999998</v>
      </c>
      <c r="L755" t="s">
        <v>4926</v>
      </c>
    </row>
    <row r="756" spans="1:12" ht="50.1" customHeight="1">
      <c r="A756">
        <v>747</v>
      </c>
      <c r="B756" t="s">
        <v>4209</v>
      </c>
      <c r="C756" t="s">
        <v>4903</v>
      </c>
      <c r="D756">
        <v>204873388</v>
      </c>
      <c r="E756" t="s">
        <v>3954</v>
      </c>
      <c r="F756" t="s">
        <v>4785</v>
      </c>
      <c r="G756">
        <v>36</v>
      </c>
      <c r="H756" t="s">
        <v>3954</v>
      </c>
      <c r="I756" t="s">
        <v>4212</v>
      </c>
      <c r="J756">
        <f t="shared" si="26"/>
        <v>315.97213999999997</v>
      </c>
      <c r="K756">
        <v>11374.997039999998</v>
      </c>
      <c r="L756" t="s">
        <v>4927</v>
      </c>
    </row>
    <row r="757" spans="1:12" ht="50.1" customHeight="1">
      <c r="A757">
        <v>748</v>
      </c>
      <c r="B757" t="s">
        <v>4209</v>
      </c>
      <c r="C757" t="s">
        <v>4903</v>
      </c>
      <c r="D757">
        <v>204873388</v>
      </c>
      <c r="E757" t="s">
        <v>3954</v>
      </c>
      <c r="F757" t="s">
        <v>4785</v>
      </c>
      <c r="G757">
        <v>32</v>
      </c>
      <c r="H757" t="s">
        <v>3954</v>
      </c>
      <c r="I757" t="s">
        <v>4212</v>
      </c>
      <c r="J757">
        <f t="shared" si="26"/>
        <v>315.97213999999997</v>
      </c>
      <c r="K757">
        <v>10111.108479999999</v>
      </c>
      <c r="L757" t="s">
        <v>4928</v>
      </c>
    </row>
    <row r="758" spans="1:12" ht="50.1" customHeight="1">
      <c r="A758">
        <v>749</v>
      </c>
      <c r="B758" t="s">
        <v>4209</v>
      </c>
      <c r="C758" t="s">
        <v>4903</v>
      </c>
      <c r="D758">
        <v>204873388</v>
      </c>
      <c r="E758" t="s">
        <v>3954</v>
      </c>
      <c r="F758" t="s">
        <v>4785</v>
      </c>
      <c r="G758">
        <v>36</v>
      </c>
      <c r="H758" t="s">
        <v>3954</v>
      </c>
      <c r="I758" t="s">
        <v>4212</v>
      </c>
      <c r="J758">
        <f t="shared" si="26"/>
        <v>315.97213999999997</v>
      </c>
      <c r="K758">
        <v>11374.997039999998</v>
      </c>
      <c r="L758" t="s">
        <v>4929</v>
      </c>
    </row>
    <row r="759" spans="1:12" ht="50.1" customHeight="1">
      <c r="A759">
        <v>750</v>
      </c>
      <c r="B759" t="s">
        <v>4209</v>
      </c>
      <c r="C759" t="s">
        <v>4903</v>
      </c>
      <c r="D759">
        <v>204873388</v>
      </c>
      <c r="E759" t="s">
        <v>3954</v>
      </c>
      <c r="F759" t="s">
        <v>4785</v>
      </c>
      <c r="G759">
        <v>36</v>
      </c>
      <c r="H759" t="s">
        <v>3954</v>
      </c>
      <c r="I759" t="s">
        <v>4212</v>
      </c>
      <c r="J759">
        <f t="shared" si="26"/>
        <v>315.97213999999997</v>
      </c>
      <c r="K759">
        <v>11374.997039999998</v>
      </c>
      <c r="L759" t="s">
        <v>4930</v>
      </c>
    </row>
    <row r="760" spans="1:12" ht="50.1" customHeight="1">
      <c r="A760">
        <v>751</v>
      </c>
      <c r="B760" t="s">
        <v>4209</v>
      </c>
      <c r="C760" t="s">
        <v>4903</v>
      </c>
      <c r="D760">
        <v>204873388</v>
      </c>
      <c r="E760" t="s">
        <v>3954</v>
      </c>
      <c r="F760" t="s">
        <v>4785</v>
      </c>
      <c r="G760">
        <v>18</v>
      </c>
      <c r="H760" t="s">
        <v>3954</v>
      </c>
      <c r="I760" t="s">
        <v>4212</v>
      </c>
      <c r="J760">
        <f t="shared" si="26"/>
        <v>315.97213999999997</v>
      </c>
      <c r="K760">
        <v>5687.4985199999992</v>
      </c>
      <c r="L760" t="s">
        <v>4931</v>
      </c>
    </row>
    <row r="761" spans="1:12" ht="50.1" customHeight="1">
      <c r="A761">
        <v>752</v>
      </c>
      <c r="B761" t="s">
        <v>4209</v>
      </c>
      <c r="C761" t="s">
        <v>4903</v>
      </c>
      <c r="D761">
        <v>204873388</v>
      </c>
      <c r="E761" t="s">
        <v>3954</v>
      </c>
      <c r="F761" t="s">
        <v>4785</v>
      </c>
      <c r="G761">
        <v>18</v>
      </c>
      <c r="H761" t="s">
        <v>3954</v>
      </c>
      <c r="I761" t="s">
        <v>4212</v>
      </c>
      <c r="J761">
        <f t="shared" si="26"/>
        <v>315.97213999999997</v>
      </c>
      <c r="K761">
        <v>5687.4985199999992</v>
      </c>
      <c r="L761" t="s">
        <v>4932</v>
      </c>
    </row>
    <row r="762" spans="1:12" ht="50.1" customHeight="1">
      <c r="A762">
        <v>753</v>
      </c>
      <c r="B762" t="s">
        <v>4209</v>
      </c>
      <c r="C762" t="s">
        <v>4903</v>
      </c>
      <c r="D762">
        <v>204873388</v>
      </c>
      <c r="E762" t="s">
        <v>3954</v>
      </c>
      <c r="F762" t="s">
        <v>4785</v>
      </c>
      <c r="G762">
        <v>36</v>
      </c>
      <c r="H762" t="s">
        <v>3954</v>
      </c>
      <c r="I762" t="s">
        <v>4212</v>
      </c>
      <c r="J762">
        <f t="shared" si="26"/>
        <v>315.97213999999997</v>
      </c>
      <c r="K762">
        <v>11374.997039999998</v>
      </c>
      <c r="L762" t="s">
        <v>4933</v>
      </c>
    </row>
    <row r="763" spans="1:12" ht="50.1" customHeight="1">
      <c r="A763">
        <v>754</v>
      </c>
      <c r="B763" t="s">
        <v>4209</v>
      </c>
      <c r="C763" t="s">
        <v>4903</v>
      </c>
      <c r="D763">
        <v>204873388</v>
      </c>
      <c r="E763" t="s">
        <v>3954</v>
      </c>
      <c r="F763" t="s">
        <v>4785</v>
      </c>
      <c r="G763">
        <v>12</v>
      </c>
      <c r="H763" t="s">
        <v>3954</v>
      </c>
      <c r="I763" t="s">
        <v>4212</v>
      </c>
      <c r="J763">
        <f t="shared" si="26"/>
        <v>315.97213999999991</v>
      </c>
      <c r="K763">
        <v>3791.6656799999992</v>
      </c>
      <c r="L763" t="s">
        <v>4934</v>
      </c>
    </row>
    <row r="764" spans="1:12" ht="50.1" customHeight="1">
      <c r="A764">
        <v>755</v>
      </c>
      <c r="B764" t="s">
        <v>4209</v>
      </c>
      <c r="C764" t="s">
        <v>4903</v>
      </c>
      <c r="D764">
        <v>204873388</v>
      </c>
      <c r="E764" t="s">
        <v>3954</v>
      </c>
      <c r="F764" t="s">
        <v>4785</v>
      </c>
      <c r="G764">
        <v>18</v>
      </c>
      <c r="H764" t="s">
        <v>3954</v>
      </c>
      <c r="I764" t="s">
        <v>4212</v>
      </c>
      <c r="J764">
        <f t="shared" si="26"/>
        <v>315.97213999999997</v>
      </c>
      <c r="K764">
        <v>5687.4985199999992</v>
      </c>
      <c r="L764" t="s">
        <v>4935</v>
      </c>
    </row>
    <row r="765" spans="1:12" ht="50.1" customHeight="1">
      <c r="A765">
        <v>756</v>
      </c>
      <c r="B765" t="s">
        <v>4209</v>
      </c>
      <c r="C765" t="s">
        <v>4903</v>
      </c>
      <c r="D765">
        <v>204873388</v>
      </c>
      <c r="E765" t="s">
        <v>3954</v>
      </c>
      <c r="F765" t="s">
        <v>4785</v>
      </c>
      <c r="G765">
        <v>18</v>
      </c>
      <c r="H765" t="s">
        <v>3954</v>
      </c>
      <c r="I765" t="s">
        <v>4212</v>
      </c>
      <c r="J765">
        <f t="shared" si="26"/>
        <v>315.97213999999997</v>
      </c>
      <c r="K765">
        <v>5687.4985199999992</v>
      </c>
      <c r="L765" t="s">
        <v>4936</v>
      </c>
    </row>
    <row r="766" spans="1:12" ht="50.1" customHeight="1">
      <c r="A766">
        <v>757</v>
      </c>
      <c r="B766" t="s">
        <v>4209</v>
      </c>
      <c r="C766" t="s">
        <v>4903</v>
      </c>
      <c r="D766">
        <v>204873388</v>
      </c>
      <c r="E766" t="s">
        <v>3954</v>
      </c>
      <c r="F766" t="s">
        <v>4785</v>
      </c>
      <c r="G766">
        <v>36</v>
      </c>
      <c r="H766" t="s">
        <v>3954</v>
      </c>
      <c r="I766" t="s">
        <v>4212</v>
      </c>
      <c r="J766">
        <f t="shared" si="26"/>
        <v>315.97213999999997</v>
      </c>
      <c r="K766">
        <v>11374.997039999998</v>
      </c>
      <c r="L766" t="s">
        <v>4937</v>
      </c>
    </row>
    <row r="767" spans="1:12" ht="50.1" customHeight="1">
      <c r="A767">
        <v>758</v>
      </c>
      <c r="B767" t="s">
        <v>4209</v>
      </c>
      <c r="C767" t="s">
        <v>4903</v>
      </c>
      <c r="D767">
        <v>204873388</v>
      </c>
      <c r="E767" t="s">
        <v>3954</v>
      </c>
      <c r="F767" t="s">
        <v>4785</v>
      </c>
      <c r="G767">
        <v>120</v>
      </c>
      <c r="H767" t="s">
        <v>3954</v>
      </c>
      <c r="I767" t="s">
        <v>4212</v>
      </c>
      <c r="J767">
        <f t="shared" si="26"/>
        <v>315.97213999999997</v>
      </c>
      <c r="K767">
        <v>37916.656799999997</v>
      </c>
      <c r="L767" t="s">
        <v>4938</v>
      </c>
    </row>
    <row r="768" spans="1:12" ht="50.1" customHeight="1">
      <c r="A768">
        <v>759</v>
      </c>
      <c r="B768" t="s">
        <v>4209</v>
      </c>
      <c r="C768" t="s">
        <v>4903</v>
      </c>
      <c r="D768">
        <v>204873388</v>
      </c>
      <c r="E768" t="s">
        <v>3954</v>
      </c>
      <c r="F768" t="s">
        <v>4785</v>
      </c>
      <c r="G768">
        <v>36</v>
      </c>
      <c r="H768" t="s">
        <v>3954</v>
      </c>
      <c r="I768" t="s">
        <v>4212</v>
      </c>
      <c r="J768">
        <f t="shared" si="26"/>
        <v>315.97213999999997</v>
      </c>
      <c r="K768">
        <v>11374.997039999998</v>
      </c>
      <c r="L768" t="s">
        <v>4939</v>
      </c>
    </row>
    <row r="769" spans="1:12" ht="50.1" customHeight="1">
      <c r="A769">
        <v>760</v>
      </c>
      <c r="B769" t="s">
        <v>4209</v>
      </c>
      <c r="C769" t="s">
        <v>4903</v>
      </c>
      <c r="D769">
        <v>204873388</v>
      </c>
      <c r="E769" t="s">
        <v>3954</v>
      </c>
      <c r="F769" t="s">
        <v>4785</v>
      </c>
      <c r="G769">
        <v>36</v>
      </c>
      <c r="H769" t="s">
        <v>3954</v>
      </c>
      <c r="I769" t="s">
        <v>4212</v>
      </c>
      <c r="J769">
        <f t="shared" si="26"/>
        <v>315.97213999999997</v>
      </c>
      <c r="K769">
        <v>11374.997039999998</v>
      </c>
      <c r="L769" t="s">
        <v>4940</v>
      </c>
    </row>
    <row r="770" spans="1:12" ht="50.1" customHeight="1">
      <c r="A770">
        <v>761</v>
      </c>
      <c r="B770" t="s">
        <v>4209</v>
      </c>
      <c r="C770" t="s">
        <v>4903</v>
      </c>
      <c r="D770">
        <v>204873388</v>
      </c>
      <c r="E770" t="s">
        <v>3954</v>
      </c>
      <c r="F770" t="s">
        <v>4785</v>
      </c>
      <c r="G770">
        <v>120</v>
      </c>
      <c r="H770" t="s">
        <v>3954</v>
      </c>
      <c r="I770" t="s">
        <v>4212</v>
      </c>
      <c r="J770">
        <f t="shared" si="26"/>
        <v>315.97213999999997</v>
      </c>
      <c r="K770">
        <v>37916.656799999997</v>
      </c>
      <c r="L770" t="s">
        <v>4941</v>
      </c>
    </row>
    <row r="771" spans="1:12" ht="50.1" customHeight="1">
      <c r="A771">
        <v>762</v>
      </c>
      <c r="B771" t="s">
        <v>4209</v>
      </c>
      <c r="C771" t="s">
        <v>4903</v>
      </c>
      <c r="D771">
        <v>204873388</v>
      </c>
      <c r="E771" t="s">
        <v>3954</v>
      </c>
      <c r="F771" t="s">
        <v>4785</v>
      </c>
      <c r="G771">
        <v>80</v>
      </c>
      <c r="H771" t="s">
        <v>3954</v>
      </c>
      <c r="I771" t="s">
        <v>4212</v>
      </c>
      <c r="J771">
        <f t="shared" si="26"/>
        <v>315.97214000000002</v>
      </c>
      <c r="K771">
        <v>25277.771200000003</v>
      </c>
      <c r="L771" t="s">
        <v>4942</v>
      </c>
    </row>
    <row r="772" spans="1:12" ht="50.1" customHeight="1">
      <c r="A772">
        <v>763</v>
      </c>
      <c r="B772" t="s">
        <v>4209</v>
      </c>
      <c r="C772" t="s">
        <v>4903</v>
      </c>
      <c r="D772">
        <v>204873388</v>
      </c>
      <c r="E772" t="s">
        <v>3954</v>
      </c>
      <c r="F772" t="s">
        <v>4785</v>
      </c>
      <c r="G772">
        <v>80</v>
      </c>
      <c r="H772" t="s">
        <v>3954</v>
      </c>
      <c r="I772" t="s">
        <v>4212</v>
      </c>
      <c r="J772">
        <f t="shared" si="26"/>
        <v>315.97214000000002</v>
      </c>
      <c r="K772">
        <v>25277.771200000003</v>
      </c>
      <c r="L772" t="s">
        <v>4943</v>
      </c>
    </row>
    <row r="773" spans="1:12" ht="50.1" customHeight="1">
      <c r="A773">
        <v>764</v>
      </c>
      <c r="B773" t="s">
        <v>4209</v>
      </c>
      <c r="C773" t="s">
        <v>4903</v>
      </c>
      <c r="D773">
        <v>204873388</v>
      </c>
      <c r="E773" t="s">
        <v>3954</v>
      </c>
      <c r="F773" t="s">
        <v>4785</v>
      </c>
      <c r="G773">
        <v>80</v>
      </c>
      <c r="H773" t="s">
        <v>3954</v>
      </c>
      <c r="I773" t="s">
        <v>4212</v>
      </c>
      <c r="J773">
        <f t="shared" si="26"/>
        <v>315.97214000000002</v>
      </c>
      <c r="K773">
        <v>25277.771200000003</v>
      </c>
      <c r="L773" t="s">
        <v>4944</v>
      </c>
    </row>
    <row r="774" spans="1:12" ht="50.1" customHeight="1">
      <c r="A774">
        <v>765</v>
      </c>
      <c r="B774" t="s">
        <v>4209</v>
      </c>
      <c r="C774" t="s">
        <v>4903</v>
      </c>
      <c r="D774">
        <v>204873388</v>
      </c>
      <c r="E774" t="s">
        <v>3954</v>
      </c>
      <c r="F774" t="s">
        <v>4785</v>
      </c>
      <c r="G774">
        <v>36</v>
      </c>
      <c r="H774" t="s">
        <v>3954</v>
      </c>
      <c r="I774" t="s">
        <v>4212</v>
      </c>
      <c r="J774">
        <f t="shared" si="26"/>
        <v>315.97213999999997</v>
      </c>
      <c r="K774">
        <v>11374.997039999998</v>
      </c>
      <c r="L774" t="s">
        <v>4945</v>
      </c>
    </row>
    <row r="775" spans="1:12" ht="50.1" customHeight="1">
      <c r="A775">
        <v>766</v>
      </c>
      <c r="B775" t="s">
        <v>4209</v>
      </c>
      <c r="C775" t="s">
        <v>4903</v>
      </c>
      <c r="D775">
        <v>204873388</v>
      </c>
      <c r="E775" t="s">
        <v>3954</v>
      </c>
      <c r="F775" t="s">
        <v>4785</v>
      </c>
      <c r="G775">
        <v>36</v>
      </c>
      <c r="H775" t="s">
        <v>3954</v>
      </c>
      <c r="I775" t="s">
        <v>4212</v>
      </c>
      <c r="J775">
        <f t="shared" si="26"/>
        <v>412.0772399999999</v>
      </c>
      <c r="K775">
        <v>14834.780639999997</v>
      </c>
      <c r="L775" t="s">
        <v>4946</v>
      </c>
    </row>
    <row r="776" spans="1:12" ht="50.1" customHeight="1">
      <c r="A776">
        <v>767</v>
      </c>
      <c r="B776" t="s">
        <v>4209</v>
      </c>
      <c r="C776" t="s">
        <v>4903</v>
      </c>
      <c r="D776">
        <v>204873388</v>
      </c>
      <c r="E776" t="s">
        <v>3954</v>
      </c>
      <c r="F776" t="s">
        <v>4785</v>
      </c>
      <c r="G776">
        <v>36</v>
      </c>
      <c r="H776" t="s">
        <v>3954</v>
      </c>
      <c r="I776" t="s">
        <v>4212</v>
      </c>
      <c r="J776">
        <f t="shared" si="26"/>
        <v>412.0772399999999</v>
      </c>
      <c r="K776">
        <v>14834.780639999997</v>
      </c>
      <c r="L776" t="s">
        <v>4947</v>
      </c>
    </row>
    <row r="777" spans="1:12" ht="50.1" customHeight="1">
      <c r="A777">
        <v>768</v>
      </c>
      <c r="B777" t="s">
        <v>4209</v>
      </c>
      <c r="C777" t="s">
        <v>4903</v>
      </c>
      <c r="D777">
        <v>204873388</v>
      </c>
      <c r="E777" t="s">
        <v>3954</v>
      </c>
      <c r="F777" t="s">
        <v>4785</v>
      </c>
      <c r="G777">
        <v>36</v>
      </c>
      <c r="H777" t="s">
        <v>3954</v>
      </c>
      <c r="I777" t="s">
        <v>4212</v>
      </c>
      <c r="J777">
        <f t="shared" si="26"/>
        <v>412.0772399999999</v>
      </c>
      <c r="K777">
        <v>14834.780639999997</v>
      </c>
      <c r="L777" t="s">
        <v>4948</v>
      </c>
    </row>
    <row r="778" spans="1:12" ht="50.1" customHeight="1">
      <c r="A778">
        <v>769</v>
      </c>
      <c r="B778" t="s">
        <v>4209</v>
      </c>
      <c r="C778" t="s">
        <v>4903</v>
      </c>
      <c r="D778">
        <v>204873388</v>
      </c>
      <c r="E778" t="s">
        <v>3954</v>
      </c>
      <c r="F778" t="s">
        <v>4785</v>
      </c>
      <c r="G778">
        <v>36</v>
      </c>
      <c r="H778" t="s">
        <v>3954</v>
      </c>
      <c r="I778" t="s">
        <v>4212</v>
      </c>
      <c r="J778">
        <f t="shared" si="26"/>
        <v>412.0772399999999</v>
      </c>
      <c r="K778">
        <v>14834.780639999997</v>
      </c>
      <c r="L778" t="s">
        <v>4949</v>
      </c>
    </row>
    <row r="779" spans="1:12" ht="50.1" customHeight="1">
      <c r="A779">
        <v>770</v>
      </c>
      <c r="B779" t="s">
        <v>4209</v>
      </c>
      <c r="C779" t="s">
        <v>4903</v>
      </c>
      <c r="D779">
        <v>204873388</v>
      </c>
      <c r="E779" t="s">
        <v>3954</v>
      </c>
      <c r="F779" t="s">
        <v>4785</v>
      </c>
      <c r="G779">
        <v>32</v>
      </c>
      <c r="H779" t="s">
        <v>3954</v>
      </c>
      <c r="I779" t="s">
        <v>4212</v>
      </c>
      <c r="J779">
        <f t="shared" si="26"/>
        <v>412.07723999999996</v>
      </c>
      <c r="K779">
        <v>13186.471679999999</v>
      </c>
      <c r="L779" t="s">
        <v>4950</v>
      </c>
    </row>
    <row r="780" spans="1:12" ht="50.1" customHeight="1">
      <c r="A780">
        <v>771</v>
      </c>
      <c r="B780" t="s">
        <v>4209</v>
      </c>
      <c r="C780" t="s">
        <v>4903</v>
      </c>
      <c r="D780">
        <v>204873388</v>
      </c>
      <c r="E780" t="s">
        <v>3954</v>
      </c>
      <c r="F780" t="s">
        <v>4951</v>
      </c>
      <c r="G780">
        <v>64</v>
      </c>
      <c r="H780" t="s">
        <v>3954</v>
      </c>
      <c r="I780" t="s">
        <v>4212</v>
      </c>
      <c r="J780">
        <f>K780/G780</f>
        <v>299.32127799999995</v>
      </c>
      <c r="K780">
        <v>19156.561791999997</v>
      </c>
      <c r="L780" t="s">
        <v>4952</v>
      </c>
    </row>
    <row r="781" spans="1:12" ht="50.1" customHeight="1">
      <c r="A781">
        <v>772</v>
      </c>
      <c r="B781" t="s">
        <v>4209</v>
      </c>
      <c r="C781" t="s">
        <v>4903</v>
      </c>
      <c r="D781">
        <v>204873388</v>
      </c>
      <c r="E781" t="s">
        <v>3954</v>
      </c>
      <c r="F781" t="s">
        <v>4951</v>
      </c>
      <c r="G781">
        <v>32</v>
      </c>
      <c r="H781" t="s">
        <v>3954</v>
      </c>
      <c r="I781" t="s">
        <v>4212</v>
      </c>
      <c r="J781">
        <f t="shared" ref="J781:J811" si="27">K781/G781</f>
        <v>299.32127799999995</v>
      </c>
      <c r="K781">
        <v>9578.2808959999984</v>
      </c>
      <c r="L781" t="s">
        <v>4953</v>
      </c>
    </row>
    <row r="782" spans="1:12" ht="50.1" customHeight="1">
      <c r="A782">
        <v>773</v>
      </c>
      <c r="B782" t="s">
        <v>4209</v>
      </c>
      <c r="C782" t="s">
        <v>4903</v>
      </c>
      <c r="D782">
        <v>204873388</v>
      </c>
      <c r="E782" t="s">
        <v>3954</v>
      </c>
      <c r="F782" t="s">
        <v>4951</v>
      </c>
      <c r="G782">
        <v>64</v>
      </c>
      <c r="H782" t="s">
        <v>3954</v>
      </c>
      <c r="I782" t="s">
        <v>4212</v>
      </c>
      <c r="J782">
        <f t="shared" si="27"/>
        <v>299.32127799999995</v>
      </c>
      <c r="K782">
        <v>19156.561791999997</v>
      </c>
      <c r="L782" t="s">
        <v>4954</v>
      </c>
    </row>
    <row r="783" spans="1:12" ht="50.1" customHeight="1">
      <c r="A783">
        <v>774</v>
      </c>
      <c r="B783" t="s">
        <v>4209</v>
      </c>
      <c r="C783" t="s">
        <v>4903</v>
      </c>
      <c r="D783">
        <v>204873388</v>
      </c>
      <c r="E783" t="s">
        <v>3954</v>
      </c>
      <c r="F783" t="s">
        <v>4951</v>
      </c>
      <c r="G783">
        <v>27</v>
      </c>
      <c r="H783" t="s">
        <v>3954</v>
      </c>
      <c r="I783" t="s">
        <v>4212</v>
      </c>
      <c r="J783">
        <f t="shared" si="27"/>
        <v>299.32127799999995</v>
      </c>
      <c r="K783">
        <v>8081.6745059999994</v>
      </c>
      <c r="L783" t="s">
        <v>4955</v>
      </c>
    </row>
    <row r="784" spans="1:12" ht="50.1" customHeight="1">
      <c r="A784">
        <v>775</v>
      </c>
      <c r="B784" t="s">
        <v>4209</v>
      </c>
      <c r="C784" t="s">
        <v>4903</v>
      </c>
      <c r="D784">
        <v>204873388</v>
      </c>
      <c r="E784" t="s">
        <v>3954</v>
      </c>
      <c r="F784" t="s">
        <v>4951</v>
      </c>
      <c r="G784">
        <v>64</v>
      </c>
      <c r="H784" t="s">
        <v>3954</v>
      </c>
      <c r="I784" t="s">
        <v>4212</v>
      </c>
      <c r="J784">
        <f t="shared" si="27"/>
        <v>299.32127799999995</v>
      </c>
      <c r="K784">
        <v>19156.561791999997</v>
      </c>
      <c r="L784" t="s">
        <v>4956</v>
      </c>
    </row>
    <row r="785" spans="1:12" ht="50.1" customHeight="1">
      <c r="A785">
        <v>776</v>
      </c>
      <c r="B785" t="s">
        <v>4209</v>
      </c>
      <c r="C785" t="s">
        <v>4903</v>
      </c>
      <c r="D785">
        <v>204873388</v>
      </c>
      <c r="E785" t="s">
        <v>3954</v>
      </c>
      <c r="F785" t="s">
        <v>4951</v>
      </c>
      <c r="G785">
        <v>32</v>
      </c>
      <c r="H785" t="s">
        <v>3954</v>
      </c>
      <c r="I785" t="s">
        <v>4212</v>
      </c>
      <c r="J785">
        <f t="shared" si="27"/>
        <v>299.32127799999995</v>
      </c>
      <c r="K785">
        <v>9578.2808959999984</v>
      </c>
      <c r="L785" t="s">
        <v>4957</v>
      </c>
    </row>
    <row r="786" spans="1:12" ht="50.1" customHeight="1">
      <c r="A786">
        <v>777</v>
      </c>
      <c r="B786" t="s">
        <v>4209</v>
      </c>
      <c r="C786" t="s">
        <v>4903</v>
      </c>
      <c r="D786">
        <v>204873388</v>
      </c>
      <c r="E786" t="s">
        <v>3954</v>
      </c>
      <c r="F786" t="s">
        <v>4951</v>
      </c>
      <c r="G786">
        <v>36</v>
      </c>
      <c r="H786" t="s">
        <v>3954</v>
      </c>
      <c r="I786" t="s">
        <v>4212</v>
      </c>
      <c r="J786">
        <f t="shared" si="27"/>
        <v>299.32127800000001</v>
      </c>
      <c r="K786">
        <v>10775.566008</v>
      </c>
      <c r="L786" t="s">
        <v>4958</v>
      </c>
    </row>
    <row r="787" spans="1:12" ht="50.1" customHeight="1">
      <c r="A787">
        <v>778</v>
      </c>
      <c r="B787" t="s">
        <v>4209</v>
      </c>
      <c r="C787" t="s">
        <v>4903</v>
      </c>
      <c r="D787">
        <v>204873388</v>
      </c>
      <c r="E787" t="s">
        <v>3954</v>
      </c>
      <c r="F787" t="s">
        <v>4951</v>
      </c>
      <c r="G787">
        <v>32</v>
      </c>
      <c r="H787" t="s">
        <v>3954</v>
      </c>
      <c r="I787" t="s">
        <v>4212</v>
      </c>
      <c r="J787">
        <f t="shared" si="27"/>
        <v>299.32127799999995</v>
      </c>
      <c r="K787">
        <v>9578.2808959999984</v>
      </c>
      <c r="L787" t="s">
        <v>4959</v>
      </c>
    </row>
    <row r="788" spans="1:12" ht="50.1" customHeight="1">
      <c r="A788">
        <v>779</v>
      </c>
      <c r="B788" t="s">
        <v>4209</v>
      </c>
      <c r="C788" t="s">
        <v>4903</v>
      </c>
      <c r="D788">
        <v>204873388</v>
      </c>
      <c r="E788" t="s">
        <v>3954</v>
      </c>
      <c r="F788" t="s">
        <v>4951</v>
      </c>
      <c r="G788">
        <v>72</v>
      </c>
      <c r="H788" t="s">
        <v>3954</v>
      </c>
      <c r="I788" t="s">
        <v>4212</v>
      </c>
      <c r="J788">
        <f t="shared" si="27"/>
        <v>299.32127800000001</v>
      </c>
      <c r="K788">
        <v>21551.132016</v>
      </c>
      <c r="L788" t="s">
        <v>4960</v>
      </c>
    </row>
    <row r="789" spans="1:12" ht="50.1" customHeight="1">
      <c r="A789">
        <v>780</v>
      </c>
      <c r="B789" t="s">
        <v>4209</v>
      </c>
      <c r="C789" t="s">
        <v>4903</v>
      </c>
      <c r="D789">
        <v>204873388</v>
      </c>
      <c r="E789" t="s">
        <v>3954</v>
      </c>
      <c r="F789" t="s">
        <v>4951</v>
      </c>
      <c r="G789">
        <v>36</v>
      </c>
      <c r="H789" t="s">
        <v>3954</v>
      </c>
      <c r="I789" t="s">
        <v>4212</v>
      </c>
      <c r="J789">
        <f t="shared" si="27"/>
        <v>231.23675299999999</v>
      </c>
      <c r="K789">
        <v>8324.5231079999994</v>
      </c>
      <c r="L789" t="s">
        <v>4961</v>
      </c>
    </row>
    <row r="790" spans="1:12" ht="50.1" customHeight="1">
      <c r="A790">
        <v>781</v>
      </c>
      <c r="B790" t="s">
        <v>4209</v>
      </c>
      <c r="C790" t="s">
        <v>4903</v>
      </c>
      <c r="D790">
        <v>204873388</v>
      </c>
      <c r="E790" t="s">
        <v>3954</v>
      </c>
      <c r="F790" t="s">
        <v>4951</v>
      </c>
      <c r="G790">
        <v>36</v>
      </c>
      <c r="H790" t="s">
        <v>3954</v>
      </c>
      <c r="I790" t="s">
        <v>4212</v>
      </c>
      <c r="J790">
        <f t="shared" si="27"/>
        <v>231.23675299999999</v>
      </c>
      <c r="K790">
        <v>8324.5231079999994</v>
      </c>
      <c r="L790" t="s">
        <v>4962</v>
      </c>
    </row>
    <row r="791" spans="1:12" ht="50.1" customHeight="1">
      <c r="A791">
        <v>782</v>
      </c>
      <c r="B791" t="s">
        <v>4209</v>
      </c>
      <c r="C791" t="s">
        <v>4903</v>
      </c>
      <c r="D791">
        <v>204873388</v>
      </c>
      <c r="E791" t="s">
        <v>3954</v>
      </c>
      <c r="F791" t="s">
        <v>4951</v>
      </c>
      <c r="G791">
        <v>36</v>
      </c>
      <c r="H791" t="s">
        <v>3954</v>
      </c>
      <c r="I791" t="s">
        <v>4212</v>
      </c>
      <c r="J791">
        <f t="shared" si="27"/>
        <v>231.23675299999999</v>
      </c>
      <c r="K791">
        <v>8324.5231079999994</v>
      </c>
      <c r="L791" t="s">
        <v>4963</v>
      </c>
    </row>
    <row r="792" spans="1:12" ht="50.1" customHeight="1">
      <c r="A792">
        <v>783</v>
      </c>
      <c r="B792" t="s">
        <v>4209</v>
      </c>
      <c r="C792" t="s">
        <v>4903</v>
      </c>
      <c r="D792">
        <v>204873388</v>
      </c>
      <c r="E792" t="s">
        <v>3954</v>
      </c>
      <c r="F792" t="s">
        <v>4951</v>
      </c>
      <c r="G792">
        <v>36</v>
      </c>
      <c r="H792" t="s">
        <v>3954</v>
      </c>
      <c r="I792" t="s">
        <v>4212</v>
      </c>
      <c r="J792">
        <f t="shared" si="27"/>
        <v>231.23675299999999</v>
      </c>
      <c r="K792">
        <v>8324.5231079999994</v>
      </c>
      <c r="L792" t="s">
        <v>4964</v>
      </c>
    </row>
    <row r="793" spans="1:12" ht="50.1" customHeight="1">
      <c r="A793">
        <v>784</v>
      </c>
      <c r="B793" t="s">
        <v>4209</v>
      </c>
      <c r="C793" t="s">
        <v>4903</v>
      </c>
      <c r="D793">
        <v>204873388</v>
      </c>
      <c r="E793" t="s">
        <v>3954</v>
      </c>
      <c r="F793" t="s">
        <v>4951</v>
      </c>
      <c r="G793">
        <v>36</v>
      </c>
      <c r="H793" t="s">
        <v>3954</v>
      </c>
      <c r="I793" t="s">
        <v>4212</v>
      </c>
      <c r="J793">
        <f t="shared" si="27"/>
        <v>231.23675299999999</v>
      </c>
      <c r="K793">
        <v>8324.5231079999994</v>
      </c>
      <c r="L793" t="s">
        <v>4965</v>
      </c>
    </row>
    <row r="794" spans="1:12" ht="50.1" customHeight="1">
      <c r="A794">
        <v>785</v>
      </c>
      <c r="B794" t="s">
        <v>4209</v>
      </c>
      <c r="C794" t="s">
        <v>4903</v>
      </c>
      <c r="D794">
        <v>204873388</v>
      </c>
      <c r="E794" t="s">
        <v>3954</v>
      </c>
      <c r="F794" t="s">
        <v>4951</v>
      </c>
      <c r="G794">
        <v>18</v>
      </c>
      <c r="H794" t="s">
        <v>3954</v>
      </c>
      <c r="I794" t="s">
        <v>4212</v>
      </c>
      <c r="J794">
        <f t="shared" si="27"/>
        <v>231.23675299999999</v>
      </c>
      <c r="K794">
        <v>4162.2615539999997</v>
      </c>
      <c r="L794" t="s">
        <v>4966</v>
      </c>
    </row>
    <row r="795" spans="1:12" ht="50.1" customHeight="1">
      <c r="A795">
        <v>786</v>
      </c>
      <c r="B795" t="s">
        <v>4209</v>
      </c>
      <c r="C795" t="s">
        <v>4903</v>
      </c>
      <c r="D795">
        <v>204873388</v>
      </c>
      <c r="E795" t="s">
        <v>3954</v>
      </c>
      <c r="F795" t="s">
        <v>4951</v>
      </c>
      <c r="G795">
        <v>36</v>
      </c>
      <c r="H795" t="s">
        <v>3954</v>
      </c>
      <c r="I795" t="s">
        <v>4212</v>
      </c>
      <c r="J795">
        <f t="shared" si="27"/>
        <v>231.23675299999999</v>
      </c>
      <c r="K795">
        <v>8324.5231079999994</v>
      </c>
      <c r="L795" t="s">
        <v>4967</v>
      </c>
    </row>
    <row r="796" spans="1:12" ht="50.1" customHeight="1">
      <c r="A796">
        <v>787</v>
      </c>
      <c r="B796" t="s">
        <v>4209</v>
      </c>
      <c r="C796" t="s">
        <v>4903</v>
      </c>
      <c r="D796">
        <v>204873388</v>
      </c>
      <c r="E796" t="s">
        <v>3954</v>
      </c>
      <c r="F796" t="s">
        <v>4951</v>
      </c>
      <c r="G796">
        <v>18</v>
      </c>
      <c r="H796" t="s">
        <v>3954</v>
      </c>
      <c r="I796" t="s">
        <v>4212</v>
      </c>
      <c r="J796">
        <f t="shared" si="27"/>
        <v>231.23675299999999</v>
      </c>
      <c r="K796">
        <v>4162.2615539999997</v>
      </c>
      <c r="L796" t="s">
        <v>4968</v>
      </c>
    </row>
    <row r="797" spans="1:12" ht="50.1" customHeight="1">
      <c r="A797">
        <v>788</v>
      </c>
      <c r="B797" t="s">
        <v>4209</v>
      </c>
      <c r="C797" t="s">
        <v>4903</v>
      </c>
      <c r="D797">
        <v>204873388</v>
      </c>
      <c r="E797" t="s">
        <v>3954</v>
      </c>
      <c r="F797" t="s">
        <v>4951</v>
      </c>
      <c r="G797">
        <v>24</v>
      </c>
      <c r="H797" t="s">
        <v>3954</v>
      </c>
      <c r="I797" t="s">
        <v>4212</v>
      </c>
      <c r="J797">
        <f t="shared" si="27"/>
        <v>231.23675299999999</v>
      </c>
      <c r="K797">
        <v>5549.6820719999996</v>
      </c>
      <c r="L797" t="s">
        <v>4969</v>
      </c>
    </row>
    <row r="798" spans="1:12" ht="50.1" customHeight="1">
      <c r="A798">
        <v>789</v>
      </c>
      <c r="B798" t="s">
        <v>4209</v>
      </c>
      <c r="C798" t="s">
        <v>4903</v>
      </c>
      <c r="D798">
        <v>204873388</v>
      </c>
      <c r="E798" t="s">
        <v>3954</v>
      </c>
      <c r="F798" t="s">
        <v>4951</v>
      </c>
      <c r="G798">
        <v>36</v>
      </c>
      <c r="H798" t="s">
        <v>3954</v>
      </c>
      <c r="I798" t="s">
        <v>4212</v>
      </c>
      <c r="J798">
        <f t="shared" si="27"/>
        <v>231.23675299999999</v>
      </c>
      <c r="K798">
        <v>8324.5231079999994</v>
      </c>
      <c r="L798" t="s">
        <v>4970</v>
      </c>
    </row>
    <row r="799" spans="1:12" ht="50.1" customHeight="1">
      <c r="A799">
        <v>790</v>
      </c>
      <c r="B799" t="s">
        <v>4209</v>
      </c>
      <c r="C799" t="s">
        <v>4903</v>
      </c>
      <c r="D799">
        <v>204873388</v>
      </c>
      <c r="E799" t="s">
        <v>3954</v>
      </c>
      <c r="F799" t="s">
        <v>4951</v>
      </c>
      <c r="G799">
        <v>36</v>
      </c>
      <c r="H799" t="s">
        <v>3954</v>
      </c>
      <c r="I799" t="s">
        <v>4212</v>
      </c>
      <c r="J799">
        <f t="shared" si="27"/>
        <v>231.23675299999999</v>
      </c>
      <c r="K799">
        <v>8324.5231079999994</v>
      </c>
      <c r="L799" t="s">
        <v>4971</v>
      </c>
    </row>
    <row r="800" spans="1:12" ht="50.1" customHeight="1">
      <c r="A800">
        <v>791</v>
      </c>
      <c r="B800" t="s">
        <v>4209</v>
      </c>
      <c r="C800" t="s">
        <v>4903</v>
      </c>
      <c r="D800">
        <v>204873388</v>
      </c>
      <c r="E800" t="s">
        <v>3954</v>
      </c>
      <c r="F800" t="s">
        <v>4951</v>
      </c>
      <c r="G800">
        <v>36</v>
      </c>
      <c r="H800" t="s">
        <v>3954</v>
      </c>
      <c r="I800" t="s">
        <v>4212</v>
      </c>
      <c r="J800">
        <f t="shared" si="27"/>
        <v>231.23675299999999</v>
      </c>
      <c r="K800">
        <v>8324.5231079999994</v>
      </c>
      <c r="L800" t="s">
        <v>4972</v>
      </c>
    </row>
    <row r="801" spans="1:12" ht="50.1" customHeight="1">
      <c r="A801">
        <v>792</v>
      </c>
      <c r="B801" t="s">
        <v>4209</v>
      </c>
      <c r="C801" t="s">
        <v>4903</v>
      </c>
      <c r="D801">
        <v>204873388</v>
      </c>
      <c r="E801" t="s">
        <v>3954</v>
      </c>
      <c r="F801" t="s">
        <v>4951</v>
      </c>
      <c r="G801">
        <v>36</v>
      </c>
      <c r="H801" t="s">
        <v>3954</v>
      </c>
      <c r="I801" t="s">
        <v>4212</v>
      </c>
      <c r="J801">
        <f t="shared" si="27"/>
        <v>231.23675299999999</v>
      </c>
      <c r="K801">
        <v>8324.5231079999994</v>
      </c>
      <c r="L801" t="s">
        <v>4973</v>
      </c>
    </row>
    <row r="802" spans="1:12" ht="50.1" customHeight="1">
      <c r="A802">
        <v>793</v>
      </c>
      <c r="B802" t="s">
        <v>4209</v>
      </c>
      <c r="C802" t="s">
        <v>4903</v>
      </c>
      <c r="D802">
        <v>204873388</v>
      </c>
      <c r="E802" t="s">
        <v>3954</v>
      </c>
      <c r="F802" t="s">
        <v>4951</v>
      </c>
      <c r="G802">
        <v>36</v>
      </c>
      <c r="H802" t="s">
        <v>3954</v>
      </c>
      <c r="I802" t="s">
        <v>4212</v>
      </c>
      <c r="J802">
        <f t="shared" si="27"/>
        <v>299.32127800000001</v>
      </c>
      <c r="K802">
        <v>10775.566008</v>
      </c>
      <c r="L802" t="s">
        <v>4974</v>
      </c>
    </row>
    <row r="803" spans="1:12" ht="50.1" customHeight="1">
      <c r="A803">
        <v>794</v>
      </c>
      <c r="B803" t="s">
        <v>4209</v>
      </c>
      <c r="C803" t="s">
        <v>4903</v>
      </c>
      <c r="D803">
        <v>204873388</v>
      </c>
      <c r="E803" t="s">
        <v>3954</v>
      </c>
      <c r="F803" t="s">
        <v>4951</v>
      </c>
      <c r="G803">
        <v>18</v>
      </c>
      <c r="H803" t="s">
        <v>3954</v>
      </c>
      <c r="I803" t="s">
        <v>4212</v>
      </c>
      <c r="J803">
        <f t="shared" si="27"/>
        <v>231.23675299999999</v>
      </c>
      <c r="K803">
        <v>4162.2615539999997</v>
      </c>
      <c r="L803" t="s">
        <v>4975</v>
      </c>
    </row>
    <row r="804" spans="1:12" ht="50.1" customHeight="1">
      <c r="A804">
        <v>795</v>
      </c>
      <c r="B804" t="s">
        <v>4209</v>
      </c>
      <c r="C804" t="s">
        <v>4903</v>
      </c>
      <c r="D804">
        <v>204873388</v>
      </c>
      <c r="E804" t="s">
        <v>3954</v>
      </c>
      <c r="F804" t="s">
        <v>4951</v>
      </c>
      <c r="G804">
        <v>36</v>
      </c>
      <c r="H804" t="s">
        <v>3954</v>
      </c>
      <c r="I804" t="s">
        <v>4212</v>
      </c>
      <c r="J804">
        <f t="shared" si="27"/>
        <v>231.23675299999999</v>
      </c>
      <c r="K804">
        <v>8324.5231079999994</v>
      </c>
      <c r="L804" t="s">
        <v>4976</v>
      </c>
    </row>
    <row r="805" spans="1:12" ht="50.1" customHeight="1">
      <c r="A805">
        <v>796</v>
      </c>
      <c r="B805" t="s">
        <v>4209</v>
      </c>
      <c r="C805" t="s">
        <v>4903</v>
      </c>
      <c r="D805">
        <v>204873388</v>
      </c>
      <c r="E805" t="s">
        <v>3954</v>
      </c>
      <c r="F805" t="s">
        <v>4951</v>
      </c>
      <c r="G805">
        <v>36</v>
      </c>
      <c r="H805" t="s">
        <v>3954</v>
      </c>
      <c r="I805" t="s">
        <v>4212</v>
      </c>
      <c r="J805">
        <f t="shared" si="27"/>
        <v>231.23675299999999</v>
      </c>
      <c r="K805">
        <v>8324.5231079999994</v>
      </c>
      <c r="L805" t="s">
        <v>4973</v>
      </c>
    </row>
    <row r="806" spans="1:12" ht="50.1" customHeight="1">
      <c r="A806">
        <v>797</v>
      </c>
      <c r="B806" t="s">
        <v>4209</v>
      </c>
      <c r="C806" t="s">
        <v>4903</v>
      </c>
      <c r="D806">
        <v>204873388</v>
      </c>
      <c r="E806" t="s">
        <v>3954</v>
      </c>
      <c r="F806" t="s">
        <v>4951</v>
      </c>
      <c r="G806">
        <v>36</v>
      </c>
      <c r="H806" t="s">
        <v>3954</v>
      </c>
      <c r="I806" t="s">
        <v>4212</v>
      </c>
      <c r="J806">
        <f t="shared" si="27"/>
        <v>231.23675299999999</v>
      </c>
      <c r="K806">
        <v>8324.5231079999994</v>
      </c>
      <c r="L806" t="s">
        <v>4977</v>
      </c>
    </row>
    <row r="807" spans="1:12" ht="50.1" customHeight="1">
      <c r="A807">
        <v>798</v>
      </c>
      <c r="B807" t="s">
        <v>4209</v>
      </c>
      <c r="C807" t="s">
        <v>4903</v>
      </c>
      <c r="D807">
        <v>204873388</v>
      </c>
      <c r="E807" t="s">
        <v>3954</v>
      </c>
      <c r="F807" t="s">
        <v>4951</v>
      </c>
      <c r="G807">
        <v>36</v>
      </c>
      <c r="H807" t="s">
        <v>3954</v>
      </c>
      <c r="I807" t="s">
        <v>4212</v>
      </c>
      <c r="J807">
        <f t="shared" si="27"/>
        <v>231.23675299999999</v>
      </c>
      <c r="K807">
        <v>8324.5231079999994</v>
      </c>
      <c r="L807" t="s">
        <v>4978</v>
      </c>
    </row>
    <row r="808" spans="1:12" ht="50.1" customHeight="1">
      <c r="A808">
        <v>799</v>
      </c>
      <c r="B808" t="s">
        <v>4209</v>
      </c>
      <c r="C808" t="s">
        <v>4903</v>
      </c>
      <c r="D808">
        <v>204873388</v>
      </c>
      <c r="E808" t="s">
        <v>3954</v>
      </c>
      <c r="F808" t="s">
        <v>4951</v>
      </c>
      <c r="G808">
        <v>32</v>
      </c>
      <c r="H808" t="s">
        <v>3954</v>
      </c>
      <c r="I808" t="s">
        <v>4212</v>
      </c>
      <c r="J808">
        <f t="shared" si="27"/>
        <v>231.23675300000002</v>
      </c>
      <c r="K808">
        <v>7399.5760960000007</v>
      </c>
      <c r="L808" t="s">
        <v>4979</v>
      </c>
    </row>
    <row r="809" spans="1:12" ht="50.1" customHeight="1">
      <c r="A809">
        <v>800</v>
      </c>
      <c r="B809" t="s">
        <v>4209</v>
      </c>
      <c r="C809" t="s">
        <v>4903</v>
      </c>
      <c r="D809">
        <v>204873388</v>
      </c>
      <c r="E809" t="s">
        <v>3954</v>
      </c>
      <c r="F809" t="s">
        <v>4951</v>
      </c>
      <c r="G809">
        <v>32</v>
      </c>
      <c r="H809" t="s">
        <v>3954</v>
      </c>
      <c r="I809" t="s">
        <v>4212</v>
      </c>
      <c r="J809">
        <f t="shared" si="27"/>
        <v>231.23675300000002</v>
      </c>
      <c r="K809">
        <v>7399.5760960000007</v>
      </c>
      <c r="L809" t="s">
        <v>4980</v>
      </c>
    </row>
    <row r="810" spans="1:12" ht="50.1" customHeight="1">
      <c r="A810">
        <v>801</v>
      </c>
      <c r="B810" t="s">
        <v>4209</v>
      </c>
      <c r="C810" t="s">
        <v>4903</v>
      </c>
      <c r="D810">
        <v>204873388</v>
      </c>
      <c r="E810" t="s">
        <v>3954</v>
      </c>
      <c r="F810" t="s">
        <v>4951</v>
      </c>
      <c r="G810">
        <v>43.064999999999998</v>
      </c>
      <c r="H810" t="s">
        <v>3954</v>
      </c>
      <c r="I810" t="s">
        <v>4212</v>
      </c>
      <c r="J810">
        <f t="shared" si="27"/>
        <v>299.32127799999995</v>
      </c>
      <c r="K810">
        <v>12890.270837069998</v>
      </c>
      <c r="L810" t="s">
        <v>4981</v>
      </c>
    </row>
    <row r="811" spans="1:12" ht="50.1" customHeight="1">
      <c r="A811">
        <v>802</v>
      </c>
      <c r="B811" t="s">
        <v>4209</v>
      </c>
      <c r="C811" t="s">
        <v>4903</v>
      </c>
      <c r="D811">
        <v>204873388</v>
      </c>
      <c r="E811" t="s">
        <v>3954</v>
      </c>
      <c r="F811" t="s">
        <v>4951</v>
      </c>
      <c r="G811">
        <v>36</v>
      </c>
      <c r="H811" t="s">
        <v>3954</v>
      </c>
      <c r="I811" t="s">
        <v>4212</v>
      </c>
      <c r="J811">
        <f t="shared" si="27"/>
        <v>231.23675299999999</v>
      </c>
      <c r="K811">
        <v>8324.5231079999994</v>
      </c>
      <c r="L811" t="s">
        <v>4982</v>
      </c>
    </row>
    <row r="812" spans="1:12" ht="50.1" customHeight="1">
      <c r="A812">
        <v>803</v>
      </c>
      <c r="B812" t="s">
        <v>4209</v>
      </c>
      <c r="C812" t="s">
        <v>4903</v>
      </c>
      <c r="D812">
        <v>204873388</v>
      </c>
      <c r="E812" t="s">
        <v>3954</v>
      </c>
      <c r="F812" t="s">
        <v>4899</v>
      </c>
      <c r="G812">
        <v>36</v>
      </c>
      <c r="H812" t="s">
        <v>3954</v>
      </c>
      <c r="I812" t="s">
        <v>4212</v>
      </c>
      <c r="J812">
        <f>K812/G812</f>
        <v>192.10635999999997</v>
      </c>
      <c r="K812">
        <v>6915.8289599999989</v>
      </c>
      <c r="L812" t="s">
        <v>4983</v>
      </c>
    </row>
    <row r="813" spans="1:12" ht="50.1" customHeight="1">
      <c r="A813">
        <v>804</v>
      </c>
      <c r="B813" t="s">
        <v>4209</v>
      </c>
      <c r="C813" t="s">
        <v>4903</v>
      </c>
      <c r="D813">
        <v>204873388</v>
      </c>
      <c r="E813" t="s">
        <v>3954</v>
      </c>
      <c r="F813" t="s">
        <v>4899</v>
      </c>
      <c r="G813">
        <v>36</v>
      </c>
      <c r="H813" t="s">
        <v>3954</v>
      </c>
      <c r="I813" t="s">
        <v>4212</v>
      </c>
      <c r="J813">
        <f t="shared" ref="J813:J843" si="28">K813/G813</f>
        <v>192.10635999999997</v>
      </c>
      <c r="K813">
        <v>6915.8289599999989</v>
      </c>
      <c r="L813" t="s">
        <v>4984</v>
      </c>
    </row>
    <row r="814" spans="1:12" ht="50.1" customHeight="1">
      <c r="A814">
        <v>805</v>
      </c>
      <c r="B814" t="s">
        <v>4209</v>
      </c>
      <c r="C814" t="s">
        <v>4903</v>
      </c>
      <c r="D814">
        <v>204873388</v>
      </c>
      <c r="E814" t="s">
        <v>3954</v>
      </c>
      <c r="F814" t="s">
        <v>4899</v>
      </c>
      <c r="G814">
        <v>18</v>
      </c>
      <c r="H814" t="s">
        <v>3954</v>
      </c>
      <c r="I814" t="s">
        <v>4212</v>
      </c>
      <c r="J814">
        <f t="shared" si="28"/>
        <v>192.10635999999997</v>
      </c>
      <c r="K814">
        <v>3457.9144799999995</v>
      </c>
      <c r="L814" t="s">
        <v>4985</v>
      </c>
    </row>
    <row r="815" spans="1:12" ht="50.1" customHeight="1">
      <c r="A815">
        <v>806</v>
      </c>
      <c r="B815" t="s">
        <v>4209</v>
      </c>
      <c r="C815" t="s">
        <v>4903</v>
      </c>
      <c r="D815">
        <v>204873388</v>
      </c>
      <c r="E815" t="s">
        <v>3954</v>
      </c>
      <c r="F815" t="s">
        <v>4899</v>
      </c>
      <c r="G815">
        <v>36</v>
      </c>
      <c r="H815" t="s">
        <v>3954</v>
      </c>
      <c r="I815" t="s">
        <v>4212</v>
      </c>
      <c r="J815">
        <f t="shared" si="28"/>
        <v>192.10635999999997</v>
      </c>
      <c r="K815">
        <v>6915.8289599999989</v>
      </c>
      <c r="L815" t="s">
        <v>4986</v>
      </c>
    </row>
    <row r="816" spans="1:12" ht="50.1" customHeight="1">
      <c r="A816">
        <v>807</v>
      </c>
      <c r="B816" t="s">
        <v>4209</v>
      </c>
      <c r="C816" t="s">
        <v>4903</v>
      </c>
      <c r="D816">
        <v>204873388</v>
      </c>
      <c r="E816" t="s">
        <v>3954</v>
      </c>
      <c r="F816" t="s">
        <v>4899</v>
      </c>
      <c r="G816">
        <v>36</v>
      </c>
      <c r="H816" t="s">
        <v>3954</v>
      </c>
      <c r="I816" t="s">
        <v>4212</v>
      </c>
      <c r="J816">
        <f t="shared" si="28"/>
        <v>192.10635999999997</v>
      </c>
      <c r="K816">
        <v>6915.8289599999989</v>
      </c>
      <c r="L816" t="s">
        <v>4987</v>
      </c>
    </row>
    <row r="817" spans="1:12" ht="50.1" customHeight="1">
      <c r="A817">
        <v>808</v>
      </c>
      <c r="B817" t="s">
        <v>4209</v>
      </c>
      <c r="C817" t="s">
        <v>4903</v>
      </c>
      <c r="D817">
        <v>204873388</v>
      </c>
      <c r="E817" t="s">
        <v>3954</v>
      </c>
      <c r="F817" t="s">
        <v>4899</v>
      </c>
      <c r="G817">
        <v>36</v>
      </c>
      <c r="H817" t="s">
        <v>3954</v>
      </c>
      <c r="I817" t="s">
        <v>4212</v>
      </c>
      <c r="J817">
        <f t="shared" si="28"/>
        <v>192.10635999999997</v>
      </c>
      <c r="K817">
        <v>6915.8289599999989</v>
      </c>
      <c r="L817" t="s">
        <v>4988</v>
      </c>
    </row>
    <row r="818" spans="1:12" ht="50.1" customHeight="1">
      <c r="A818">
        <v>809</v>
      </c>
      <c r="B818" t="s">
        <v>4209</v>
      </c>
      <c r="C818" t="s">
        <v>4903</v>
      </c>
      <c r="D818">
        <v>204873388</v>
      </c>
      <c r="E818" t="s">
        <v>3954</v>
      </c>
      <c r="F818" t="s">
        <v>4899</v>
      </c>
      <c r="G818">
        <v>18</v>
      </c>
      <c r="H818" t="s">
        <v>3954</v>
      </c>
      <c r="I818" t="s">
        <v>4212</v>
      </c>
      <c r="J818">
        <f t="shared" si="28"/>
        <v>192.10635999999997</v>
      </c>
      <c r="K818">
        <v>3457.9144799999995</v>
      </c>
      <c r="L818" t="s">
        <v>4989</v>
      </c>
    </row>
    <row r="819" spans="1:12" ht="50.1" customHeight="1">
      <c r="A819">
        <v>810</v>
      </c>
      <c r="B819" t="s">
        <v>4209</v>
      </c>
      <c r="C819" t="s">
        <v>4903</v>
      </c>
      <c r="D819">
        <v>204873388</v>
      </c>
      <c r="E819" t="s">
        <v>3954</v>
      </c>
      <c r="F819" t="s">
        <v>4899</v>
      </c>
      <c r="G819">
        <v>36</v>
      </c>
      <c r="H819" t="s">
        <v>3954</v>
      </c>
      <c r="I819" t="s">
        <v>4212</v>
      </c>
      <c r="J819">
        <f t="shared" si="28"/>
        <v>192.10635999999997</v>
      </c>
      <c r="K819">
        <v>6915.8289599999989</v>
      </c>
      <c r="L819" t="s">
        <v>4990</v>
      </c>
    </row>
    <row r="820" spans="1:12" ht="50.1" customHeight="1">
      <c r="A820">
        <v>811</v>
      </c>
      <c r="B820" t="s">
        <v>4209</v>
      </c>
      <c r="C820" t="s">
        <v>4903</v>
      </c>
      <c r="D820">
        <v>204873388</v>
      </c>
      <c r="E820" t="s">
        <v>3954</v>
      </c>
      <c r="F820" t="s">
        <v>4899</v>
      </c>
      <c r="G820">
        <v>18</v>
      </c>
      <c r="H820" t="s">
        <v>3954</v>
      </c>
      <c r="I820" t="s">
        <v>4212</v>
      </c>
      <c r="J820">
        <f t="shared" si="28"/>
        <v>192.10635999999997</v>
      </c>
      <c r="K820">
        <v>3457.9144799999995</v>
      </c>
      <c r="L820" t="s">
        <v>4991</v>
      </c>
    </row>
    <row r="821" spans="1:12" ht="50.1" customHeight="1">
      <c r="A821">
        <v>812</v>
      </c>
      <c r="B821" t="s">
        <v>4209</v>
      </c>
      <c r="C821" t="s">
        <v>4903</v>
      </c>
      <c r="D821">
        <v>204873388</v>
      </c>
      <c r="E821" t="s">
        <v>3954</v>
      </c>
      <c r="F821" t="s">
        <v>4899</v>
      </c>
      <c r="G821">
        <v>36</v>
      </c>
      <c r="H821" t="s">
        <v>3954</v>
      </c>
      <c r="I821" t="s">
        <v>4212</v>
      </c>
      <c r="J821">
        <f t="shared" si="28"/>
        <v>192.10635999999997</v>
      </c>
      <c r="K821">
        <v>6915.8289599999989</v>
      </c>
      <c r="L821" t="s">
        <v>4992</v>
      </c>
    </row>
    <row r="822" spans="1:12" ht="50.1" customHeight="1">
      <c r="A822">
        <v>813</v>
      </c>
      <c r="B822" t="s">
        <v>4209</v>
      </c>
      <c r="C822" t="s">
        <v>4903</v>
      </c>
      <c r="D822">
        <v>204873388</v>
      </c>
      <c r="E822" t="s">
        <v>3954</v>
      </c>
      <c r="F822" t="s">
        <v>4899</v>
      </c>
      <c r="G822">
        <v>18</v>
      </c>
      <c r="H822" t="s">
        <v>3954</v>
      </c>
      <c r="I822" t="s">
        <v>4212</v>
      </c>
      <c r="J822">
        <f t="shared" si="28"/>
        <v>192.10635999999997</v>
      </c>
      <c r="K822">
        <v>3457.9144799999995</v>
      </c>
      <c r="L822" t="s">
        <v>4993</v>
      </c>
    </row>
    <row r="823" spans="1:12" ht="50.1" customHeight="1">
      <c r="A823">
        <v>814</v>
      </c>
      <c r="B823" t="s">
        <v>4209</v>
      </c>
      <c r="C823" t="s">
        <v>4903</v>
      </c>
      <c r="D823">
        <v>204873388</v>
      </c>
      <c r="E823" t="s">
        <v>3954</v>
      </c>
      <c r="F823" t="s">
        <v>4899</v>
      </c>
      <c r="G823">
        <v>18</v>
      </c>
      <c r="H823" t="s">
        <v>3954</v>
      </c>
      <c r="I823" t="s">
        <v>4212</v>
      </c>
      <c r="J823">
        <f t="shared" si="28"/>
        <v>192.10635999999997</v>
      </c>
      <c r="K823">
        <v>3457.9144799999995</v>
      </c>
      <c r="L823" t="s">
        <v>4994</v>
      </c>
    </row>
    <row r="824" spans="1:12" ht="50.1" customHeight="1">
      <c r="A824">
        <v>815</v>
      </c>
      <c r="B824" t="s">
        <v>4209</v>
      </c>
      <c r="C824" t="s">
        <v>4903</v>
      </c>
      <c r="D824">
        <v>204873388</v>
      </c>
      <c r="E824" t="s">
        <v>3954</v>
      </c>
      <c r="F824" t="s">
        <v>4899</v>
      </c>
      <c r="G824">
        <v>36</v>
      </c>
      <c r="H824" t="s">
        <v>3954</v>
      </c>
      <c r="I824" t="s">
        <v>4212</v>
      </c>
      <c r="J824">
        <f t="shared" si="28"/>
        <v>192.10635999999997</v>
      </c>
      <c r="K824">
        <v>6915.8289599999989</v>
      </c>
      <c r="L824" t="s">
        <v>4995</v>
      </c>
    </row>
    <row r="825" spans="1:12" ht="50.1" customHeight="1">
      <c r="A825">
        <v>816</v>
      </c>
      <c r="B825" t="s">
        <v>4209</v>
      </c>
      <c r="C825" t="s">
        <v>4903</v>
      </c>
      <c r="D825">
        <v>204873388</v>
      </c>
      <c r="E825" t="s">
        <v>3954</v>
      </c>
      <c r="F825" t="s">
        <v>4899</v>
      </c>
      <c r="G825">
        <v>36</v>
      </c>
      <c r="H825" t="s">
        <v>3954</v>
      </c>
      <c r="I825" t="s">
        <v>4212</v>
      </c>
      <c r="J825">
        <f t="shared" si="28"/>
        <v>192.10635999999997</v>
      </c>
      <c r="K825">
        <v>6915.8289599999989</v>
      </c>
      <c r="L825" t="s">
        <v>4996</v>
      </c>
    </row>
    <row r="826" spans="1:12" ht="50.1" customHeight="1">
      <c r="A826">
        <v>817</v>
      </c>
      <c r="B826" t="s">
        <v>4209</v>
      </c>
      <c r="C826" t="s">
        <v>4903</v>
      </c>
      <c r="D826">
        <v>204873388</v>
      </c>
      <c r="E826" t="s">
        <v>3954</v>
      </c>
      <c r="F826" t="s">
        <v>4899</v>
      </c>
      <c r="G826">
        <v>36</v>
      </c>
      <c r="H826" t="s">
        <v>3954</v>
      </c>
      <c r="I826" t="s">
        <v>4212</v>
      </c>
      <c r="J826">
        <f t="shared" si="28"/>
        <v>192.10635999999997</v>
      </c>
      <c r="K826">
        <v>6915.8289599999989</v>
      </c>
      <c r="L826" t="s">
        <v>4997</v>
      </c>
    </row>
    <row r="827" spans="1:12" ht="50.1" customHeight="1">
      <c r="A827">
        <v>818</v>
      </c>
      <c r="B827" t="s">
        <v>4209</v>
      </c>
      <c r="C827" t="s">
        <v>4903</v>
      </c>
      <c r="D827">
        <v>204873388</v>
      </c>
      <c r="E827" t="s">
        <v>3954</v>
      </c>
      <c r="F827" t="s">
        <v>4899</v>
      </c>
      <c r="G827">
        <v>36</v>
      </c>
      <c r="H827" t="s">
        <v>3954</v>
      </c>
      <c r="I827" t="s">
        <v>4212</v>
      </c>
      <c r="J827">
        <f t="shared" si="28"/>
        <v>192.10635999999997</v>
      </c>
      <c r="K827">
        <v>6915.8289599999989</v>
      </c>
      <c r="L827" t="s">
        <v>4998</v>
      </c>
    </row>
    <row r="828" spans="1:12" ht="50.1" customHeight="1">
      <c r="A828">
        <v>819</v>
      </c>
      <c r="B828" t="s">
        <v>4209</v>
      </c>
      <c r="C828" t="s">
        <v>4903</v>
      </c>
      <c r="D828">
        <v>204873388</v>
      </c>
      <c r="E828" t="s">
        <v>3954</v>
      </c>
      <c r="F828" t="s">
        <v>4899</v>
      </c>
      <c r="G828">
        <v>54</v>
      </c>
      <c r="H828" t="s">
        <v>3954</v>
      </c>
      <c r="I828" t="s">
        <v>4212</v>
      </c>
      <c r="J828">
        <f t="shared" si="28"/>
        <v>192.10635999999997</v>
      </c>
      <c r="K828">
        <v>10373.743439999998</v>
      </c>
      <c r="L828" t="s">
        <v>4999</v>
      </c>
    </row>
    <row r="829" spans="1:12" ht="50.1" customHeight="1">
      <c r="A829">
        <v>820</v>
      </c>
      <c r="B829" t="s">
        <v>4209</v>
      </c>
      <c r="C829" t="s">
        <v>4903</v>
      </c>
      <c r="D829">
        <v>204873388</v>
      </c>
      <c r="E829" t="s">
        <v>3954</v>
      </c>
      <c r="F829" t="s">
        <v>4899</v>
      </c>
      <c r="G829">
        <v>36</v>
      </c>
      <c r="H829" t="s">
        <v>3954</v>
      </c>
      <c r="I829" t="s">
        <v>4212</v>
      </c>
      <c r="J829">
        <f t="shared" si="28"/>
        <v>192.10635999999997</v>
      </c>
      <c r="K829">
        <v>6915.8289599999989</v>
      </c>
      <c r="L829" t="s">
        <v>5000</v>
      </c>
    </row>
    <row r="830" spans="1:12" ht="50.1" customHeight="1">
      <c r="A830">
        <v>821</v>
      </c>
      <c r="B830" t="s">
        <v>4209</v>
      </c>
      <c r="C830" t="s">
        <v>4903</v>
      </c>
      <c r="D830">
        <v>204873388</v>
      </c>
      <c r="E830" t="s">
        <v>3954</v>
      </c>
      <c r="F830" t="s">
        <v>4899</v>
      </c>
      <c r="G830">
        <v>18</v>
      </c>
      <c r="H830" t="s">
        <v>3954</v>
      </c>
      <c r="I830" t="s">
        <v>4212</v>
      </c>
      <c r="J830">
        <f t="shared" si="28"/>
        <v>192.10635999999997</v>
      </c>
      <c r="K830">
        <v>3457.9144799999995</v>
      </c>
      <c r="L830" t="s">
        <v>5001</v>
      </c>
    </row>
    <row r="831" spans="1:12" ht="50.1" customHeight="1">
      <c r="A831">
        <v>822</v>
      </c>
      <c r="B831" t="s">
        <v>4209</v>
      </c>
      <c r="C831" t="s">
        <v>4903</v>
      </c>
      <c r="D831">
        <v>204873388</v>
      </c>
      <c r="E831" t="s">
        <v>3954</v>
      </c>
      <c r="F831" t="s">
        <v>4899</v>
      </c>
      <c r="G831">
        <v>36</v>
      </c>
      <c r="H831" t="s">
        <v>3954</v>
      </c>
      <c r="I831" t="s">
        <v>4212</v>
      </c>
      <c r="J831">
        <f t="shared" si="28"/>
        <v>192.10635999999997</v>
      </c>
      <c r="K831">
        <v>6915.8289599999989</v>
      </c>
      <c r="L831" t="s">
        <v>5002</v>
      </c>
    </row>
    <row r="832" spans="1:12" ht="50.1" customHeight="1">
      <c r="A832">
        <v>823</v>
      </c>
      <c r="B832" t="s">
        <v>4209</v>
      </c>
      <c r="C832" t="s">
        <v>4903</v>
      </c>
      <c r="D832">
        <v>204873388</v>
      </c>
      <c r="E832" t="s">
        <v>3954</v>
      </c>
      <c r="F832" t="s">
        <v>4899</v>
      </c>
      <c r="G832">
        <v>36</v>
      </c>
      <c r="H832" t="s">
        <v>3954</v>
      </c>
      <c r="I832" t="s">
        <v>4212</v>
      </c>
      <c r="J832">
        <f t="shared" si="28"/>
        <v>192.10635999999997</v>
      </c>
      <c r="K832">
        <v>6915.8289599999989</v>
      </c>
      <c r="L832" t="s">
        <v>5003</v>
      </c>
    </row>
    <row r="833" spans="1:12" ht="50.1" customHeight="1">
      <c r="A833">
        <v>824</v>
      </c>
      <c r="B833" t="s">
        <v>4209</v>
      </c>
      <c r="C833" t="s">
        <v>4903</v>
      </c>
      <c r="D833">
        <v>204873388</v>
      </c>
      <c r="E833" t="s">
        <v>3954</v>
      </c>
      <c r="F833" t="s">
        <v>4899</v>
      </c>
      <c r="G833">
        <v>36</v>
      </c>
      <c r="H833" t="s">
        <v>3954</v>
      </c>
      <c r="I833" t="s">
        <v>4212</v>
      </c>
      <c r="J833">
        <f t="shared" si="28"/>
        <v>192.10635999999997</v>
      </c>
      <c r="K833">
        <v>6915.8289599999989</v>
      </c>
      <c r="L833" t="s">
        <v>5004</v>
      </c>
    </row>
    <row r="834" spans="1:12" ht="50.1" customHeight="1">
      <c r="A834">
        <v>825</v>
      </c>
      <c r="B834" t="s">
        <v>4209</v>
      </c>
      <c r="C834" t="s">
        <v>4903</v>
      </c>
      <c r="D834">
        <v>204873388</v>
      </c>
      <c r="E834" t="s">
        <v>3954</v>
      </c>
      <c r="F834" t="s">
        <v>4899</v>
      </c>
      <c r="G834">
        <v>36</v>
      </c>
      <c r="H834" t="s">
        <v>3954</v>
      </c>
      <c r="I834" t="s">
        <v>4212</v>
      </c>
      <c r="J834">
        <f t="shared" si="28"/>
        <v>192.10635999999997</v>
      </c>
      <c r="K834">
        <v>6915.8289599999989</v>
      </c>
      <c r="L834" t="s">
        <v>5005</v>
      </c>
    </row>
    <row r="835" spans="1:12" ht="50.1" customHeight="1">
      <c r="A835">
        <v>826</v>
      </c>
      <c r="B835" t="s">
        <v>4209</v>
      </c>
      <c r="C835" t="s">
        <v>4903</v>
      </c>
      <c r="D835">
        <v>204873388</v>
      </c>
      <c r="E835" t="s">
        <v>3954</v>
      </c>
      <c r="F835" t="s">
        <v>4899</v>
      </c>
      <c r="G835">
        <v>36</v>
      </c>
      <c r="H835" t="s">
        <v>3954</v>
      </c>
      <c r="I835" t="s">
        <v>4212</v>
      </c>
      <c r="J835">
        <f t="shared" si="28"/>
        <v>192.10635999999997</v>
      </c>
      <c r="K835">
        <v>6915.8289599999989</v>
      </c>
      <c r="L835" t="s">
        <v>5006</v>
      </c>
    </row>
    <row r="836" spans="1:12" ht="50.1" customHeight="1">
      <c r="A836">
        <v>827</v>
      </c>
      <c r="B836" t="s">
        <v>4209</v>
      </c>
      <c r="C836" t="s">
        <v>4903</v>
      </c>
      <c r="D836">
        <v>204873388</v>
      </c>
      <c r="E836" t="s">
        <v>3954</v>
      </c>
      <c r="F836" t="s">
        <v>4899</v>
      </c>
      <c r="G836">
        <v>36</v>
      </c>
      <c r="H836" t="s">
        <v>3954</v>
      </c>
      <c r="I836" t="s">
        <v>4212</v>
      </c>
      <c r="J836">
        <f t="shared" si="28"/>
        <v>192.10635999999997</v>
      </c>
      <c r="K836">
        <v>6915.8289599999989</v>
      </c>
      <c r="L836" t="s">
        <v>5007</v>
      </c>
    </row>
    <row r="837" spans="1:12" ht="50.1" customHeight="1">
      <c r="A837">
        <v>828</v>
      </c>
      <c r="B837" t="s">
        <v>4209</v>
      </c>
      <c r="C837" t="s">
        <v>4903</v>
      </c>
      <c r="D837">
        <v>204873388</v>
      </c>
      <c r="E837" t="s">
        <v>3954</v>
      </c>
      <c r="F837" t="s">
        <v>4899</v>
      </c>
      <c r="G837">
        <v>36</v>
      </c>
      <c r="H837" t="s">
        <v>3954</v>
      </c>
      <c r="I837" t="s">
        <v>4212</v>
      </c>
      <c r="J837">
        <f t="shared" si="28"/>
        <v>192.10635999999997</v>
      </c>
      <c r="K837">
        <v>6915.8289599999989</v>
      </c>
      <c r="L837" t="s">
        <v>5008</v>
      </c>
    </row>
    <row r="838" spans="1:12" ht="50.1" customHeight="1">
      <c r="A838">
        <v>829</v>
      </c>
      <c r="B838" t="s">
        <v>4209</v>
      </c>
      <c r="C838" t="s">
        <v>4903</v>
      </c>
      <c r="D838">
        <v>204873388</v>
      </c>
      <c r="E838" t="s">
        <v>3954</v>
      </c>
      <c r="F838" t="s">
        <v>4899</v>
      </c>
      <c r="G838">
        <v>36</v>
      </c>
      <c r="H838" t="s">
        <v>3954</v>
      </c>
      <c r="I838" t="s">
        <v>4212</v>
      </c>
      <c r="J838">
        <f t="shared" si="28"/>
        <v>192.10635999999997</v>
      </c>
      <c r="K838">
        <v>6915.8289599999989</v>
      </c>
      <c r="L838" t="s">
        <v>5009</v>
      </c>
    </row>
    <row r="839" spans="1:12" ht="50.1" customHeight="1">
      <c r="A839">
        <v>830</v>
      </c>
      <c r="B839" t="s">
        <v>4209</v>
      </c>
      <c r="C839" t="s">
        <v>4903</v>
      </c>
      <c r="D839">
        <v>204873388</v>
      </c>
      <c r="E839" t="s">
        <v>3954</v>
      </c>
      <c r="F839" t="s">
        <v>4899</v>
      </c>
      <c r="G839">
        <v>36</v>
      </c>
      <c r="H839" t="s">
        <v>3954</v>
      </c>
      <c r="I839" t="s">
        <v>4212</v>
      </c>
      <c r="J839">
        <f t="shared" si="28"/>
        <v>192.10635999999997</v>
      </c>
      <c r="K839">
        <v>6915.8289599999989</v>
      </c>
      <c r="L839" t="s">
        <v>5010</v>
      </c>
    </row>
    <row r="840" spans="1:12" ht="50.1" customHeight="1">
      <c r="A840">
        <v>831</v>
      </c>
      <c r="B840" t="s">
        <v>4209</v>
      </c>
      <c r="C840" t="s">
        <v>4903</v>
      </c>
      <c r="D840">
        <v>204873388</v>
      </c>
      <c r="E840" t="s">
        <v>3954</v>
      </c>
      <c r="F840" t="s">
        <v>4899</v>
      </c>
      <c r="G840">
        <v>36</v>
      </c>
      <c r="H840" t="s">
        <v>3954</v>
      </c>
      <c r="I840" t="s">
        <v>4212</v>
      </c>
      <c r="J840">
        <f t="shared" si="28"/>
        <v>192.10635999999997</v>
      </c>
      <c r="K840">
        <v>6915.8289599999989</v>
      </c>
      <c r="L840" t="s">
        <v>5011</v>
      </c>
    </row>
    <row r="841" spans="1:12" ht="50.1" customHeight="1">
      <c r="A841">
        <v>832</v>
      </c>
      <c r="B841" t="s">
        <v>4209</v>
      </c>
      <c r="C841" t="s">
        <v>4903</v>
      </c>
      <c r="D841">
        <v>204873388</v>
      </c>
      <c r="E841" t="s">
        <v>3954</v>
      </c>
      <c r="F841" t="s">
        <v>4899</v>
      </c>
      <c r="G841">
        <v>36</v>
      </c>
      <c r="H841" t="s">
        <v>3954</v>
      </c>
      <c r="I841" t="s">
        <v>4212</v>
      </c>
      <c r="J841">
        <f t="shared" si="28"/>
        <v>192.10635999999997</v>
      </c>
      <c r="K841">
        <v>6915.8289599999989</v>
      </c>
      <c r="L841" t="s">
        <v>5012</v>
      </c>
    </row>
    <row r="842" spans="1:12" ht="50.1" customHeight="1">
      <c r="A842">
        <v>833</v>
      </c>
      <c r="B842" t="s">
        <v>4209</v>
      </c>
      <c r="C842" t="s">
        <v>4903</v>
      </c>
      <c r="D842">
        <v>204873388</v>
      </c>
      <c r="E842" t="s">
        <v>3954</v>
      </c>
      <c r="F842" t="s">
        <v>4899</v>
      </c>
      <c r="G842">
        <v>72</v>
      </c>
      <c r="H842" t="s">
        <v>3954</v>
      </c>
      <c r="I842" t="s">
        <v>4212</v>
      </c>
      <c r="J842">
        <f t="shared" si="28"/>
        <v>192.10635999999997</v>
      </c>
      <c r="K842">
        <v>13831.657919999998</v>
      </c>
      <c r="L842" t="s">
        <v>5013</v>
      </c>
    </row>
    <row r="843" spans="1:12" ht="50.1" customHeight="1">
      <c r="A843">
        <v>834</v>
      </c>
      <c r="B843" t="s">
        <v>4209</v>
      </c>
      <c r="C843" t="s">
        <v>4903</v>
      </c>
      <c r="D843">
        <v>204873388</v>
      </c>
      <c r="E843" t="s">
        <v>3954</v>
      </c>
      <c r="F843" t="s">
        <v>4899</v>
      </c>
      <c r="G843">
        <v>36</v>
      </c>
      <c r="H843" t="s">
        <v>3954</v>
      </c>
      <c r="I843" t="s">
        <v>4212</v>
      </c>
      <c r="J843">
        <f t="shared" si="28"/>
        <v>192.10635999999997</v>
      </c>
      <c r="K843">
        <v>6915.8289599999989</v>
      </c>
      <c r="L843" t="s">
        <v>5014</v>
      </c>
    </row>
    <row r="844" spans="1:12" ht="50.1" customHeight="1">
      <c r="A844">
        <v>835</v>
      </c>
      <c r="B844" t="s">
        <v>4380</v>
      </c>
      <c r="C844" t="s">
        <v>4903</v>
      </c>
      <c r="D844">
        <v>204873388</v>
      </c>
      <c r="E844" t="s">
        <v>3954</v>
      </c>
      <c r="F844" t="s">
        <v>5015</v>
      </c>
      <c r="G844">
        <v>10.2912</v>
      </c>
      <c r="H844" t="s">
        <v>3954</v>
      </c>
      <c r="I844" t="s">
        <v>4212</v>
      </c>
      <c r="J844">
        <f>K844/G844</f>
        <v>7104.6229299999995</v>
      </c>
      <c r="K844">
        <v>73115.095497215996</v>
      </c>
      <c r="L844" t="s">
        <v>5016</v>
      </c>
    </row>
    <row r="845" spans="1:12" ht="50.1" customHeight="1">
      <c r="A845">
        <v>836</v>
      </c>
      <c r="B845" t="s">
        <v>4380</v>
      </c>
      <c r="C845" t="s">
        <v>4903</v>
      </c>
      <c r="D845">
        <v>204873388</v>
      </c>
      <c r="E845" t="s">
        <v>3954</v>
      </c>
      <c r="F845" t="s">
        <v>5015</v>
      </c>
      <c r="G845">
        <v>27.938999999999997</v>
      </c>
      <c r="H845" t="s">
        <v>3954</v>
      </c>
      <c r="I845" t="s">
        <v>4212</v>
      </c>
      <c r="J845">
        <f t="shared" ref="J845:J852" si="29">K845/G845</f>
        <v>2616.9240449999998</v>
      </c>
      <c r="K845">
        <v>73114.240893254988</v>
      </c>
      <c r="L845" t="s">
        <v>5017</v>
      </c>
    </row>
    <row r="846" spans="1:12" ht="50.1" customHeight="1">
      <c r="A846">
        <v>837</v>
      </c>
      <c r="B846" t="s">
        <v>4380</v>
      </c>
      <c r="C846" t="s">
        <v>4903</v>
      </c>
      <c r="D846">
        <v>204873388</v>
      </c>
      <c r="E846" t="s">
        <v>3954</v>
      </c>
      <c r="F846" t="s">
        <v>5015</v>
      </c>
      <c r="G846">
        <v>16.085700000000003</v>
      </c>
      <c r="H846" t="s">
        <v>3954</v>
      </c>
      <c r="I846" t="s">
        <v>4212</v>
      </c>
      <c r="J846">
        <f t="shared" si="29"/>
        <v>4544.5052000000005</v>
      </c>
      <c r="K846">
        <v>73101.547295640019</v>
      </c>
      <c r="L846" t="s">
        <v>5018</v>
      </c>
    </row>
    <row r="847" spans="1:12" ht="50.1" customHeight="1">
      <c r="A847">
        <v>838</v>
      </c>
      <c r="B847" t="s">
        <v>4380</v>
      </c>
      <c r="C847" t="s">
        <v>4903</v>
      </c>
      <c r="D847">
        <v>204873388</v>
      </c>
      <c r="E847" t="s">
        <v>3954</v>
      </c>
      <c r="F847" t="s">
        <v>5015</v>
      </c>
      <c r="G847">
        <v>132.71039999999999</v>
      </c>
      <c r="H847" t="s">
        <v>3954</v>
      </c>
      <c r="I847" t="s">
        <v>4212</v>
      </c>
      <c r="J847">
        <f t="shared" si="29"/>
        <v>550.9167040000001</v>
      </c>
      <c r="K847">
        <v>73112.376154521611</v>
      </c>
      <c r="L847" t="s">
        <v>5019</v>
      </c>
    </row>
    <row r="848" spans="1:12" ht="50.1" customHeight="1">
      <c r="A848">
        <v>839</v>
      </c>
      <c r="B848" t="s">
        <v>4380</v>
      </c>
      <c r="C848" t="s">
        <v>4903</v>
      </c>
      <c r="D848">
        <v>204873388</v>
      </c>
      <c r="E848" t="s">
        <v>3954</v>
      </c>
      <c r="F848" t="s">
        <v>5015</v>
      </c>
      <c r="G848">
        <v>33.715199999999996</v>
      </c>
      <c r="H848" t="s">
        <v>3954</v>
      </c>
      <c r="I848" t="s">
        <v>4212</v>
      </c>
      <c r="J848">
        <f t="shared" si="29"/>
        <v>2168.3981100000001</v>
      </c>
      <c r="K848">
        <v>73107.975958272</v>
      </c>
      <c r="L848" t="s">
        <v>5020</v>
      </c>
    </row>
    <row r="849" spans="1:12" ht="50.1" customHeight="1">
      <c r="A849">
        <v>840</v>
      </c>
      <c r="B849" t="s">
        <v>4380</v>
      </c>
      <c r="C849" t="s">
        <v>4903</v>
      </c>
      <c r="D849">
        <v>204873388</v>
      </c>
      <c r="E849" t="s">
        <v>3954</v>
      </c>
      <c r="F849" t="s">
        <v>5015</v>
      </c>
      <c r="G849">
        <v>74.617199999999997</v>
      </c>
      <c r="H849" t="s">
        <v>3954</v>
      </c>
      <c r="I849" t="s">
        <v>4212</v>
      </c>
      <c r="J849">
        <f t="shared" si="29"/>
        <v>979.71725600000013</v>
      </c>
      <c r="K849">
        <v>73103.758434403208</v>
      </c>
      <c r="L849" t="s">
        <v>5021</v>
      </c>
    </row>
    <row r="850" spans="1:12" ht="50.1" customHeight="1">
      <c r="A850">
        <v>841</v>
      </c>
      <c r="B850" t="s">
        <v>4380</v>
      </c>
      <c r="C850" t="s">
        <v>4903</v>
      </c>
      <c r="D850">
        <v>204873388</v>
      </c>
      <c r="E850" t="s">
        <v>3954</v>
      </c>
      <c r="F850" t="s">
        <v>5015</v>
      </c>
      <c r="G850">
        <v>46.796800000000005</v>
      </c>
      <c r="H850" t="s">
        <v>3954</v>
      </c>
      <c r="I850" t="s">
        <v>4212</v>
      </c>
      <c r="J850">
        <f t="shared" si="29"/>
        <v>1562.3479150000001</v>
      </c>
      <c r="K850">
        <v>73112.882908672007</v>
      </c>
      <c r="L850" t="s">
        <v>5022</v>
      </c>
    </row>
    <row r="851" spans="1:12" ht="50.1" customHeight="1">
      <c r="A851">
        <v>842</v>
      </c>
      <c r="B851" t="s">
        <v>4380</v>
      </c>
      <c r="C851" t="s">
        <v>4903</v>
      </c>
      <c r="D851">
        <v>204873388</v>
      </c>
      <c r="E851" t="s">
        <v>3954</v>
      </c>
      <c r="F851" t="s">
        <v>5015</v>
      </c>
      <c r="G851">
        <v>33.715199999999996</v>
      </c>
      <c r="H851" t="s">
        <v>3954</v>
      </c>
      <c r="I851" t="s">
        <v>4212</v>
      </c>
      <c r="J851">
        <f t="shared" si="29"/>
        <v>2168.2587079999998</v>
      </c>
      <c r="K851">
        <v>73103.275991961593</v>
      </c>
      <c r="L851" t="s">
        <v>5023</v>
      </c>
    </row>
    <row r="852" spans="1:12" ht="50.1" customHeight="1">
      <c r="A852">
        <v>843</v>
      </c>
      <c r="B852" t="s">
        <v>4380</v>
      </c>
      <c r="C852" t="s">
        <v>4903</v>
      </c>
      <c r="D852">
        <v>204873388</v>
      </c>
      <c r="E852" t="s">
        <v>3954</v>
      </c>
      <c r="F852" t="s">
        <v>5015</v>
      </c>
      <c r="G852">
        <v>23.131200000000003</v>
      </c>
      <c r="H852" t="s">
        <v>3954</v>
      </c>
      <c r="I852" t="s">
        <v>4212</v>
      </c>
      <c r="J852">
        <f t="shared" si="29"/>
        <v>3160.5918449999999</v>
      </c>
      <c r="K852">
        <v>73108.282085064013</v>
      </c>
      <c r="L852" t="s">
        <v>5024</v>
      </c>
    </row>
    <row r="853" spans="1:12" ht="50.1" customHeight="1">
      <c r="A853">
        <v>844</v>
      </c>
      <c r="B853" t="s">
        <v>4209</v>
      </c>
      <c r="C853" t="s">
        <v>4903</v>
      </c>
      <c r="D853">
        <v>204873388</v>
      </c>
      <c r="E853" t="s">
        <v>3954</v>
      </c>
      <c r="F853" t="s">
        <v>5025</v>
      </c>
      <c r="G853">
        <v>18</v>
      </c>
      <c r="H853" t="s">
        <v>3954</v>
      </c>
      <c r="I853" t="s">
        <v>4212</v>
      </c>
      <c r="J853">
        <f>K853/G853</f>
        <v>199.31666666666666</v>
      </c>
      <c r="K853">
        <v>3587.7</v>
      </c>
      <c r="L853" t="s">
        <v>5026</v>
      </c>
    </row>
    <row r="854" spans="1:12" ht="50.1" customHeight="1">
      <c r="A854">
        <v>845</v>
      </c>
      <c r="B854" t="s">
        <v>4209</v>
      </c>
      <c r="C854" t="s">
        <v>4903</v>
      </c>
      <c r="D854">
        <v>204873388</v>
      </c>
      <c r="E854" t="s">
        <v>3954</v>
      </c>
      <c r="F854" t="s">
        <v>5025</v>
      </c>
      <c r="G854">
        <v>18</v>
      </c>
      <c r="H854" t="s">
        <v>3954</v>
      </c>
      <c r="I854" t="s">
        <v>4212</v>
      </c>
      <c r="J854">
        <f>K854/G854</f>
        <v>199.31666666666666</v>
      </c>
      <c r="K854">
        <v>3587.7</v>
      </c>
      <c r="L854" t="s">
        <v>5026</v>
      </c>
    </row>
    <row r="855" spans="1:12" ht="50.1" customHeight="1">
      <c r="A855">
        <v>846</v>
      </c>
      <c r="B855" t="s">
        <v>361</v>
      </c>
      <c r="C855" t="s">
        <v>4903</v>
      </c>
      <c r="D855">
        <v>204873388</v>
      </c>
      <c r="E855" t="s">
        <v>3954</v>
      </c>
      <c r="G855">
        <v>1297</v>
      </c>
      <c r="H855" t="s">
        <v>3954</v>
      </c>
      <c r="I855" t="s">
        <v>4212</v>
      </c>
      <c r="J855">
        <f>K855/G855</f>
        <v>27.137818041634542</v>
      </c>
      <c r="K855">
        <v>35197.75</v>
      </c>
      <c r="L855" t="s">
        <v>4714</v>
      </c>
    </row>
    <row r="856" spans="1:12" ht="50.1" customHeight="1">
      <c r="A856">
        <v>847</v>
      </c>
      <c r="B856" t="s">
        <v>361</v>
      </c>
      <c r="C856" t="s">
        <v>4903</v>
      </c>
      <c r="D856">
        <v>204873388</v>
      </c>
      <c r="E856" t="s">
        <v>3954</v>
      </c>
      <c r="G856">
        <v>52</v>
      </c>
      <c r="H856" t="s">
        <v>3954</v>
      </c>
      <c r="I856" t="s">
        <v>4212</v>
      </c>
      <c r="J856">
        <f t="shared" ref="J856:J857" si="30">K856/G856</f>
        <v>103.55692307692308</v>
      </c>
      <c r="K856">
        <v>5384.96</v>
      </c>
      <c r="L856" t="s">
        <v>4714</v>
      </c>
    </row>
    <row r="857" spans="1:12" ht="50.1" customHeight="1">
      <c r="A857">
        <v>848</v>
      </c>
      <c r="B857" t="s">
        <v>361</v>
      </c>
      <c r="C857" t="s">
        <v>4903</v>
      </c>
      <c r="D857">
        <v>204873388</v>
      </c>
      <c r="E857" t="s">
        <v>3954</v>
      </c>
      <c r="G857">
        <v>517.14</v>
      </c>
      <c r="H857" t="s">
        <v>3954</v>
      </c>
      <c r="I857" t="s">
        <v>4212</v>
      </c>
      <c r="J857">
        <f t="shared" si="30"/>
        <v>35.53846153846154</v>
      </c>
      <c r="K857">
        <v>18378.36</v>
      </c>
      <c r="L857" t="s">
        <v>4714</v>
      </c>
    </row>
    <row r="858" spans="1:12" ht="50.1" customHeight="1">
      <c r="A858">
        <v>849</v>
      </c>
      <c r="B858" t="s">
        <v>4209</v>
      </c>
      <c r="C858" t="s">
        <v>5027</v>
      </c>
      <c r="D858">
        <v>404974104</v>
      </c>
      <c r="E858" t="s">
        <v>3954</v>
      </c>
      <c r="F858" t="s">
        <v>4785</v>
      </c>
      <c r="G858">
        <v>49.5</v>
      </c>
      <c r="H858" t="s">
        <v>3954</v>
      </c>
      <c r="I858" t="s">
        <v>4212</v>
      </c>
      <c r="J858">
        <f>K858/G858</f>
        <v>412.07724000000002</v>
      </c>
      <c r="K858">
        <v>20397.823380000002</v>
      </c>
      <c r="L858" t="s">
        <v>5028</v>
      </c>
    </row>
    <row r="859" spans="1:12" ht="50.1" customHeight="1">
      <c r="A859">
        <v>850</v>
      </c>
      <c r="B859" t="s">
        <v>4209</v>
      </c>
      <c r="C859" t="s">
        <v>5027</v>
      </c>
      <c r="D859">
        <v>404974104</v>
      </c>
      <c r="E859" t="s">
        <v>3954</v>
      </c>
      <c r="F859" t="s">
        <v>4785</v>
      </c>
      <c r="G859">
        <v>72</v>
      </c>
      <c r="H859" t="s">
        <v>3954</v>
      </c>
      <c r="I859" t="s">
        <v>4212</v>
      </c>
      <c r="J859">
        <f t="shared" ref="J859:J891" si="31">K859/G859</f>
        <v>412.07723999999996</v>
      </c>
      <c r="K859">
        <v>29669.561279999998</v>
      </c>
      <c r="L859" t="s">
        <v>5029</v>
      </c>
    </row>
    <row r="860" spans="1:12" ht="50.1" customHeight="1">
      <c r="A860">
        <v>851</v>
      </c>
      <c r="B860" t="s">
        <v>4209</v>
      </c>
      <c r="C860" t="s">
        <v>5027</v>
      </c>
      <c r="D860">
        <v>404974104</v>
      </c>
      <c r="E860" t="s">
        <v>3954</v>
      </c>
      <c r="F860" t="s">
        <v>4785</v>
      </c>
      <c r="G860">
        <v>30</v>
      </c>
      <c r="H860" t="s">
        <v>3954</v>
      </c>
      <c r="I860" t="s">
        <v>4212</v>
      </c>
      <c r="J860">
        <f t="shared" si="31"/>
        <v>412.07724000000002</v>
      </c>
      <c r="K860">
        <v>12362.317200000001</v>
      </c>
      <c r="L860" t="s">
        <v>5030</v>
      </c>
    </row>
    <row r="861" spans="1:12" ht="50.1" customHeight="1">
      <c r="A861">
        <v>852</v>
      </c>
      <c r="B861" t="s">
        <v>4209</v>
      </c>
      <c r="C861" t="s">
        <v>5027</v>
      </c>
      <c r="D861">
        <v>404974104</v>
      </c>
      <c r="E861" t="s">
        <v>3954</v>
      </c>
      <c r="F861" t="s">
        <v>4785</v>
      </c>
      <c r="G861">
        <v>46</v>
      </c>
      <c r="H861" t="s">
        <v>3954</v>
      </c>
      <c r="I861" t="s">
        <v>4212</v>
      </c>
      <c r="J861">
        <f t="shared" si="31"/>
        <v>412.07724000000007</v>
      </c>
      <c r="K861">
        <v>18955.553040000003</v>
      </c>
      <c r="L861" t="s">
        <v>5031</v>
      </c>
    </row>
    <row r="862" spans="1:12" ht="50.1" customHeight="1">
      <c r="A862">
        <v>853</v>
      </c>
      <c r="B862" t="s">
        <v>4209</v>
      </c>
      <c r="C862" t="s">
        <v>5027</v>
      </c>
      <c r="D862">
        <v>404974104</v>
      </c>
      <c r="E862" t="s">
        <v>3954</v>
      </c>
      <c r="F862" t="s">
        <v>4785</v>
      </c>
      <c r="G862">
        <v>40</v>
      </c>
      <c r="H862" t="s">
        <v>3954</v>
      </c>
      <c r="I862" t="s">
        <v>4212</v>
      </c>
      <c r="J862">
        <f t="shared" si="31"/>
        <v>412.07723999999996</v>
      </c>
      <c r="K862">
        <v>16483.089599999999</v>
      </c>
      <c r="L862" t="s">
        <v>5032</v>
      </c>
    </row>
    <row r="863" spans="1:12" ht="50.1" customHeight="1">
      <c r="A863">
        <v>854</v>
      </c>
      <c r="B863" t="s">
        <v>4209</v>
      </c>
      <c r="C863" t="s">
        <v>5027</v>
      </c>
      <c r="D863">
        <v>404974104</v>
      </c>
      <c r="E863" t="s">
        <v>3954</v>
      </c>
      <c r="F863" t="s">
        <v>4785</v>
      </c>
      <c r="G863">
        <v>48</v>
      </c>
      <c r="H863" t="s">
        <v>3954</v>
      </c>
      <c r="I863" t="s">
        <v>4212</v>
      </c>
      <c r="J863">
        <f t="shared" si="31"/>
        <v>412.07724000000007</v>
      </c>
      <c r="K863">
        <v>19779.707520000004</v>
      </c>
      <c r="L863" t="s">
        <v>5033</v>
      </c>
    </row>
    <row r="864" spans="1:12" ht="50.1" customHeight="1">
      <c r="A864">
        <v>855</v>
      </c>
      <c r="B864" t="s">
        <v>4209</v>
      </c>
      <c r="C864" t="s">
        <v>5027</v>
      </c>
      <c r="D864">
        <v>404974104</v>
      </c>
      <c r="E864" t="s">
        <v>3954</v>
      </c>
      <c r="F864" t="s">
        <v>4785</v>
      </c>
      <c r="G864">
        <v>75</v>
      </c>
      <c r="H864" t="s">
        <v>3954</v>
      </c>
      <c r="I864" t="s">
        <v>4212</v>
      </c>
      <c r="J864">
        <f t="shared" si="31"/>
        <v>412.07723999999996</v>
      </c>
      <c r="K864">
        <v>30905.792999999998</v>
      </c>
      <c r="L864" t="s">
        <v>5034</v>
      </c>
    </row>
    <row r="865" spans="1:12" ht="50.1" customHeight="1">
      <c r="A865">
        <v>856</v>
      </c>
      <c r="B865" t="s">
        <v>4209</v>
      </c>
      <c r="C865" t="s">
        <v>5027</v>
      </c>
      <c r="D865">
        <v>404974104</v>
      </c>
      <c r="E865" t="s">
        <v>3954</v>
      </c>
      <c r="F865" t="s">
        <v>4785</v>
      </c>
      <c r="G865">
        <v>41.6</v>
      </c>
      <c r="H865" t="s">
        <v>3954</v>
      </c>
      <c r="I865" t="s">
        <v>4212</v>
      </c>
      <c r="J865">
        <f t="shared" si="31"/>
        <v>412.07724000000002</v>
      </c>
      <c r="K865">
        <v>17142.413184000001</v>
      </c>
      <c r="L865" t="s">
        <v>5035</v>
      </c>
    </row>
    <row r="866" spans="1:12" ht="50.1" customHeight="1">
      <c r="A866">
        <v>857</v>
      </c>
      <c r="B866" t="s">
        <v>4209</v>
      </c>
      <c r="C866" t="s">
        <v>5027</v>
      </c>
      <c r="D866">
        <v>404974104</v>
      </c>
      <c r="E866" t="s">
        <v>3954</v>
      </c>
      <c r="F866" t="s">
        <v>4785</v>
      </c>
      <c r="G866">
        <v>79.2</v>
      </c>
      <c r="H866" t="s">
        <v>3954</v>
      </c>
      <c r="I866" t="s">
        <v>4212</v>
      </c>
      <c r="J866">
        <f t="shared" si="31"/>
        <v>412.07723999999996</v>
      </c>
      <c r="K866">
        <v>32636.517408</v>
      </c>
      <c r="L866" t="s">
        <v>5036</v>
      </c>
    </row>
    <row r="867" spans="1:12" ht="50.1" customHeight="1">
      <c r="A867">
        <v>858</v>
      </c>
      <c r="B867" t="s">
        <v>4209</v>
      </c>
      <c r="C867" t="s">
        <v>5027</v>
      </c>
      <c r="D867">
        <v>404974104</v>
      </c>
      <c r="E867" t="s">
        <v>3954</v>
      </c>
      <c r="F867" t="s">
        <v>4785</v>
      </c>
      <c r="G867">
        <v>60</v>
      </c>
      <c r="H867" t="s">
        <v>3954</v>
      </c>
      <c r="I867" t="s">
        <v>4212</v>
      </c>
      <c r="J867">
        <f t="shared" si="31"/>
        <v>412.07724000000002</v>
      </c>
      <c r="K867">
        <v>24724.634400000003</v>
      </c>
      <c r="L867" t="s">
        <v>5037</v>
      </c>
    </row>
    <row r="868" spans="1:12" ht="50.1" customHeight="1">
      <c r="A868">
        <v>859</v>
      </c>
      <c r="B868" t="s">
        <v>4209</v>
      </c>
      <c r="C868" t="s">
        <v>5027</v>
      </c>
      <c r="D868">
        <v>404974104</v>
      </c>
      <c r="E868" t="s">
        <v>3954</v>
      </c>
      <c r="F868" t="s">
        <v>4785</v>
      </c>
      <c r="G868">
        <v>33</v>
      </c>
      <c r="H868" t="s">
        <v>3954</v>
      </c>
      <c r="I868" t="s">
        <v>4212</v>
      </c>
      <c r="J868">
        <f t="shared" si="31"/>
        <v>412.07724000000002</v>
      </c>
      <c r="K868">
        <v>13598.548920000001</v>
      </c>
      <c r="L868" t="s">
        <v>5038</v>
      </c>
    </row>
    <row r="869" spans="1:12" ht="50.1" customHeight="1">
      <c r="A869">
        <v>860</v>
      </c>
      <c r="B869" t="s">
        <v>4209</v>
      </c>
      <c r="C869" t="s">
        <v>5027</v>
      </c>
      <c r="D869">
        <v>404974104</v>
      </c>
      <c r="E869" t="s">
        <v>3954</v>
      </c>
      <c r="F869" t="s">
        <v>4785</v>
      </c>
      <c r="G869">
        <v>43.75</v>
      </c>
      <c r="H869" t="s">
        <v>3954</v>
      </c>
      <c r="I869" t="s">
        <v>4212</v>
      </c>
      <c r="J869">
        <f t="shared" si="31"/>
        <v>412.07723999999996</v>
      </c>
      <c r="K869">
        <v>18028.379249999998</v>
      </c>
      <c r="L869" t="s">
        <v>5039</v>
      </c>
    </row>
    <row r="870" spans="1:12" ht="50.1" customHeight="1">
      <c r="A870">
        <v>861</v>
      </c>
      <c r="B870" t="s">
        <v>4209</v>
      </c>
      <c r="C870" t="s">
        <v>5027</v>
      </c>
      <c r="D870">
        <v>404974104</v>
      </c>
      <c r="E870" t="s">
        <v>3954</v>
      </c>
      <c r="F870" t="s">
        <v>4785</v>
      </c>
      <c r="G870">
        <v>108</v>
      </c>
      <c r="H870" t="s">
        <v>3954</v>
      </c>
      <c r="I870" t="s">
        <v>4212</v>
      </c>
      <c r="J870">
        <f t="shared" si="31"/>
        <v>412.07724000000007</v>
      </c>
      <c r="K870">
        <v>44504.341920000006</v>
      </c>
      <c r="L870" t="s">
        <v>5040</v>
      </c>
    </row>
    <row r="871" spans="1:12" ht="50.1" customHeight="1">
      <c r="A871">
        <v>862</v>
      </c>
      <c r="B871" t="s">
        <v>4209</v>
      </c>
      <c r="C871" t="s">
        <v>5027</v>
      </c>
      <c r="D871">
        <v>404974104</v>
      </c>
      <c r="E871" t="s">
        <v>3954</v>
      </c>
      <c r="F871" t="s">
        <v>4785</v>
      </c>
      <c r="G871">
        <v>112</v>
      </c>
      <c r="H871" t="s">
        <v>3954</v>
      </c>
      <c r="I871" t="s">
        <v>4212</v>
      </c>
      <c r="J871">
        <f t="shared" si="31"/>
        <v>412.07724000000002</v>
      </c>
      <c r="K871">
        <v>46152.650880000001</v>
      </c>
      <c r="L871" t="s">
        <v>5041</v>
      </c>
    </row>
    <row r="872" spans="1:12" ht="50.1" customHeight="1">
      <c r="A872">
        <v>863</v>
      </c>
      <c r="B872" t="s">
        <v>4209</v>
      </c>
      <c r="C872" t="s">
        <v>5027</v>
      </c>
      <c r="D872">
        <v>404974104</v>
      </c>
      <c r="E872" t="s">
        <v>3954</v>
      </c>
      <c r="F872" t="s">
        <v>4785</v>
      </c>
      <c r="G872">
        <v>52</v>
      </c>
      <c r="H872" t="s">
        <v>3954</v>
      </c>
      <c r="I872" t="s">
        <v>4212</v>
      </c>
      <c r="J872">
        <f t="shared" si="31"/>
        <v>412.07723999999996</v>
      </c>
      <c r="K872">
        <v>21428.016479999998</v>
      </c>
      <c r="L872" t="s">
        <v>5042</v>
      </c>
    </row>
    <row r="873" spans="1:12" ht="50.1" customHeight="1">
      <c r="A873">
        <v>864</v>
      </c>
      <c r="B873" t="s">
        <v>4209</v>
      </c>
      <c r="C873" t="s">
        <v>5027</v>
      </c>
      <c r="D873">
        <v>404974104</v>
      </c>
      <c r="E873" t="s">
        <v>3954</v>
      </c>
      <c r="F873" t="s">
        <v>4785</v>
      </c>
      <c r="G873">
        <v>195.5</v>
      </c>
      <c r="H873" t="s">
        <v>3954</v>
      </c>
      <c r="I873" t="s">
        <v>4212</v>
      </c>
      <c r="J873">
        <f t="shared" si="31"/>
        <v>412.07724000000002</v>
      </c>
      <c r="K873">
        <v>80561.100420000002</v>
      </c>
      <c r="L873" t="s">
        <v>5043</v>
      </c>
    </row>
    <row r="874" spans="1:12" ht="50.1" customHeight="1">
      <c r="A874">
        <v>865</v>
      </c>
      <c r="B874" t="s">
        <v>4209</v>
      </c>
      <c r="C874" t="s">
        <v>5027</v>
      </c>
      <c r="D874">
        <v>404974104</v>
      </c>
      <c r="E874" t="s">
        <v>3954</v>
      </c>
      <c r="F874" t="s">
        <v>4785</v>
      </c>
      <c r="G874">
        <v>40</v>
      </c>
      <c r="H874" t="s">
        <v>3954</v>
      </c>
      <c r="I874" t="s">
        <v>4212</v>
      </c>
      <c r="J874">
        <f t="shared" si="31"/>
        <v>412.07723999999996</v>
      </c>
      <c r="K874">
        <v>16483.089599999999</v>
      </c>
      <c r="L874" t="s">
        <v>5044</v>
      </c>
    </row>
    <row r="875" spans="1:12" ht="50.1" customHeight="1">
      <c r="A875">
        <v>866</v>
      </c>
      <c r="B875" t="s">
        <v>4209</v>
      </c>
      <c r="C875" t="s">
        <v>5027</v>
      </c>
      <c r="D875">
        <v>404974104</v>
      </c>
      <c r="E875" t="s">
        <v>3954</v>
      </c>
      <c r="F875" t="s">
        <v>4785</v>
      </c>
      <c r="G875">
        <v>120</v>
      </c>
      <c r="H875" t="s">
        <v>3954</v>
      </c>
      <c r="I875" t="s">
        <v>4212</v>
      </c>
      <c r="J875">
        <f t="shared" si="31"/>
        <v>412.07724000000002</v>
      </c>
      <c r="K875">
        <v>49449.268800000005</v>
      </c>
      <c r="L875" t="s">
        <v>5045</v>
      </c>
    </row>
    <row r="876" spans="1:12" ht="50.1" customHeight="1">
      <c r="A876">
        <v>867</v>
      </c>
      <c r="B876" t="s">
        <v>4209</v>
      </c>
      <c r="C876" t="s">
        <v>5027</v>
      </c>
      <c r="D876">
        <v>404974104</v>
      </c>
      <c r="E876" t="s">
        <v>3954</v>
      </c>
      <c r="F876" t="s">
        <v>4785</v>
      </c>
      <c r="G876">
        <v>95.76</v>
      </c>
      <c r="H876" t="s">
        <v>3954</v>
      </c>
      <c r="I876" t="s">
        <v>4212</v>
      </c>
      <c r="J876">
        <f t="shared" si="31"/>
        <v>412.07724000000002</v>
      </c>
      <c r="K876">
        <v>39460.516502400002</v>
      </c>
      <c r="L876" t="s">
        <v>5046</v>
      </c>
    </row>
    <row r="877" spans="1:12" ht="50.1" customHeight="1">
      <c r="A877">
        <v>868</v>
      </c>
      <c r="B877" t="s">
        <v>4209</v>
      </c>
      <c r="C877" t="s">
        <v>5027</v>
      </c>
      <c r="D877">
        <v>404974104</v>
      </c>
      <c r="E877" t="s">
        <v>3954</v>
      </c>
      <c r="F877" t="s">
        <v>4785</v>
      </c>
      <c r="G877">
        <v>80</v>
      </c>
      <c r="H877" t="s">
        <v>3954</v>
      </c>
      <c r="I877" t="s">
        <v>4212</v>
      </c>
      <c r="J877">
        <f t="shared" si="31"/>
        <v>412.07723999999996</v>
      </c>
      <c r="K877">
        <v>32966.179199999999</v>
      </c>
      <c r="L877" t="s">
        <v>5047</v>
      </c>
    </row>
    <row r="878" spans="1:12" ht="50.1" customHeight="1">
      <c r="A878">
        <v>869</v>
      </c>
      <c r="B878" t="s">
        <v>4209</v>
      </c>
      <c r="C878" t="s">
        <v>5027</v>
      </c>
      <c r="D878">
        <v>404974104</v>
      </c>
      <c r="E878" t="s">
        <v>3954</v>
      </c>
      <c r="F878" t="s">
        <v>4785</v>
      </c>
      <c r="G878">
        <v>84</v>
      </c>
      <c r="H878" t="s">
        <v>3954</v>
      </c>
      <c r="I878" t="s">
        <v>4212</v>
      </c>
      <c r="J878">
        <f t="shared" si="31"/>
        <v>412.07724000000002</v>
      </c>
      <c r="K878">
        <v>34614.488160000001</v>
      </c>
      <c r="L878" t="s">
        <v>5048</v>
      </c>
    </row>
    <row r="879" spans="1:12" ht="50.1" customHeight="1">
      <c r="A879">
        <v>870</v>
      </c>
      <c r="B879" t="s">
        <v>4209</v>
      </c>
      <c r="C879" t="s">
        <v>5027</v>
      </c>
      <c r="D879">
        <v>404974104</v>
      </c>
      <c r="E879" t="s">
        <v>3954</v>
      </c>
      <c r="F879" t="s">
        <v>4785</v>
      </c>
      <c r="G879">
        <v>96</v>
      </c>
      <c r="H879" t="s">
        <v>3954</v>
      </c>
      <c r="I879" t="s">
        <v>4212</v>
      </c>
      <c r="J879">
        <f t="shared" si="31"/>
        <v>412.07724000000007</v>
      </c>
      <c r="K879">
        <v>39559.415040000007</v>
      </c>
      <c r="L879" t="s">
        <v>5049</v>
      </c>
    </row>
    <row r="880" spans="1:12" ht="50.1" customHeight="1">
      <c r="A880">
        <v>871</v>
      </c>
      <c r="B880" t="s">
        <v>4209</v>
      </c>
      <c r="C880" t="s">
        <v>5027</v>
      </c>
      <c r="D880">
        <v>404974104</v>
      </c>
      <c r="E880" t="s">
        <v>3954</v>
      </c>
      <c r="F880" t="s">
        <v>4785</v>
      </c>
      <c r="G880">
        <v>21</v>
      </c>
      <c r="H880" t="s">
        <v>3954</v>
      </c>
      <c r="I880" t="s">
        <v>4212</v>
      </c>
      <c r="J880">
        <f t="shared" si="31"/>
        <v>412.07724000000002</v>
      </c>
      <c r="K880">
        <v>8653.6220400000002</v>
      </c>
      <c r="L880" t="s">
        <v>5050</v>
      </c>
    </row>
    <row r="881" spans="1:12" ht="50.1" customHeight="1">
      <c r="A881">
        <v>872</v>
      </c>
      <c r="B881" t="s">
        <v>4209</v>
      </c>
      <c r="C881" t="s">
        <v>5027</v>
      </c>
      <c r="D881">
        <v>404974104</v>
      </c>
      <c r="E881" t="s">
        <v>3954</v>
      </c>
      <c r="F881" t="s">
        <v>4785</v>
      </c>
      <c r="G881">
        <v>40</v>
      </c>
      <c r="H881" t="s">
        <v>3954</v>
      </c>
      <c r="I881" t="s">
        <v>4212</v>
      </c>
      <c r="J881">
        <f t="shared" si="31"/>
        <v>412.07723999999996</v>
      </c>
      <c r="K881">
        <v>16483.089599999999</v>
      </c>
      <c r="L881" t="s">
        <v>5051</v>
      </c>
    </row>
    <row r="882" spans="1:12" ht="50.1" customHeight="1">
      <c r="A882">
        <v>873</v>
      </c>
      <c r="B882" t="s">
        <v>4209</v>
      </c>
      <c r="C882" t="s">
        <v>5027</v>
      </c>
      <c r="D882">
        <v>404974104</v>
      </c>
      <c r="E882" t="s">
        <v>3954</v>
      </c>
      <c r="F882" t="s">
        <v>4785</v>
      </c>
      <c r="G882">
        <v>18</v>
      </c>
      <c r="H882" t="s">
        <v>3954</v>
      </c>
      <c r="I882" t="s">
        <v>4212</v>
      </c>
      <c r="J882">
        <f t="shared" si="31"/>
        <v>412.07723999999996</v>
      </c>
      <c r="K882">
        <v>7417.3903199999995</v>
      </c>
      <c r="L882" t="s">
        <v>5052</v>
      </c>
    </row>
    <row r="883" spans="1:12" ht="50.1" customHeight="1">
      <c r="A883">
        <v>874</v>
      </c>
      <c r="B883" t="s">
        <v>4209</v>
      </c>
      <c r="C883" t="s">
        <v>5027</v>
      </c>
      <c r="D883">
        <v>404974104</v>
      </c>
      <c r="E883" t="s">
        <v>3954</v>
      </c>
      <c r="F883" t="s">
        <v>4785</v>
      </c>
      <c r="G883">
        <v>36</v>
      </c>
      <c r="H883" t="s">
        <v>3954</v>
      </c>
      <c r="I883" t="s">
        <v>4212</v>
      </c>
      <c r="J883">
        <f t="shared" si="31"/>
        <v>412.07723999999996</v>
      </c>
      <c r="K883">
        <v>14834.780639999999</v>
      </c>
      <c r="L883" t="s">
        <v>5053</v>
      </c>
    </row>
    <row r="884" spans="1:12" ht="50.1" customHeight="1">
      <c r="A884">
        <v>875</v>
      </c>
      <c r="B884" t="s">
        <v>4209</v>
      </c>
      <c r="C884" t="s">
        <v>5027</v>
      </c>
      <c r="D884">
        <v>404974104</v>
      </c>
      <c r="E884" t="s">
        <v>3954</v>
      </c>
      <c r="F884" t="s">
        <v>4785</v>
      </c>
      <c r="G884">
        <v>36</v>
      </c>
      <c r="H884" t="s">
        <v>3954</v>
      </c>
      <c r="I884" t="s">
        <v>4212</v>
      </c>
      <c r="J884">
        <f t="shared" si="31"/>
        <v>412.07723999999996</v>
      </c>
      <c r="K884">
        <v>14834.780639999999</v>
      </c>
      <c r="L884" t="s">
        <v>5054</v>
      </c>
    </row>
    <row r="885" spans="1:12" ht="50.1" customHeight="1">
      <c r="A885">
        <v>876</v>
      </c>
      <c r="B885" t="s">
        <v>4209</v>
      </c>
      <c r="C885" t="s">
        <v>5027</v>
      </c>
      <c r="D885">
        <v>404974104</v>
      </c>
      <c r="E885" t="s">
        <v>3954</v>
      </c>
      <c r="F885" t="s">
        <v>4785</v>
      </c>
      <c r="G885">
        <v>32</v>
      </c>
      <c r="H885" t="s">
        <v>3954</v>
      </c>
      <c r="I885" t="s">
        <v>4212</v>
      </c>
      <c r="J885">
        <f t="shared" si="31"/>
        <v>412.07724000000002</v>
      </c>
      <c r="K885">
        <v>13186.471680000001</v>
      </c>
      <c r="L885" t="s">
        <v>5055</v>
      </c>
    </row>
    <row r="886" spans="1:12" ht="50.1" customHeight="1">
      <c r="A886">
        <v>877</v>
      </c>
      <c r="B886" t="s">
        <v>4209</v>
      </c>
      <c r="C886" t="s">
        <v>5027</v>
      </c>
      <c r="D886">
        <v>404974104</v>
      </c>
      <c r="E886" t="s">
        <v>3954</v>
      </c>
      <c r="F886" t="s">
        <v>4785</v>
      </c>
      <c r="G886">
        <v>520.69999999999993</v>
      </c>
      <c r="H886" t="s">
        <v>3954</v>
      </c>
      <c r="I886" t="s">
        <v>4212</v>
      </c>
      <c r="J886">
        <f t="shared" si="31"/>
        <v>412.07723999999996</v>
      </c>
      <c r="K886">
        <v>214568.61886799996</v>
      </c>
      <c r="L886" t="s">
        <v>5056</v>
      </c>
    </row>
    <row r="887" spans="1:12" ht="50.1" customHeight="1">
      <c r="A887">
        <v>878</v>
      </c>
      <c r="B887" t="s">
        <v>4209</v>
      </c>
      <c r="C887" t="s">
        <v>5027</v>
      </c>
      <c r="D887">
        <v>404974104</v>
      </c>
      <c r="E887" t="s">
        <v>3954</v>
      </c>
      <c r="F887" t="s">
        <v>4785</v>
      </c>
      <c r="G887">
        <v>36</v>
      </c>
      <c r="H887" t="s">
        <v>3954</v>
      </c>
      <c r="I887" t="s">
        <v>4212</v>
      </c>
      <c r="J887">
        <f t="shared" si="31"/>
        <v>412.07723999999996</v>
      </c>
      <c r="K887">
        <v>14834.780639999999</v>
      </c>
      <c r="L887" t="s">
        <v>5057</v>
      </c>
    </row>
    <row r="888" spans="1:12" ht="50.1" customHeight="1">
      <c r="A888">
        <v>879</v>
      </c>
      <c r="B888" t="s">
        <v>4209</v>
      </c>
      <c r="C888" t="s">
        <v>5027</v>
      </c>
      <c r="D888">
        <v>404974104</v>
      </c>
      <c r="E888" t="s">
        <v>3954</v>
      </c>
      <c r="F888" t="s">
        <v>4785</v>
      </c>
      <c r="G888">
        <v>297</v>
      </c>
      <c r="H888" t="s">
        <v>3954</v>
      </c>
      <c r="I888" t="s">
        <v>4212</v>
      </c>
      <c r="J888">
        <f t="shared" si="31"/>
        <v>412.07724000000007</v>
      </c>
      <c r="K888">
        <v>122386.94028000002</v>
      </c>
      <c r="L888" t="s">
        <v>5058</v>
      </c>
    </row>
    <row r="889" spans="1:12" ht="50.1" customHeight="1">
      <c r="A889">
        <v>880</v>
      </c>
      <c r="B889" t="s">
        <v>4209</v>
      </c>
      <c r="C889" t="s">
        <v>5027</v>
      </c>
      <c r="D889">
        <v>404974104</v>
      </c>
      <c r="E889" t="s">
        <v>3954</v>
      </c>
      <c r="F889" t="s">
        <v>4785</v>
      </c>
      <c r="G889">
        <v>64</v>
      </c>
      <c r="H889" t="s">
        <v>3954</v>
      </c>
      <c r="I889" t="s">
        <v>4212</v>
      </c>
      <c r="J889">
        <f t="shared" si="31"/>
        <v>412.07724000000002</v>
      </c>
      <c r="K889">
        <v>26372.943360000001</v>
      </c>
      <c r="L889" t="s">
        <v>5059</v>
      </c>
    </row>
    <row r="890" spans="1:12" ht="50.1" customHeight="1">
      <c r="A890">
        <v>881</v>
      </c>
      <c r="B890" t="s">
        <v>4209</v>
      </c>
      <c r="C890" t="s">
        <v>5027</v>
      </c>
      <c r="D890">
        <v>404974104</v>
      </c>
      <c r="E890" t="s">
        <v>3954</v>
      </c>
      <c r="F890" t="s">
        <v>4785</v>
      </c>
      <c r="G890">
        <v>63.13</v>
      </c>
      <c r="H890" t="s">
        <v>3954</v>
      </c>
      <c r="I890" t="s">
        <v>4212</v>
      </c>
      <c r="J890">
        <f t="shared" si="31"/>
        <v>412.07724000000002</v>
      </c>
      <c r="K890">
        <v>26014.436161200003</v>
      </c>
      <c r="L890" t="s">
        <v>5060</v>
      </c>
    </row>
    <row r="891" spans="1:12" ht="50.1" customHeight="1">
      <c r="A891">
        <v>882</v>
      </c>
      <c r="B891" t="s">
        <v>4209</v>
      </c>
      <c r="C891" t="s">
        <v>5027</v>
      </c>
      <c r="D891">
        <v>404974104</v>
      </c>
      <c r="E891" t="s">
        <v>3954</v>
      </c>
      <c r="F891" t="s">
        <v>4785</v>
      </c>
      <c r="G891">
        <v>18</v>
      </c>
      <c r="H891" t="s">
        <v>3954</v>
      </c>
      <c r="I891" t="s">
        <v>4212</v>
      </c>
      <c r="J891">
        <f t="shared" si="31"/>
        <v>412.07723999999996</v>
      </c>
      <c r="K891">
        <v>7417.3903199999995</v>
      </c>
      <c r="L891" t="s">
        <v>5061</v>
      </c>
    </row>
    <row r="892" spans="1:12" ht="50.1" customHeight="1">
      <c r="A892">
        <v>883</v>
      </c>
      <c r="B892" t="s">
        <v>4209</v>
      </c>
      <c r="C892" t="s">
        <v>5027</v>
      </c>
      <c r="D892">
        <v>404974104</v>
      </c>
      <c r="E892" t="s">
        <v>3954</v>
      </c>
      <c r="F892" t="s">
        <v>5015</v>
      </c>
      <c r="G892">
        <v>60.2</v>
      </c>
      <c r="H892" t="s">
        <v>3954</v>
      </c>
      <c r="I892" t="s">
        <v>4212</v>
      </c>
      <c r="J892">
        <f>K892/G892</f>
        <v>274.96478000000002</v>
      </c>
      <c r="K892">
        <v>16552.879756000002</v>
      </c>
      <c r="L892" t="s">
        <v>5062</v>
      </c>
    </row>
    <row r="893" spans="1:12" ht="50.1" customHeight="1">
      <c r="A893">
        <v>884</v>
      </c>
      <c r="B893" t="s">
        <v>4209</v>
      </c>
      <c r="C893" t="s">
        <v>5027</v>
      </c>
      <c r="D893">
        <v>404974104</v>
      </c>
      <c r="E893" t="s">
        <v>3954</v>
      </c>
      <c r="F893" t="s">
        <v>5015</v>
      </c>
      <c r="G893">
        <v>30</v>
      </c>
      <c r="H893" t="s">
        <v>3954</v>
      </c>
      <c r="I893" t="s">
        <v>4212</v>
      </c>
      <c r="J893">
        <f t="shared" ref="J893:J901" si="32">K893/G893</f>
        <v>274.96478000000002</v>
      </c>
      <c r="K893">
        <v>8248.9434000000001</v>
      </c>
      <c r="L893" t="s">
        <v>5063</v>
      </c>
    </row>
    <row r="894" spans="1:12" ht="50.1" customHeight="1">
      <c r="A894">
        <v>885</v>
      </c>
      <c r="B894" t="s">
        <v>4209</v>
      </c>
      <c r="C894" t="s">
        <v>5027</v>
      </c>
      <c r="D894">
        <v>404974104</v>
      </c>
      <c r="E894" t="s">
        <v>3954</v>
      </c>
      <c r="F894" t="s">
        <v>5015</v>
      </c>
      <c r="G894">
        <v>32</v>
      </c>
      <c r="H894" t="s">
        <v>3954</v>
      </c>
      <c r="I894" t="s">
        <v>4212</v>
      </c>
      <c r="J894">
        <f t="shared" si="32"/>
        <v>274.96478000000002</v>
      </c>
      <c r="K894">
        <v>8798.8729600000006</v>
      </c>
      <c r="L894" t="s">
        <v>5064</v>
      </c>
    </row>
    <row r="895" spans="1:12" ht="50.1" customHeight="1">
      <c r="A895">
        <v>886</v>
      </c>
      <c r="B895" t="s">
        <v>4209</v>
      </c>
      <c r="C895" t="s">
        <v>5027</v>
      </c>
      <c r="D895">
        <v>404974104</v>
      </c>
      <c r="E895" t="s">
        <v>3954</v>
      </c>
      <c r="F895" t="s">
        <v>5015</v>
      </c>
      <c r="G895">
        <v>21.7</v>
      </c>
      <c r="H895" t="s">
        <v>3954</v>
      </c>
      <c r="I895" t="s">
        <v>4212</v>
      </c>
      <c r="J895">
        <f t="shared" si="32"/>
        <v>274.96478000000002</v>
      </c>
      <c r="K895">
        <v>5966.7357260000008</v>
      </c>
      <c r="L895" t="s">
        <v>5065</v>
      </c>
    </row>
    <row r="896" spans="1:12" ht="50.1" customHeight="1">
      <c r="A896">
        <v>887</v>
      </c>
      <c r="B896" t="s">
        <v>4209</v>
      </c>
      <c r="C896" t="s">
        <v>5027</v>
      </c>
      <c r="D896">
        <v>404974104</v>
      </c>
      <c r="E896" t="s">
        <v>3954</v>
      </c>
      <c r="F896" t="s">
        <v>5015</v>
      </c>
      <c r="G896">
        <v>52</v>
      </c>
      <c r="H896" t="s">
        <v>3954</v>
      </c>
      <c r="I896" t="s">
        <v>4212</v>
      </c>
      <c r="J896">
        <f t="shared" si="32"/>
        <v>274.96478000000002</v>
      </c>
      <c r="K896">
        <v>14298.16856</v>
      </c>
      <c r="L896" t="s">
        <v>5066</v>
      </c>
    </row>
    <row r="897" spans="1:12" ht="50.1" customHeight="1">
      <c r="A897">
        <v>888</v>
      </c>
      <c r="B897" t="s">
        <v>4209</v>
      </c>
      <c r="C897" t="s">
        <v>5027</v>
      </c>
      <c r="D897">
        <v>404974104</v>
      </c>
      <c r="E897" t="s">
        <v>3954</v>
      </c>
      <c r="F897" t="s">
        <v>5015</v>
      </c>
      <c r="G897">
        <v>18</v>
      </c>
      <c r="H897" t="s">
        <v>3954</v>
      </c>
      <c r="I897" t="s">
        <v>4212</v>
      </c>
      <c r="J897">
        <f t="shared" si="32"/>
        <v>274.96478000000002</v>
      </c>
      <c r="K897">
        <v>4949.3660400000008</v>
      </c>
      <c r="L897" t="s">
        <v>5067</v>
      </c>
    </row>
    <row r="898" spans="1:12" ht="50.1" customHeight="1">
      <c r="A898">
        <v>889</v>
      </c>
      <c r="B898" t="s">
        <v>4209</v>
      </c>
      <c r="C898" t="s">
        <v>5027</v>
      </c>
      <c r="D898">
        <v>404974104</v>
      </c>
      <c r="E898" t="s">
        <v>3954</v>
      </c>
      <c r="F898" t="s">
        <v>5015</v>
      </c>
      <c r="G898">
        <v>36</v>
      </c>
      <c r="H898" t="s">
        <v>3954</v>
      </c>
      <c r="I898" t="s">
        <v>4212</v>
      </c>
      <c r="J898">
        <f t="shared" si="32"/>
        <v>274.96478000000002</v>
      </c>
      <c r="K898">
        <v>9898.7320800000016</v>
      </c>
      <c r="L898" t="s">
        <v>5068</v>
      </c>
    </row>
    <row r="899" spans="1:12" ht="50.1" customHeight="1">
      <c r="A899">
        <v>890</v>
      </c>
      <c r="B899" t="s">
        <v>4209</v>
      </c>
      <c r="C899" t="s">
        <v>5027</v>
      </c>
      <c r="D899">
        <v>404974104</v>
      </c>
      <c r="E899" t="s">
        <v>3954</v>
      </c>
      <c r="F899" t="s">
        <v>5015</v>
      </c>
      <c r="G899">
        <v>36</v>
      </c>
      <c r="H899" t="s">
        <v>3954</v>
      </c>
      <c r="I899" t="s">
        <v>4212</v>
      </c>
      <c r="J899">
        <f t="shared" si="32"/>
        <v>274.96478000000002</v>
      </c>
      <c r="K899">
        <v>9898.7320800000016</v>
      </c>
      <c r="L899" t="s">
        <v>5069</v>
      </c>
    </row>
    <row r="900" spans="1:12" ht="50.1" customHeight="1">
      <c r="A900">
        <v>891</v>
      </c>
      <c r="B900" t="s">
        <v>4209</v>
      </c>
      <c r="C900" t="s">
        <v>5027</v>
      </c>
      <c r="D900">
        <v>404974104</v>
      </c>
      <c r="E900" t="s">
        <v>3954</v>
      </c>
      <c r="F900" t="s">
        <v>5015</v>
      </c>
      <c r="G900">
        <v>27.9</v>
      </c>
      <c r="H900" t="s">
        <v>3954</v>
      </c>
      <c r="I900" t="s">
        <v>4212</v>
      </c>
      <c r="J900">
        <f t="shared" si="32"/>
        <v>274.96478000000002</v>
      </c>
      <c r="K900">
        <v>7671.5173620000005</v>
      </c>
      <c r="L900" t="s">
        <v>5070</v>
      </c>
    </row>
    <row r="901" spans="1:12" ht="50.1" customHeight="1">
      <c r="A901">
        <v>892</v>
      </c>
      <c r="B901" t="s">
        <v>4209</v>
      </c>
      <c r="C901" t="s">
        <v>5027</v>
      </c>
      <c r="D901">
        <v>404974104</v>
      </c>
      <c r="E901" t="s">
        <v>3954</v>
      </c>
      <c r="F901" t="s">
        <v>5071</v>
      </c>
      <c r="G901">
        <v>18</v>
      </c>
      <c r="H901" t="s">
        <v>3954</v>
      </c>
      <c r="I901" t="s">
        <v>4212</v>
      </c>
      <c r="J901">
        <f t="shared" si="32"/>
        <v>189.78175999999999</v>
      </c>
      <c r="K901">
        <v>3416.07168</v>
      </c>
      <c r="L901" t="s">
        <v>5072</v>
      </c>
    </row>
    <row r="902" spans="1:12" ht="50.1" customHeight="1">
      <c r="A902">
        <v>893</v>
      </c>
      <c r="B902" t="s">
        <v>4209</v>
      </c>
      <c r="C902" t="s">
        <v>5027</v>
      </c>
      <c r="D902">
        <v>404974104</v>
      </c>
      <c r="E902" t="s">
        <v>3954</v>
      </c>
      <c r="F902" t="s">
        <v>5071</v>
      </c>
      <c r="G902">
        <v>24</v>
      </c>
      <c r="H902" t="s">
        <v>3954</v>
      </c>
      <c r="I902" t="s">
        <v>4212</v>
      </c>
      <c r="J902">
        <f>K902/G902</f>
        <v>189.78175999999999</v>
      </c>
      <c r="K902">
        <v>4554.76224</v>
      </c>
      <c r="L902" t="s">
        <v>5072</v>
      </c>
    </row>
    <row r="903" spans="1:12" ht="50.1" customHeight="1">
      <c r="A903">
        <v>894</v>
      </c>
      <c r="B903" t="s">
        <v>4209</v>
      </c>
      <c r="C903" t="s">
        <v>5027</v>
      </c>
      <c r="D903">
        <v>404974104</v>
      </c>
      <c r="E903" t="s">
        <v>3954</v>
      </c>
      <c r="F903" t="s">
        <v>5071</v>
      </c>
      <c r="G903">
        <v>79.8</v>
      </c>
      <c r="H903" t="s">
        <v>3954</v>
      </c>
      <c r="I903" t="s">
        <v>4212</v>
      </c>
      <c r="J903">
        <f t="shared" ref="J903:J920" si="33">K903/G903</f>
        <v>125.91308671679199</v>
      </c>
      <c r="K903">
        <v>10047.864320000001</v>
      </c>
      <c r="L903" t="s">
        <v>5073</v>
      </c>
    </row>
    <row r="904" spans="1:12" ht="50.1" customHeight="1">
      <c r="A904">
        <v>895</v>
      </c>
      <c r="B904" t="s">
        <v>4209</v>
      </c>
      <c r="C904" t="s">
        <v>5027</v>
      </c>
      <c r="D904">
        <v>404974104</v>
      </c>
      <c r="E904" t="s">
        <v>3954</v>
      </c>
      <c r="F904" t="s">
        <v>5071</v>
      </c>
      <c r="G904">
        <v>36</v>
      </c>
      <c r="H904" t="s">
        <v>3954</v>
      </c>
      <c r="I904" t="s">
        <v>4212</v>
      </c>
      <c r="J904">
        <f t="shared" si="33"/>
        <v>189.78175999999999</v>
      </c>
      <c r="K904">
        <v>6832.14336</v>
      </c>
      <c r="L904" t="s">
        <v>5074</v>
      </c>
    </row>
    <row r="905" spans="1:12" ht="50.1" customHeight="1">
      <c r="A905">
        <v>896</v>
      </c>
      <c r="B905" t="s">
        <v>4209</v>
      </c>
      <c r="C905" t="s">
        <v>5027</v>
      </c>
      <c r="D905">
        <v>404974104</v>
      </c>
      <c r="E905" t="s">
        <v>3954</v>
      </c>
      <c r="F905" t="s">
        <v>5071</v>
      </c>
      <c r="G905">
        <v>18</v>
      </c>
      <c r="H905" t="s">
        <v>3954</v>
      </c>
      <c r="I905" t="s">
        <v>4212</v>
      </c>
      <c r="J905">
        <f t="shared" si="33"/>
        <v>189.78175999999999</v>
      </c>
      <c r="K905">
        <v>3416.07168</v>
      </c>
      <c r="L905" t="s">
        <v>5075</v>
      </c>
    </row>
    <row r="906" spans="1:12" ht="50.1" customHeight="1">
      <c r="A906">
        <v>897</v>
      </c>
      <c r="B906" t="s">
        <v>4209</v>
      </c>
      <c r="C906" t="s">
        <v>5027</v>
      </c>
      <c r="D906">
        <v>404974104</v>
      </c>
      <c r="E906" t="s">
        <v>3954</v>
      </c>
      <c r="F906" t="s">
        <v>5071</v>
      </c>
      <c r="G906">
        <v>23.1</v>
      </c>
      <c r="H906" t="s">
        <v>3954</v>
      </c>
      <c r="I906" t="s">
        <v>4212</v>
      </c>
      <c r="J906">
        <f t="shared" si="33"/>
        <v>189.78175999999999</v>
      </c>
      <c r="K906">
        <v>4383.9586559999998</v>
      </c>
      <c r="L906" t="s">
        <v>5076</v>
      </c>
    </row>
    <row r="907" spans="1:12" ht="50.1" customHeight="1">
      <c r="A907">
        <v>898</v>
      </c>
      <c r="B907" t="s">
        <v>4209</v>
      </c>
      <c r="C907" t="s">
        <v>5027</v>
      </c>
      <c r="D907">
        <v>404974104</v>
      </c>
      <c r="E907" t="s">
        <v>3954</v>
      </c>
      <c r="F907" t="s">
        <v>5071</v>
      </c>
      <c r="G907">
        <v>36</v>
      </c>
      <c r="H907" t="s">
        <v>3954</v>
      </c>
      <c r="I907" t="s">
        <v>4212</v>
      </c>
      <c r="J907">
        <f t="shared" si="33"/>
        <v>189.78175999999999</v>
      </c>
      <c r="K907">
        <v>6832.14336</v>
      </c>
      <c r="L907" t="s">
        <v>5077</v>
      </c>
    </row>
    <row r="908" spans="1:12" ht="50.1" customHeight="1">
      <c r="A908">
        <v>899</v>
      </c>
      <c r="B908" t="s">
        <v>4209</v>
      </c>
      <c r="C908" t="s">
        <v>5027</v>
      </c>
      <c r="D908">
        <v>404974104</v>
      </c>
      <c r="E908" t="s">
        <v>3954</v>
      </c>
      <c r="F908" t="s">
        <v>5071</v>
      </c>
      <c r="G908">
        <v>19.139999999999997</v>
      </c>
      <c r="H908" t="s">
        <v>3954</v>
      </c>
      <c r="I908" t="s">
        <v>4212</v>
      </c>
      <c r="J908">
        <f t="shared" si="33"/>
        <v>189.78175999999999</v>
      </c>
      <c r="K908">
        <v>3632.4228863999992</v>
      </c>
      <c r="L908" t="s">
        <v>5078</v>
      </c>
    </row>
    <row r="909" spans="1:12" ht="50.1" customHeight="1">
      <c r="A909">
        <v>900</v>
      </c>
      <c r="B909" t="s">
        <v>4209</v>
      </c>
      <c r="C909" t="s">
        <v>5027</v>
      </c>
      <c r="D909">
        <v>404974104</v>
      </c>
      <c r="E909" t="s">
        <v>3954</v>
      </c>
      <c r="F909" t="s">
        <v>5071</v>
      </c>
      <c r="G909">
        <v>48</v>
      </c>
      <c r="H909" t="s">
        <v>3954</v>
      </c>
      <c r="I909" t="s">
        <v>4212</v>
      </c>
      <c r="J909">
        <f t="shared" si="33"/>
        <v>103.504008</v>
      </c>
      <c r="K909">
        <v>4968.1923839999999</v>
      </c>
      <c r="L909" t="s">
        <v>5079</v>
      </c>
    </row>
    <row r="910" spans="1:12" ht="50.1" customHeight="1">
      <c r="A910">
        <v>901</v>
      </c>
      <c r="B910" t="s">
        <v>4209</v>
      </c>
      <c r="C910" t="s">
        <v>5027</v>
      </c>
      <c r="D910">
        <v>404974104</v>
      </c>
      <c r="E910" t="s">
        <v>3954</v>
      </c>
      <c r="F910" t="s">
        <v>5071</v>
      </c>
      <c r="G910">
        <v>40</v>
      </c>
      <c r="H910" t="s">
        <v>3954</v>
      </c>
      <c r="I910" t="s">
        <v>4212</v>
      </c>
      <c r="J910">
        <f t="shared" si="33"/>
        <v>189.78176000000002</v>
      </c>
      <c r="K910">
        <v>7591.2704000000003</v>
      </c>
      <c r="L910" t="s">
        <v>5080</v>
      </c>
    </row>
    <row r="911" spans="1:12" ht="50.1" customHeight="1">
      <c r="A911">
        <v>902</v>
      </c>
      <c r="B911" t="s">
        <v>4209</v>
      </c>
      <c r="C911" t="s">
        <v>5027</v>
      </c>
      <c r="D911">
        <v>404974104</v>
      </c>
      <c r="E911" t="s">
        <v>3954</v>
      </c>
      <c r="F911" t="s">
        <v>5071</v>
      </c>
      <c r="G911">
        <v>45</v>
      </c>
      <c r="H911" t="s">
        <v>3954</v>
      </c>
      <c r="I911" t="s">
        <v>4212</v>
      </c>
      <c r="J911">
        <f t="shared" si="33"/>
        <v>189.78176000000002</v>
      </c>
      <c r="K911">
        <v>8540.1792000000005</v>
      </c>
      <c r="L911" t="s">
        <v>5081</v>
      </c>
    </row>
    <row r="912" spans="1:12" ht="50.1" customHeight="1">
      <c r="A912">
        <v>903</v>
      </c>
      <c r="B912" t="s">
        <v>4209</v>
      </c>
      <c r="C912" t="s">
        <v>5027</v>
      </c>
      <c r="D912">
        <v>404974104</v>
      </c>
      <c r="E912" t="s">
        <v>3954</v>
      </c>
      <c r="F912" t="s">
        <v>5071</v>
      </c>
      <c r="G912">
        <v>28</v>
      </c>
      <c r="H912" t="s">
        <v>3954</v>
      </c>
      <c r="I912" t="s">
        <v>4212</v>
      </c>
      <c r="J912">
        <f t="shared" si="33"/>
        <v>189.78176000000002</v>
      </c>
      <c r="K912">
        <v>5313.8892800000003</v>
      </c>
      <c r="L912" t="s">
        <v>5082</v>
      </c>
    </row>
    <row r="913" spans="1:12" ht="50.1" customHeight="1">
      <c r="A913">
        <v>904</v>
      </c>
      <c r="B913" t="s">
        <v>4209</v>
      </c>
      <c r="C913" t="s">
        <v>5027</v>
      </c>
      <c r="D913">
        <v>404974104</v>
      </c>
      <c r="E913" t="s">
        <v>3954</v>
      </c>
      <c r="F913" t="s">
        <v>5071</v>
      </c>
      <c r="G913">
        <v>49.2</v>
      </c>
      <c r="H913" t="s">
        <v>3954</v>
      </c>
      <c r="I913" t="s">
        <v>4212</v>
      </c>
      <c r="J913">
        <f t="shared" si="33"/>
        <v>189.78176000000002</v>
      </c>
      <c r="K913">
        <v>9337.262592000001</v>
      </c>
      <c r="L913" t="s">
        <v>5083</v>
      </c>
    </row>
    <row r="914" spans="1:12" ht="50.1" customHeight="1">
      <c r="A914">
        <v>905</v>
      </c>
      <c r="B914" t="s">
        <v>4209</v>
      </c>
      <c r="C914" t="s">
        <v>5027</v>
      </c>
      <c r="D914">
        <v>404974104</v>
      </c>
      <c r="E914" t="s">
        <v>3954</v>
      </c>
      <c r="F914" t="s">
        <v>5084</v>
      </c>
      <c r="G914">
        <v>36</v>
      </c>
      <c r="H914" t="s">
        <v>3954</v>
      </c>
      <c r="I914" t="s">
        <v>4212</v>
      </c>
      <c r="J914">
        <f t="shared" si="33"/>
        <v>216.62232320000001</v>
      </c>
      <c r="K914">
        <v>7798.4036352000003</v>
      </c>
      <c r="L914" t="s">
        <v>5085</v>
      </c>
    </row>
    <row r="915" spans="1:12" ht="50.1" customHeight="1">
      <c r="A915">
        <v>906</v>
      </c>
      <c r="B915" t="s">
        <v>4209</v>
      </c>
      <c r="C915" t="s">
        <v>5027</v>
      </c>
      <c r="D915">
        <v>404974104</v>
      </c>
      <c r="E915" t="s">
        <v>3954</v>
      </c>
      <c r="F915" t="s">
        <v>4715</v>
      </c>
      <c r="G915">
        <v>30.42</v>
      </c>
      <c r="H915" t="s">
        <v>3954</v>
      </c>
      <c r="I915" t="s">
        <v>4212</v>
      </c>
      <c r="J915">
        <f t="shared" si="33"/>
        <v>87.331360946745548</v>
      </c>
      <c r="K915">
        <v>2656.62</v>
      </c>
      <c r="L915" t="s">
        <v>5086</v>
      </c>
    </row>
    <row r="916" spans="1:12" ht="50.1" customHeight="1">
      <c r="A916">
        <v>907</v>
      </c>
      <c r="B916" t="s">
        <v>4209</v>
      </c>
      <c r="C916" t="s">
        <v>5027</v>
      </c>
      <c r="D916">
        <v>404974104</v>
      </c>
      <c r="E916" t="s">
        <v>3954</v>
      </c>
      <c r="F916" t="s">
        <v>5087</v>
      </c>
      <c r="G916">
        <v>60</v>
      </c>
      <c r="H916" t="s">
        <v>3954</v>
      </c>
      <c r="I916" t="s">
        <v>4212</v>
      </c>
      <c r="J916">
        <f t="shared" si="33"/>
        <v>81.858959999999982</v>
      </c>
      <c r="K916">
        <v>4911.5375999999987</v>
      </c>
      <c r="L916" t="s">
        <v>5088</v>
      </c>
    </row>
    <row r="917" spans="1:12" ht="50.1" customHeight="1">
      <c r="A917">
        <v>908</v>
      </c>
      <c r="B917" t="s">
        <v>4209</v>
      </c>
      <c r="C917" t="s">
        <v>5027</v>
      </c>
      <c r="D917">
        <v>404974104</v>
      </c>
      <c r="E917" t="s">
        <v>3954</v>
      </c>
      <c r="F917" t="s">
        <v>5087</v>
      </c>
      <c r="G917">
        <v>40.25</v>
      </c>
      <c r="H917" t="s">
        <v>3954</v>
      </c>
      <c r="I917" t="s">
        <v>4212</v>
      </c>
      <c r="J917">
        <f t="shared" si="33"/>
        <v>81.858959999999982</v>
      </c>
      <c r="K917">
        <v>3294.8231399999995</v>
      </c>
      <c r="L917" t="s">
        <v>5089</v>
      </c>
    </row>
    <row r="918" spans="1:12" ht="50.1" customHeight="1">
      <c r="A918">
        <v>909</v>
      </c>
      <c r="B918" t="s">
        <v>4209</v>
      </c>
      <c r="C918" t="s">
        <v>5027</v>
      </c>
      <c r="D918">
        <v>404974104</v>
      </c>
      <c r="E918" t="s">
        <v>3954</v>
      </c>
      <c r="G918">
        <v>1723.0400000000002</v>
      </c>
      <c r="H918" t="s">
        <v>3954</v>
      </c>
      <c r="I918" t="s">
        <v>4212</v>
      </c>
      <c r="J918">
        <f t="shared" si="33"/>
        <v>35.538182514625312</v>
      </c>
      <c r="K918">
        <v>61233.71</v>
      </c>
      <c r="L918" t="s">
        <v>4714</v>
      </c>
    </row>
    <row r="919" spans="1:12" ht="50.1" customHeight="1">
      <c r="A919">
        <v>910</v>
      </c>
      <c r="B919" t="s">
        <v>4209</v>
      </c>
      <c r="C919" t="s">
        <v>5027</v>
      </c>
      <c r="D919">
        <v>404974104</v>
      </c>
      <c r="E919" t="s">
        <v>3954</v>
      </c>
      <c r="F919" t="s">
        <v>5087</v>
      </c>
      <c r="G919">
        <f>12.3*4</f>
        <v>49.2</v>
      </c>
      <c r="H919" t="s">
        <v>3954</v>
      </c>
      <c r="I919" t="s">
        <v>4212</v>
      </c>
      <c r="J919">
        <f t="shared" si="33"/>
        <v>35.674186991869917</v>
      </c>
      <c r="K919">
        <v>1755.17</v>
      </c>
      <c r="L919" t="s">
        <v>5083</v>
      </c>
    </row>
    <row r="920" spans="1:12" ht="50.1" customHeight="1">
      <c r="A920">
        <v>911</v>
      </c>
      <c r="B920" t="s">
        <v>4209</v>
      </c>
      <c r="C920" t="s">
        <v>5027</v>
      </c>
      <c r="D920">
        <v>404974104</v>
      </c>
      <c r="E920" t="s">
        <v>3954</v>
      </c>
      <c r="F920" t="s">
        <v>5087</v>
      </c>
      <c r="G920">
        <v>40</v>
      </c>
      <c r="H920" t="s">
        <v>3954</v>
      </c>
      <c r="I920" t="s">
        <v>4212</v>
      </c>
      <c r="J920">
        <f t="shared" si="33"/>
        <v>35.71875</v>
      </c>
      <c r="K920">
        <v>1428.75</v>
      </c>
      <c r="L920" t="s">
        <v>5090</v>
      </c>
    </row>
    <row r="921" spans="1:12" ht="50.1" customHeight="1">
      <c r="A921">
        <v>912</v>
      </c>
      <c r="B921" t="s">
        <v>3952</v>
      </c>
      <c r="C921" t="s">
        <v>5091</v>
      </c>
      <c r="D921">
        <v>202221577</v>
      </c>
      <c r="E921" t="s">
        <v>3954</v>
      </c>
      <c r="F921" t="s">
        <v>5092</v>
      </c>
      <c r="H921" t="s">
        <v>3954</v>
      </c>
      <c r="K921">
        <v>1200</v>
      </c>
      <c r="L921" t="s">
        <v>5093</v>
      </c>
    </row>
    <row r="922" spans="1:12" ht="50.1" customHeight="1">
      <c r="A922">
        <v>913</v>
      </c>
      <c r="B922" t="s">
        <v>3977</v>
      </c>
      <c r="C922" t="s">
        <v>4231</v>
      </c>
      <c r="D922">
        <v>202224609</v>
      </c>
      <c r="E922" t="s">
        <v>3954</v>
      </c>
      <c r="F922" t="s">
        <v>5094</v>
      </c>
      <c r="G922">
        <v>2850</v>
      </c>
      <c r="H922" t="s">
        <v>3954</v>
      </c>
      <c r="I922" t="s">
        <v>3979</v>
      </c>
      <c r="J922">
        <f>K922/G922</f>
        <v>0.59649122807017541</v>
      </c>
      <c r="K922">
        <v>1700</v>
      </c>
      <c r="L922" t="s">
        <v>5095</v>
      </c>
    </row>
    <row r="923" spans="1:12" ht="50.1" customHeight="1">
      <c r="A923">
        <v>914</v>
      </c>
      <c r="B923" t="s">
        <v>3977</v>
      </c>
      <c r="C923" t="s">
        <v>4231</v>
      </c>
      <c r="D923">
        <v>202224609</v>
      </c>
      <c r="E923" t="s">
        <v>3954</v>
      </c>
      <c r="F923" t="s">
        <v>5094</v>
      </c>
      <c r="G923">
        <v>75</v>
      </c>
      <c r="H923" t="s">
        <v>3954</v>
      </c>
      <c r="I923" t="s">
        <v>3979</v>
      </c>
      <c r="J923">
        <f>K923/G923</f>
        <v>4</v>
      </c>
      <c r="K923">
        <v>300</v>
      </c>
      <c r="L923" t="s">
        <v>5096</v>
      </c>
    </row>
    <row r="924" spans="1:12" ht="50.1" customHeight="1">
      <c r="A924">
        <v>915</v>
      </c>
      <c r="B924" t="s">
        <v>3952</v>
      </c>
      <c r="C924" t="s">
        <v>4187</v>
      </c>
      <c r="D924">
        <v>202459259</v>
      </c>
      <c r="E924" t="s">
        <v>3954</v>
      </c>
      <c r="F924" t="s">
        <v>5097</v>
      </c>
      <c r="H924" t="s">
        <v>3954</v>
      </c>
      <c r="K924">
        <v>354</v>
      </c>
      <c r="L924" t="s">
        <v>5098</v>
      </c>
    </row>
    <row r="925" spans="1:12" ht="50.1" customHeight="1">
      <c r="A925">
        <v>916</v>
      </c>
      <c r="B925" t="s">
        <v>3952</v>
      </c>
      <c r="C925" t="s">
        <v>4187</v>
      </c>
      <c r="D925">
        <v>202459259</v>
      </c>
      <c r="E925" t="s">
        <v>3954</v>
      </c>
      <c r="F925" t="s">
        <v>5097</v>
      </c>
      <c r="H925" t="s">
        <v>3954</v>
      </c>
      <c r="K925">
        <v>354</v>
      </c>
      <c r="L925" t="s">
        <v>5099</v>
      </c>
    </row>
    <row r="926" spans="1:12" ht="50.1" customHeight="1">
      <c r="A926">
        <v>917</v>
      </c>
      <c r="B926" t="s">
        <v>3952</v>
      </c>
      <c r="C926" t="s">
        <v>4187</v>
      </c>
      <c r="D926">
        <v>202459259</v>
      </c>
      <c r="E926" t="s">
        <v>3954</v>
      </c>
      <c r="F926" t="s">
        <v>5097</v>
      </c>
      <c r="H926" t="s">
        <v>3954</v>
      </c>
      <c r="K926">
        <v>354</v>
      </c>
      <c r="L926" t="s">
        <v>5100</v>
      </c>
    </row>
    <row r="927" spans="1:12" ht="50.1" customHeight="1">
      <c r="A927">
        <v>918</v>
      </c>
      <c r="B927" t="s">
        <v>3952</v>
      </c>
      <c r="C927" t="s">
        <v>4187</v>
      </c>
      <c r="D927">
        <v>202459259</v>
      </c>
      <c r="E927" t="s">
        <v>3954</v>
      </c>
      <c r="F927" t="s">
        <v>5097</v>
      </c>
      <c r="H927" t="s">
        <v>3954</v>
      </c>
      <c r="K927">
        <v>354</v>
      </c>
      <c r="L927" t="s">
        <v>5101</v>
      </c>
    </row>
    <row r="928" spans="1:12" ht="50.1" customHeight="1">
      <c r="A928">
        <v>919</v>
      </c>
      <c r="B928" t="s">
        <v>3952</v>
      </c>
      <c r="C928" t="s">
        <v>4106</v>
      </c>
      <c r="D928">
        <v>204447651</v>
      </c>
      <c r="E928" t="s">
        <v>3954</v>
      </c>
      <c r="F928" t="s">
        <v>5097</v>
      </c>
      <c r="H928" t="s">
        <v>3954</v>
      </c>
      <c r="K928">
        <v>1349.95</v>
      </c>
      <c r="L928" t="s">
        <v>5102</v>
      </c>
    </row>
    <row r="929" spans="1:12" ht="50.1" customHeight="1">
      <c r="A929">
        <v>920</v>
      </c>
      <c r="B929" t="s">
        <v>3952</v>
      </c>
      <c r="C929" t="s">
        <v>4106</v>
      </c>
      <c r="D929">
        <v>204447651</v>
      </c>
      <c r="E929" t="s">
        <v>3954</v>
      </c>
      <c r="F929" t="s">
        <v>5103</v>
      </c>
      <c r="H929" t="s">
        <v>3954</v>
      </c>
      <c r="K929">
        <v>675</v>
      </c>
      <c r="L929" t="s">
        <v>5104</v>
      </c>
    </row>
    <row r="930" spans="1:12" ht="50.1" customHeight="1">
      <c r="A930">
        <v>921</v>
      </c>
      <c r="B930" t="s">
        <v>4209</v>
      </c>
      <c r="C930" t="s">
        <v>5105</v>
      </c>
      <c r="D930">
        <v>204873388</v>
      </c>
      <c r="E930" t="s">
        <v>3954</v>
      </c>
      <c r="F930" t="s">
        <v>5106</v>
      </c>
      <c r="G930">
        <v>36</v>
      </c>
      <c r="H930" t="s">
        <v>3954</v>
      </c>
      <c r="I930" t="s">
        <v>5107</v>
      </c>
      <c r="J930">
        <f>K930/G930</f>
        <v>68.957222222222228</v>
      </c>
      <c r="K930">
        <v>2482.46</v>
      </c>
      <c r="L930" t="s">
        <v>5108</v>
      </c>
    </row>
    <row r="931" spans="1:12" ht="50.1" customHeight="1">
      <c r="A931">
        <v>922</v>
      </c>
      <c r="B931" t="s">
        <v>3952</v>
      </c>
      <c r="C931" t="s">
        <v>5109</v>
      </c>
      <c r="D931">
        <v>206341010</v>
      </c>
      <c r="E931" t="s">
        <v>3954</v>
      </c>
      <c r="F931" t="s">
        <v>5092</v>
      </c>
      <c r="H931" t="s">
        <v>3954</v>
      </c>
      <c r="K931">
        <v>700</v>
      </c>
      <c r="L931" t="s">
        <v>5110</v>
      </c>
    </row>
    <row r="932" spans="1:12" ht="50.1" customHeight="1">
      <c r="A932">
        <v>923</v>
      </c>
      <c r="B932" t="s">
        <v>3952</v>
      </c>
      <c r="C932" t="s">
        <v>5111</v>
      </c>
      <c r="D932">
        <v>211323735</v>
      </c>
      <c r="E932" t="s">
        <v>3954</v>
      </c>
      <c r="F932" t="s">
        <v>5094</v>
      </c>
      <c r="H932" t="s">
        <v>3954</v>
      </c>
      <c r="K932">
        <v>708</v>
      </c>
      <c r="L932" t="s">
        <v>5112</v>
      </c>
    </row>
    <row r="933" spans="1:12" ht="50.1" customHeight="1">
      <c r="A933">
        <v>924</v>
      </c>
      <c r="B933" t="s">
        <v>3977</v>
      </c>
      <c r="C933" t="s">
        <v>3978</v>
      </c>
      <c r="D933">
        <v>211326224</v>
      </c>
      <c r="E933" t="s">
        <v>3954</v>
      </c>
      <c r="F933" t="s">
        <v>5094</v>
      </c>
      <c r="G933">
        <v>2000</v>
      </c>
      <c r="H933" t="s">
        <v>3954</v>
      </c>
      <c r="I933" t="s">
        <v>3979</v>
      </c>
      <c r="J933">
        <f>K933/G933</f>
        <v>4.4997700000000007</v>
      </c>
      <c r="K933">
        <v>8999.5400000000009</v>
      </c>
      <c r="L933" t="s">
        <v>5113</v>
      </c>
    </row>
    <row r="934" spans="1:12" ht="50.1" customHeight="1">
      <c r="A934">
        <v>925</v>
      </c>
      <c r="B934" t="s">
        <v>3977</v>
      </c>
      <c r="C934" t="s">
        <v>3978</v>
      </c>
      <c r="D934">
        <v>211326224</v>
      </c>
      <c r="E934" t="s">
        <v>3954</v>
      </c>
      <c r="F934" t="s">
        <v>5094</v>
      </c>
      <c r="G934">
        <v>2000</v>
      </c>
      <c r="H934" t="s">
        <v>3954</v>
      </c>
      <c r="I934" t="s">
        <v>3979</v>
      </c>
      <c r="J934">
        <f>K934/G934</f>
        <v>2.960375</v>
      </c>
      <c r="K934">
        <v>5920.75</v>
      </c>
      <c r="L934" t="s">
        <v>5114</v>
      </c>
    </row>
    <row r="935" spans="1:12" ht="50.1" customHeight="1">
      <c r="A935">
        <v>926</v>
      </c>
      <c r="B935" t="s">
        <v>3952</v>
      </c>
      <c r="C935" t="s">
        <v>5115</v>
      </c>
      <c r="D935">
        <v>212822775</v>
      </c>
      <c r="E935" t="s">
        <v>3954</v>
      </c>
      <c r="F935" t="s">
        <v>5116</v>
      </c>
      <c r="H935" t="s">
        <v>3954</v>
      </c>
      <c r="K935">
        <v>1000</v>
      </c>
      <c r="L935" t="s">
        <v>5117</v>
      </c>
    </row>
    <row r="936" spans="1:12" ht="50.1" customHeight="1">
      <c r="A936">
        <v>927</v>
      </c>
      <c r="B936" t="s">
        <v>3952</v>
      </c>
      <c r="C936" t="s">
        <v>5115</v>
      </c>
      <c r="D936">
        <v>212822775</v>
      </c>
      <c r="E936" t="s">
        <v>3954</v>
      </c>
      <c r="F936" t="s">
        <v>5118</v>
      </c>
      <c r="H936" t="s">
        <v>3954</v>
      </c>
      <c r="K936">
        <v>1200</v>
      </c>
      <c r="L936" t="s">
        <v>5119</v>
      </c>
    </row>
    <row r="937" spans="1:12" ht="50.1" customHeight="1">
      <c r="A937">
        <v>928</v>
      </c>
      <c r="B937" t="s">
        <v>3977</v>
      </c>
      <c r="C937" t="s">
        <v>5115</v>
      </c>
      <c r="D937">
        <v>212822775</v>
      </c>
      <c r="E937" t="s">
        <v>3954</v>
      </c>
      <c r="F937" t="s">
        <v>5116</v>
      </c>
      <c r="G937">
        <v>4000</v>
      </c>
      <c r="H937" t="s">
        <v>3954</v>
      </c>
      <c r="I937" t="s">
        <v>3979</v>
      </c>
      <c r="J937">
        <f>K937/G937</f>
        <v>0.625</v>
      </c>
      <c r="K937">
        <v>2500</v>
      </c>
      <c r="L937" t="s">
        <v>5120</v>
      </c>
    </row>
    <row r="938" spans="1:12" ht="50.1" customHeight="1">
      <c r="A938">
        <v>929</v>
      </c>
      <c r="B938" t="s">
        <v>3977</v>
      </c>
      <c r="C938" t="s">
        <v>5115</v>
      </c>
      <c r="D938">
        <v>212822775</v>
      </c>
      <c r="E938" t="s">
        <v>3954</v>
      </c>
      <c r="F938" t="s">
        <v>5118</v>
      </c>
      <c r="G938">
        <v>120</v>
      </c>
      <c r="H938" t="s">
        <v>3954</v>
      </c>
      <c r="I938" t="s">
        <v>3979</v>
      </c>
      <c r="J938">
        <f>K938/G938</f>
        <v>6.666666666666667</v>
      </c>
      <c r="K938">
        <v>800</v>
      </c>
      <c r="L938" t="s">
        <v>5120</v>
      </c>
    </row>
    <row r="939" spans="1:12" ht="50.1" customHeight="1">
      <c r="A939">
        <v>930</v>
      </c>
      <c r="B939" t="s">
        <v>3952</v>
      </c>
      <c r="C939" t="s">
        <v>4069</v>
      </c>
      <c r="D939">
        <v>212919797</v>
      </c>
      <c r="E939" t="s">
        <v>3954</v>
      </c>
      <c r="F939" t="s">
        <v>5121</v>
      </c>
      <c r="H939" t="s">
        <v>3954</v>
      </c>
      <c r="K939">
        <v>500</v>
      </c>
      <c r="L939" t="s">
        <v>5122</v>
      </c>
    </row>
    <row r="940" spans="1:12" ht="50.1" customHeight="1">
      <c r="A940">
        <v>931</v>
      </c>
      <c r="B940" t="s">
        <v>3977</v>
      </c>
      <c r="C940" t="s">
        <v>4069</v>
      </c>
      <c r="D940">
        <v>212919797</v>
      </c>
      <c r="E940" t="s">
        <v>3954</v>
      </c>
      <c r="F940" t="s">
        <v>5121</v>
      </c>
      <c r="G940">
        <v>3000</v>
      </c>
      <c r="H940" t="s">
        <v>3954</v>
      </c>
      <c r="I940" t="s">
        <v>3979</v>
      </c>
      <c r="J940">
        <f>K940/G940</f>
        <v>0.8</v>
      </c>
      <c r="K940">
        <v>2400</v>
      </c>
      <c r="L940" t="s">
        <v>5123</v>
      </c>
    </row>
    <row r="941" spans="1:12" ht="50.1" customHeight="1">
      <c r="A941">
        <v>932</v>
      </c>
      <c r="B941" t="s">
        <v>3977</v>
      </c>
      <c r="C941" t="s">
        <v>4069</v>
      </c>
      <c r="D941">
        <v>212919797</v>
      </c>
      <c r="E941" t="s">
        <v>3954</v>
      </c>
      <c r="F941" t="s">
        <v>5121</v>
      </c>
      <c r="G941">
        <v>90</v>
      </c>
      <c r="H941" t="s">
        <v>3954</v>
      </c>
      <c r="I941" t="s">
        <v>3979</v>
      </c>
      <c r="J941">
        <f>K941/G941</f>
        <v>3.3333333333333335</v>
      </c>
      <c r="K941">
        <v>300</v>
      </c>
      <c r="L941" t="s">
        <v>5123</v>
      </c>
    </row>
    <row r="942" spans="1:12" ht="50.1" customHeight="1">
      <c r="A942">
        <v>933</v>
      </c>
      <c r="B942" t="s">
        <v>3952</v>
      </c>
      <c r="C942" t="s">
        <v>5124</v>
      </c>
      <c r="D942">
        <v>215112036</v>
      </c>
      <c r="E942" t="s">
        <v>3954</v>
      </c>
      <c r="F942" t="s">
        <v>5092</v>
      </c>
      <c r="H942" t="s">
        <v>3954</v>
      </c>
      <c r="K942">
        <v>500</v>
      </c>
      <c r="L942" t="s">
        <v>5125</v>
      </c>
    </row>
    <row r="943" spans="1:12" ht="50.1" customHeight="1">
      <c r="A943">
        <v>934</v>
      </c>
      <c r="B943" t="s">
        <v>3952</v>
      </c>
      <c r="C943" t="s">
        <v>4127</v>
      </c>
      <c r="D943">
        <v>218057224</v>
      </c>
      <c r="E943" t="s">
        <v>3954</v>
      </c>
      <c r="F943" t="s">
        <v>5094</v>
      </c>
      <c r="H943" t="s">
        <v>3954</v>
      </c>
      <c r="K943">
        <v>400</v>
      </c>
      <c r="L943" t="s">
        <v>5126</v>
      </c>
    </row>
    <row r="944" spans="1:12" ht="50.1" customHeight="1">
      <c r="A944">
        <v>935</v>
      </c>
      <c r="B944" t="s">
        <v>3952</v>
      </c>
      <c r="C944" t="s">
        <v>5127</v>
      </c>
      <c r="D944">
        <v>220014464</v>
      </c>
      <c r="E944" t="s">
        <v>3954</v>
      </c>
      <c r="F944" t="s">
        <v>5092</v>
      </c>
      <c r="H944" t="s">
        <v>3954</v>
      </c>
      <c r="K944">
        <v>500</v>
      </c>
      <c r="L944" t="s">
        <v>5128</v>
      </c>
    </row>
    <row r="945" spans="1:12" ht="50.1" customHeight="1">
      <c r="A945">
        <v>936</v>
      </c>
      <c r="B945" t="s">
        <v>3952</v>
      </c>
      <c r="C945" t="s">
        <v>4064</v>
      </c>
      <c r="D945">
        <v>224079388</v>
      </c>
      <c r="E945" t="s">
        <v>3954</v>
      </c>
      <c r="F945" t="s">
        <v>5121</v>
      </c>
      <c r="H945" t="s">
        <v>3954</v>
      </c>
      <c r="K945">
        <v>500</v>
      </c>
      <c r="L945" t="s">
        <v>5129</v>
      </c>
    </row>
    <row r="946" spans="1:12" ht="50.1" customHeight="1">
      <c r="A946">
        <v>937</v>
      </c>
      <c r="B946" t="s">
        <v>3977</v>
      </c>
      <c r="C946" t="s">
        <v>4064</v>
      </c>
      <c r="D946">
        <v>224079388</v>
      </c>
      <c r="E946" t="s">
        <v>3954</v>
      </c>
      <c r="F946" t="s">
        <v>5121</v>
      </c>
      <c r="G946">
        <v>2400</v>
      </c>
      <c r="H946" t="s">
        <v>3954</v>
      </c>
      <c r="I946" t="s">
        <v>3979</v>
      </c>
      <c r="J946">
        <f>K946/G946</f>
        <v>1.875</v>
      </c>
      <c r="K946">
        <v>4500</v>
      </c>
      <c r="L946" t="s">
        <v>5130</v>
      </c>
    </row>
    <row r="947" spans="1:12" ht="50.1" customHeight="1">
      <c r="A947">
        <v>938</v>
      </c>
      <c r="B947" t="s">
        <v>3952</v>
      </c>
      <c r="C947" t="s">
        <v>4245</v>
      </c>
      <c r="D947">
        <v>225374387</v>
      </c>
      <c r="E947" t="s">
        <v>3954</v>
      </c>
      <c r="F947" t="s">
        <v>5094</v>
      </c>
      <c r="H947" t="s">
        <v>3954</v>
      </c>
      <c r="K947">
        <v>400</v>
      </c>
      <c r="L947" t="s">
        <v>5131</v>
      </c>
    </row>
    <row r="948" spans="1:12" ht="50.1" customHeight="1">
      <c r="A948">
        <v>939</v>
      </c>
      <c r="B948" t="s">
        <v>3977</v>
      </c>
      <c r="C948" t="s">
        <v>4245</v>
      </c>
      <c r="D948">
        <v>225374387</v>
      </c>
      <c r="E948" t="s">
        <v>3954</v>
      </c>
      <c r="F948" t="s">
        <v>5094</v>
      </c>
      <c r="G948">
        <v>1768</v>
      </c>
      <c r="H948" t="s">
        <v>3954</v>
      </c>
      <c r="I948" t="s">
        <v>3979</v>
      </c>
      <c r="J948">
        <f>K948/G948</f>
        <v>0.22624434389140272</v>
      </c>
      <c r="K948">
        <v>400</v>
      </c>
      <c r="L948" t="s">
        <v>5132</v>
      </c>
    </row>
    <row r="949" spans="1:12" ht="50.1" customHeight="1">
      <c r="A949">
        <v>940</v>
      </c>
      <c r="B949" t="s">
        <v>3952</v>
      </c>
      <c r="C949" t="s">
        <v>5133</v>
      </c>
      <c r="D949">
        <v>227725511</v>
      </c>
      <c r="E949" t="s">
        <v>3954</v>
      </c>
      <c r="F949" t="s">
        <v>5134</v>
      </c>
      <c r="H949" t="s">
        <v>3954</v>
      </c>
      <c r="K949">
        <v>500</v>
      </c>
      <c r="L949" t="s">
        <v>5135</v>
      </c>
    </row>
    <row r="950" spans="1:12" ht="50.1" customHeight="1">
      <c r="A950">
        <v>941</v>
      </c>
      <c r="B950" t="s">
        <v>3977</v>
      </c>
      <c r="C950" t="s">
        <v>5133</v>
      </c>
      <c r="D950">
        <v>227725511</v>
      </c>
      <c r="E950" t="s">
        <v>3954</v>
      </c>
      <c r="F950" t="s">
        <v>5121</v>
      </c>
      <c r="G950">
        <v>2400</v>
      </c>
      <c r="H950" t="s">
        <v>3954</v>
      </c>
      <c r="I950" t="s">
        <v>3979</v>
      </c>
      <c r="J950">
        <f>K950/G950</f>
        <v>1.5</v>
      </c>
      <c r="K950">
        <v>3600</v>
      </c>
      <c r="L950" t="s">
        <v>5136</v>
      </c>
    </row>
    <row r="951" spans="1:12" ht="50.1" customHeight="1">
      <c r="A951">
        <v>942</v>
      </c>
      <c r="B951" t="s">
        <v>3952</v>
      </c>
      <c r="C951" t="s">
        <v>4353</v>
      </c>
      <c r="D951">
        <v>237074535</v>
      </c>
      <c r="E951" t="s">
        <v>3954</v>
      </c>
      <c r="F951" t="s">
        <v>5094</v>
      </c>
      <c r="H951" t="s">
        <v>3954</v>
      </c>
      <c r="K951">
        <v>300</v>
      </c>
      <c r="L951" t="s">
        <v>5137</v>
      </c>
    </row>
    <row r="952" spans="1:12" ht="50.1" customHeight="1">
      <c r="A952">
        <v>943</v>
      </c>
      <c r="B952" t="s">
        <v>3977</v>
      </c>
      <c r="C952" t="s">
        <v>4353</v>
      </c>
      <c r="D952">
        <v>237074535</v>
      </c>
      <c r="E952" t="s">
        <v>3954</v>
      </c>
      <c r="F952" t="s">
        <v>5094</v>
      </c>
      <c r="G952">
        <v>1215</v>
      </c>
      <c r="H952" t="s">
        <v>3954</v>
      </c>
      <c r="I952" t="s">
        <v>3979</v>
      </c>
      <c r="J952">
        <f>K952/G952</f>
        <v>1.4814814814814814</v>
      </c>
      <c r="K952">
        <v>1800</v>
      </c>
      <c r="L952" t="s">
        <v>5138</v>
      </c>
    </row>
    <row r="953" spans="1:12" ht="50.1" customHeight="1">
      <c r="A953">
        <v>944</v>
      </c>
      <c r="B953" t="s">
        <v>3977</v>
      </c>
      <c r="C953" t="s">
        <v>4353</v>
      </c>
      <c r="D953">
        <v>237074535</v>
      </c>
      <c r="E953" t="s">
        <v>3954</v>
      </c>
      <c r="F953" t="s">
        <v>5139</v>
      </c>
      <c r="G953">
        <v>2430</v>
      </c>
      <c r="H953" t="s">
        <v>3954</v>
      </c>
      <c r="I953" t="s">
        <v>3979</v>
      </c>
      <c r="J953">
        <f>K953/G953</f>
        <v>0.37037037037037035</v>
      </c>
      <c r="K953">
        <v>900</v>
      </c>
      <c r="L953" t="s">
        <v>5138</v>
      </c>
    </row>
    <row r="954" spans="1:12" ht="50.1" customHeight="1">
      <c r="A954">
        <v>945</v>
      </c>
      <c r="B954" t="s">
        <v>3977</v>
      </c>
      <c r="C954" t="s">
        <v>4545</v>
      </c>
      <c r="D954">
        <v>243572004</v>
      </c>
      <c r="E954" t="s">
        <v>3954</v>
      </c>
      <c r="F954" t="s">
        <v>5140</v>
      </c>
      <c r="G954">
        <v>2000</v>
      </c>
      <c r="H954" t="s">
        <v>3954</v>
      </c>
      <c r="I954" t="s">
        <v>3979</v>
      </c>
      <c r="K954">
        <v>800</v>
      </c>
      <c r="L954" t="s">
        <v>5141</v>
      </c>
    </row>
    <row r="955" spans="1:12" ht="50.1" customHeight="1">
      <c r="A955">
        <v>946</v>
      </c>
      <c r="B955" t="s">
        <v>3977</v>
      </c>
      <c r="C955" t="s">
        <v>4545</v>
      </c>
      <c r="D955">
        <v>243572004</v>
      </c>
      <c r="E955" t="s">
        <v>3954</v>
      </c>
      <c r="F955" t="s">
        <v>5142</v>
      </c>
      <c r="G955">
        <v>2000</v>
      </c>
      <c r="H955" t="s">
        <v>3954</v>
      </c>
      <c r="I955" t="s">
        <v>3979</v>
      </c>
      <c r="K955">
        <v>800</v>
      </c>
      <c r="L955" t="s">
        <v>5143</v>
      </c>
    </row>
    <row r="956" spans="1:12" ht="50.1" customHeight="1">
      <c r="A956">
        <v>947</v>
      </c>
      <c r="B956" t="s">
        <v>3952</v>
      </c>
      <c r="C956" t="s">
        <v>4059</v>
      </c>
      <c r="D956">
        <v>246955549</v>
      </c>
      <c r="E956" t="s">
        <v>3954</v>
      </c>
      <c r="F956" t="s">
        <v>5139</v>
      </c>
      <c r="H956" t="s">
        <v>3954</v>
      </c>
      <c r="K956">
        <v>400</v>
      </c>
      <c r="L956" t="s">
        <v>5144</v>
      </c>
    </row>
    <row r="957" spans="1:12" ht="50.1" customHeight="1">
      <c r="A957">
        <v>948</v>
      </c>
      <c r="B957" t="s">
        <v>3977</v>
      </c>
      <c r="C957" t="s">
        <v>4059</v>
      </c>
      <c r="D957">
        <v>246955549</v>
      </c>
      <c r="E957" t="s">
        <v>3954</v>
      </c>
      <c r="F957" t="s">
        <v>5139</v>
      </c>
      <c r="G957">
        <v>1000</v>
      </c>
      <c r="H957" t="s">
        <v>3954</v>
      </c>
      <c r="I957" t="s">
        <v>3979</v>
      </c>
      <c r="J957">
        <f>K957/G957</f>
        <v>0.3</v>
      </c>
      <c r="K957">
        <v>300</v>
      </c>
      <c r="L957" t="s">
        <v>5145</v>
      </c>
    </row>
    <row r="958" spans="1:12" ht="50.1" customHeight="1">
      <c r="A958">
        <v>949</v>
      </c>
      <c r="B958" t="s">
        <v>3977</v>
      </c>
      <c r="C958" t="s">
        <v>4059</v>
      </c>
      <c r="D958">
        <v>246955549</v>
      </c>
      <c r="E958" t="s">
        <v>3954</v>
      </c>
      <c r="F958" t="s">
        <v>5139</v>
      </c>
      <c r="G958">
        <v>1000</v>
      </c>
      <c r="H958" t="s">
        <v>3954</v>
      </c>
      <c r="I958" t="s">
        <v>3979</v>
      </c>
      <c r="J958">
        <f>K958/G958</f>
        <v>0.3</v>
      </c>
      <c r="K958">
        <v>300</v>
      </c>
      <c r="L958" t="s">
        <v>5146</v>
      </c>
    </row>
    <row r="959" spans="1:12" ht="50.1" customHeight="1">
      <c r="A959">
        <v>950</v>
      </c>
      <c r="B959" t="s">
        <v>3952</v>
      </c>
      <c r="C959" t="s">
        <v>5147</v>
      </c>
      <c r="D959">
        <v>249265806</v>
      </c>
      <c r="E959" t="s">
        <v>3954</v>
      </c>
      <c r="F959" t="s">
        <v>5094</v>
      </c>
      <c r="H959" t="s">
        <v>3954</v>
      </c>
      <c r="K959">
        <v>250</v>
      </c>
      <c r="L959" t="s">
        <v>5148</v>
      </c>
    </row>
    <row r="960" spans="1:12" ht="50.1" customHeight="1">
      <c r="A960">
        <v>951</v>
      </c>
      <c r="B960" t="s">
        <v>3952</v>
      </c>
      <c r="C960" t="s">
        <v>5149</v>
      </c>
      <c r="D960">
        <v>400115969</v>
      </c>
      <c r="E960" t="s">
        <v>3954</v>
      </c>
      <c r="F960" t="s">
        <v>5094</v>
      </c>
      <c r="H960" t="s">
        <v>3954</v>
      </c>
      <c r="K960">
        <v>300</v>
      </c>
      <c r="L960" t="s">
        <v>5150</v>
      </c>
    </row>
    <row r="961" spans="1:12" ht="50.1" customHeight="1">
      <c r="A961">
        <v>952</v>
      </c>
      <c r="B961" t="s">
        <v>3952</v>
      </c>
      <c r="C961" t="s">
        <v>3998</v>
      </c>
      <c r="D961">
        <v>400122648</v>
      </c>
      <c r="E961" t="s">
        <v>3954</v>
      </c>
      <c r="F961" t="s">
        <v>5151</v>
      </c>
      <c r="H961" t="s">
        <v>3954</v>
      </c>
      <c r="K961">
        <v>500</v>
      </c>
      <c r="L961" t="s">
        <v>5152</v>
      </c>
    </row>
    <row r="962" spans="1:12" ht="50.1" customHeight="1">
      <c r="A962">
        <v>953</v>
      </c>
      <c r="B962" t="s">
        <v>3952</v>
      </c>
      <c r="C962" t="s">
        <v>4033</v>
      </c>
      <c r="D962">
        <v>400176581</v>
      </c>
      <c r="E962" t="s">
        <v>3954</v>
      </c>
      <c r="F962" t="s">
        <v>5153</v>
      </c>
      <c r="H962" t="s">
        <v>3954</v>
      </c>
      <c r="K962">
        <v>500</v>
      </c>
      <c r="L962" t="s">
        <v>5154</v>
      </c>
    </row>
    <row r="963" spans="1:12" ht="50.1" customHeight="1">
      <c r="A963">
        <v>954</v>
      </c>
      <c r="B963" t="s">
        <v>3952</v>
      </c>
      <c r="C963" t="s">
        <v>4019</v>
      </c>
      <c r="D963">
        <v>401951189</v>
      </c>
      <c r="E963" t="s">
        <v>3954</v>
      </c>
      <c r="F963" t="s">
        <v>5155</v>
      </c>
      <c r="H963" t="s">
        <v>3954</v>
      </c>
      <c r="K963">
        <v>500</v>
      </c>
      <c r="L963" t="s">
        <v>5156</v>
      </c>
    </row>
    <row r="964" spans="1:12" ht="50.1" customHeight="1">
      <c r="A964">
        <v>955</v>
      </c>
      <c r="B964" t="s">
        <v>3952</v>
      </c>
      <c r="C964" t="s">
        <v>4037</v>
      </c>
      <c r="D964">
        <v>402006468</v>
      </c>
      <c r="E964" t="s">
        <v>3954</v>
      </c>
      <c r="F964" t="s">
        <v>5097</v>
      </c>
      <c r="H964" t="s">
        <v>3954</v>
      </c>
      <c r="K964">
        <v>295</v>
      </c>
      <c r="L964" t="s">
        <v>5157</v>
      </c>
    </row>
    <row r="965" spans="1:12" ht="50.1" customHeight="1">
      <c r="A965">
        <v>956</v>
      </c>
      <c r="B965" t="s">
        <v>3952</v>
      </c>
      <c r="C965" t="s">
        <v>4037</v>
      </c>
      <c r="D965">
        <v>402006468</v>
      </c>
      <c r="E965" t="s">
        <v>3954</v>
      </c>
      <c r="F965" t="s">
        <v>5097</v>
      </c>
      <c r="H965" t="s">
        <v>3954</v>
      </c>
      <c r="K965">
        <v>295</v>
      </c>
      <c r="L965" t="s">
        <v>5158</v>
      </c>
    </row>
    <row r="966" spans="1:12" ht="50.1" customHeight="1">
      <c r="A966">
        <v>957</v>
      </c>
      <c r="B966" t="s">
        <v>3952</v>
      </c>
      <c r="C966" t="s">
        <v>4037</v>
      </c>
      <c r="D966">
        <v>402006468</v>
      </c>
      <c r="E966" t="s">
        <v>3954</v>
      </c>
      <c r="F966" t="s">
        <v>5097</v>
      </c>
      <c r="H966" t="s">
        <v>3954</v>
      </c>
      <c r="K966">
        <v>295</v>
      </c>
      <c r="L966" t="s">
        <v>5159</v>
      </c>
    </row>
    <row r="967" spans="1:12" ht="50.1" customHeight="1">
      <c r="A967">
        <v>958</v>
      </c>
      <c r="B967" t="s">
        <v>3952</v>
      </c>
      <c r="C967" t="s">
        <v>4037</v>
      </c>
      <c r="D967">
        <v>402006468</v>
      </c>
      <c r="E967" t="s">
        <v>3954</v>
      </c>
      <c r="F967" t="s">
        <v>5097</v>
      </c>
      <c r="H967" t="s">
        <v>3954</v>
      </c>
      <c r="K967">
        <v>236</v>
      </c>
      <c r="L967" t="s">
        <v>5160</v>
      </c>
    </row>
    <row r="968" spans="1:12" ht="50.1" customHeight="1">
      <c r="A968">
        <v>959</v>
      </c>
      <c r="B968" t="s">
        <v>3952</v>
      </c>
      <c r="C968" t="s">
        <v>4037</v>
      </c>
      <c r="D968">
        <v>402006468</v>
      </c>
      <c r="E968" t="s">
        <v>3954</v>
      </c>
      <c r="F968" t="s">
        <v>5097</v>
      </c>
      <c r="H968" t="s">
        <v>3954</v>
      </c>
      <c r="K968">
        <v>295</v>
      </c>
      <c r="L968" t="s">
        <v>5161</v>
      </c>
    </row>
    <row r="969" spans="1:12" ht="50.1" customHeight="1">
      <c r="A969">
        <v>960</v>
      </c>
      <c r="B969" t="s">
        <v>3977</v>
      </c>
      <c r="C969" t="s">
        <v>4037</v>
      </c>
      <c r="D969">
        <v>402006468</v>
      </c>
      <c r="E969" t="s">
        <v>3954</v>
      </c>
      <c r="F969" t="s">
        <v>5097</v>
      </c>
      <c r="G969">
        <v>3000</v>
      </c>
      <c r="H969" t="s">
        <v>3954</v>
      </c>
      <c r="I969" t="s">
        <v>3979</v>
      </c>
      <c r="J969">
        <f>K969/G969</f>
        <v>0.6293333333333333</v>
      </c>
      <c r="K969">
        <v>1888</v>
      </c>
      <c r="L969" t="s">
        <v>5162</v>
      </c>
    </row>
    <row r="970" spans="1:12" ht="50.1" customHeight="1">
      <c r="A970">
        <v>961</v>
      </c>
      <c r="B970" t="s">
        <v>3977</v>
      </c>
      <c r="C970" t="s">
        <v>4037</v>
      </c>
      <c r="D970">
        <v>402006468</v>
      </c>
      <c r="E970" t="s">
        <v>3954</v>
      </c>
      <c r="F970" t="s">
        <v>5097</v>
      </c>
      <c r="G970">
        <v>1000</v>
      </c>
      <c r="H970" t="s">
        <v>3954</v>
      </c>
      <c r="I970" t="s">
        <v>3979</v>
      </c>
      <c r="J970">
        <f>K970/G970</f>
        <v>2.242</v>
      </c>
      <c r="K970">
        <v>2242</v>
      </c>
      <c r="L970" t="s">
        <v>5163</v>
      </c>
    </row>
    <row r="971" spans="1:12" ht="50.1" customHeight="1">
      <c r="A971">
        <v>962</v>
      </c>
      <c r="B971" t="s">
        <v>3977</v>
      </c>
      <c r="C971" t="s">
        <v>4037</v>
      </c>
      <c r="D971">
        <v>402006468</v>
      </c>
      <c r="E971" t="s">
        <v>3954</v>
      </c>
      <c r="F971" t="s">
        <v>5097</v>
      </c>
      <c r="G971">
        <v>1000</v>
      </c>
      <c r="H971" t="s">
        <v>3954</v>
      </c>
      <c r="I971" t="s">
        <v>3979</v>
      </c>
      <c r="J971">
        <f>K971/G971</f>
        <v>2.419</v>
      </c>
      <c r="K971">
        <v>2419</v>
      </c>
      <c r="L971" t="s">
        <v>5164</v>
      </c>
    </row>
    <row r="972" spans="1:12" ht="50.1" customHeight="1">
      <c r="A972">
        <v>963</v>
      </c>
      <c r="B972" t="s">
        <v>3952</v>
      </c>
      <c r="C972" t="s">
        <v>5165</v>
      </c>
      <c r="D972">
        <v>404409252</v>
      </c>
      <c r="E972" t="s">
        <v>3954</v>
      </c>
      <c r="F972" t="s">
        <v>5166</v>
      </c>
      <c r="H972" t="s">
        <v>3954</v>
      </c>
      <c r="K972">
        <v>600</v>
      </c>
      <c r="L972" t="s">
        <v>5167</v>
      </c>
    </row>
    <row r="973" spans="1:12" ht="50.1" customHeight="1">
      <c r="A973">
        <v>964</v>
      </c>
      <c r="B973" t="s">
        <v>3977</v>
      </c>
      <c r="C973" t="s">
        <v>5165</v>
      </c>
      <c r="D973">
        <v>404409252</v>
      </c>
      <c r="E973" t="s">
        <v>3954</v>
      </c>
      <c r="F973" t="s">
        <v>5166</v>
      </c>
      <c r="G973">
        <v>240</v>
      </c>
      <c r="H973" t="s">
        <v>3954</v>
      </c>
      <c r="I973" t="s">
        <v>3979</v>
      </c>
      <c r="J973">
        <f>K973/G973</f>
        <v>3.75</v>
      </c>
      <c r="K973">
        <v>900</v>
      </c>
      <c r="L973" t="s">
        <v>5168</v>
      </c>
    </row>
    <row r="974" spans="1:12" ht="50.1" customHeight="1">
      <c r="A974">
        <v>965</v>
      </c>
      <c r="B974" t="s">
        <v>3977</v>
      </c>
      <c r="C974" t="s">
        <v>5165</v>
      </c>
      <c r="D974">
        <v>404409252</v>
      </c>
      <c r="E974" t="s">
        <v>3954</v>
      </c>
      <c r="F974" t="s">
        <v>5166</v>
      </c>
      <c r="G974">
        <v>3567</v>
      </c>
      <c r="H974" t="s">
        <v>3954</v>
      </c>
      <c r="I974" t="s">
        <v>3979</v>
      </c>
      <c r="J974">
        <f>K974/G974</f>
        <v>0.7569386038687973</v>
      </c>
      <c r="K974">
        <v>2700</v>
      </c>
      <c r="L974" t="s">
        <v>5169</v>
      </c>
    </row>
    <row r="975" spans="1:12" ht="50.1" customHeight="1">
      <c r="A975">
        <v>966</v>
      </c>
      <c r="B975" t="s">
        <v>3952</v>
      </c>
      <c r="C975" t="s">
        <v>4362</v>
      </c>
      <c r="D975">
        <v>404413773</v>
      </c>
      <c r="E975" t="s">
        <v>3954</v>
      </c>
      <c r="F975" t="s">
        <v>5151</v>
      </c>
      <c r="H975" t="s">
        <v>3954</v>
      </c>
      <c r="K975">
        <v>300</v>
      </c>
      <c r="L975" t="s">
        <v>5170</v>
      </c>
    </row>
    <row r="976" spans="1:12" ht="50.1" customHeight="1">
      <c r="A976">
        <v>967</v>
      </c>
      <c r="B976" t="s">
        <v>3952</v>
      </c>
      <c r="C976" t="s">
        <v>4023</v>
      </c>
      <c r="D976">
        <v>404455166</v>
      </c>
      <c r="E976" t="s">
        <v>3954</v>
      </c>
      <c r="F976" t="s">
        <v>5151</v>
      </c>
      <c r="H976" t="s">
        <v>3954</v>
      </c>
      <c r="K976">
        <v>500</v>
      </c>
      <c r="L976" t="s">
        <v>5171</v>
      </c>
    </row>
    <row r="977" spans="1:12" ht="50.1" customHeight="1">
      <c r="A977">
        <v>968</v>
      </c>
      <c r="B977" t="s">
        <v>3952</v>
      </c>
      <c r="C977" t="s">
        <v>5172</v>
      </c>
      <c r="D977">
        <v>404473814</v>
      </c>
      <c r="E977" t="s">
        <v>3954</v>
      </c>
      <c r="F977" t="s">
        <v>5151</v>
      </c>
      <c r="H977" t="s">
        <v>3954</v>
      </c>
      <c r="K977">
        <v>600</v>
      </c>
      <c r="L977" t="s">
        <v>5173</v>
      </c>
    </row>
    <row r="978" spans="1:12" ht="50.1" customHeight="1">
      <c r="A978">
        <v>969</v>
      </c>
      <c r="B978" t="s">
        <v>3952</v>
      </c>
      <c r="C978" t="s">
        <v>5174</v>
      </c>
      <c r="D978">
        <v>405003106</v>
      </c>
      <c r="E978" t="s">
        <v>3954</v>
      </c>
      <c r="F978" t="s">
        <v>5175</v>
      </c>
      <c r="H978" t="s">
        <v>3954</v>
      </c>
      <c r="K978">
        <v>300</v>
      </c>
      <c r="L978" t="s">
        <v>5176</v>
      </c>
    </row>
    <row r="979" spans="1:12" ht="50.1" customHeight="1">
      <c r="A979">
        <v>970</v>
      </c>
      <c r="B979" t="s">
        <v>3952</v>
      </c>
      <c r="C979" t="s">
        <v>3756</v>
      </c>
      <c r="D979">
        <v>405009146</v>
      </c>
      <c r="E979" t="s">
        <v>3954</v>
      </c>
      <c r="F979" t="s">
        <v>5092</v>
      </c>
      <c r="H979" t="s">
        <v>3954</v>
      </c>
      <c r="K979">
        <v>500</v>
      </c>
      <c r="L979" t="s">
        <v>5177</v>
      </c>
    </row>
    <row r="980" spans="1:12" ht="50.1" customHeight="1">
      <c r="A980">
        <v>971</v>
      </c>
      <c r="B980" t="s">
        <v>3952</v>
      </c>
      <c r="C980" t="s">
        <v>5178</v>
      </c>
      <c r="D980">
        <v>406069757</v>
      </c>
      <c r="E980" t="s">
        <v>3954</v>
      </c>
      <c r="F980" t="s">
        <v>5092</v>
      </c>
      <c r="H980" t="s">
        <v>3954</v>
      </c>
      <c r="K980">
        <v>500</v>
      </c>
      <c r="L980" t="s">
        <v>5179</v>
      </c>
    </row>
    <row r="981" spans="1:12" ht="50.1" customHeight="1">
      <c r="A981">
        <v>972</v>
      </c>
      <c r="B981" t="s">
        <v>3952</v>
      </c>
      <c r="C981" t="s">
        <v>4027</v>
      </c>
      <c r="D981">
        <v>406101668</v>
      </c>
      <c r="E981" t="s">
        <v>3954</v>
      </c>
      <c r="F981" t="s">
        <v>5151</v>
      </c>
      <c r="H981" t="s">
        <v>3954</v>
      </c>
      <c r="K981">
        <v>500</v>
      </c>
      <c r="L981" t="s">
        <v>5180</v>
      </c>
    </row>
    <row r="982" spans="1:12" ht="50.1" customHeight="1">
      <c r="A982">
        <v>973</v>
      </c>
      <c r="B982" t="s">
        <v>3952</v>
      </c>
      <c r="C982" t="s">
        <v>5181</v>
      </c>
      <c r="D982">
        <v>406146237</v>
      </c>
      <c r="E982" t="s">
        <v>3954</v>
      </c>
      <c r="F982" t="s">
        <v>5094</v>
      </c>
      <c r="H982" t="s">
        <v>3954</v>
      </c>
      <c r="K982">
        <v>400</v>
      </c>
      <c r="L982" t="s">
        <v>5182</v>
      </c>
    </row>
    <row r="983" spans="1:12" ht="50.1" customHeight="1">
      <c r="A983">
        <v>974</v>
      </c>
      <c r="B983" t="s">
        <v>3952</v>
      </c>
      <c r="C983" t="s">
        <v>4029</v>
      </c>
      <c r="D983">
        <v>406157359</v>
      </c>
      <c r="E983" t="s">
        <v>3954</v>
      </c>
      <c r="F983" t="s">
        <v>5151</v>
      </c>
      <c r="H983" t="s">
        <v>3954</v>
      </c>
      <c r="K983">
        <v>500</v>
      </c>
      <c r="L983" t="s">
        <v>5183</v>
      </c>
    </row>
    <row r="984" spans="1:12" ht="50.1" customHeight="1">
      <c r="A984">
        <v>975</v>
      </c>
      <c r="B984" t="s">
        <v>3952</v>
      </c>
      <c r="C984" t="s">
        <v>4115</v>
      </c>
      <c r="D984">
        <v>412703034</v>
      </c>
      <c r="E984" t="s">
        <v>3954</v>
      </c>
      <c r="F984" t="s">
        <v>5184</v>
      </c>
      <c r="H984" t="s">
        <v>3954</v>
      </c>
      <c r="K984">
        <v>500</v>
      </c>
      <c r="L984" t="s">
        <v>5185</v>
      </c>
    </row>
    <row r="985" spans="1:12" ht="50.1" customHeight="1">
      <c r="A985">
        <v>976</v>
      </c>
      <c r="B985" t="s">
        <v>3952</v>
      </c>
      <c r="C985" t="s">
        <v>4175</v>
      </c>
      <c r="D985">
        <v>427716153</v>
      </c>
      <c r="E985" t="s">
        <v>3954</v>
      </c>
      <c r="F985" t="s">
        <v>5151</v>
      </c>
      <c r="H985" t="s">
        <v>3954</v>
      </c>
      <c r="K985">
        <v>500</v>
      </c>
      <c r="L985" t="s">
        <v>5186</v>
      </c>
    </row>
    <row r="986" spans="1:12" ht="50.1" customHeight="1">
      <c r="A986">
        <v>977</v>
      </c>
      <c r="B986" t="s">
        <v>3977</v>
      </c>
      <c r="C986" t="s">
        <v>4175</v>
      </c>
      <c r="D986">
        <v>427716153</v>
      </c>
      <c r="E986" t="s">
        <v>3954</v>
      </c>
      <c r="F986" t="s">
        <v>5151</v>
      </c>
      <c r="G986">
        <v>1500</v>
      </c>
      <c r="H986" t="s">
        <v>3954</v>
      </c>
      <c r="I986" t="s">
        <v>3979</v>
      </c>
      <c r="J986">
        <f>K986/G986</f>
        <v>1.2</v>
      </c>
      <c r="K986">
        <v>1800</v>
      </c>
      <c r="L986" t="s">
        <v>5187</v>
      </c>
    </row>
    <row r="987" spans="1:12" ht="50.1" customHeight="1">
      <c r="A987">
        <v>978</v>
      </c>
      <c r="B987" t="s">
        <v>3952</v>
      </c>
      <c r="C987" t="s">
        <v>3983</v>
      </c>
      <c r="D987">
        <v>441994585</v>
      </c>
      <c r="E987" t="s">
        <v>3954</v>
      </c>
      <c r="F987" t="s">
        <v>5188</v>
      </c>
      <c r="H987" t="s">
        <v>3954</v>
      </c>
      <c r="K987">
        <v>800</v>
      </c>
      <c r="L987" t="s">
        <v>5189</v>
      </c>
    </row>
    <row r="988" spans="1:12" ht="50.1" customHeight="1">
      <c r="A988">
        <v>979</v>
      </c>
      <c r="B988" t="s">
        <v>3977</v>
      </c>
      <c r="C988" t="s">
        <v>3983</v>
      </c>
      <c r="D988">
        <v>441994585</v>
      </c>
      <c r="E988" t="s">
        <v>3954</v>
      </c>
      <c r="F988" t="s">
        <v>5188</v>
      </c>
      <c r="G988">
        <v>3000</v>
      </c>
      <c r="H988" t="s">
        <v>3954</v>
      </c>
      <c r="I988" t="s">
        <v>3979</v>
      </c>
      <c r="J988">
        <f>K988/G988</f>
        <v>0.7</v>
      </c>
      <c r="K988">
        <v>2100</v>
      </c>
      <c r="L988" t="s">
        <v>5190</v>
      </c>
    </row>
    <row r="989" spans="1:12" ht="50.1" customHeight="1">
      <c r="A989">
        <v>980</v>
      </c>
      <c r="B989" t="s">
        <v>3977</v>
      </c>
      <c r="C989" t="s">
        <v>3983</v>
      </c>
      <c r="D989">
        <v>441994585</v>
      </c>
      <c r="E989" t="s">
        <v>3954</v>
      </c>
      <c r="F989" t="s">
        <v>5188</v>
      </c>
      <c r="G989">
        <v>571.41999999999996</v>
      </c>
      <c r="H989" t="s">
        <v>3954</v>
      </c>
      <c r="I989" t="s">
        <v>3979</v>
      </c>
      <c r="J989">
        <f>K989/G989</f>
        <v>3.5000525007875121</v>
      </c>
      <c r="K989">
        <v>2000</v>
      </c>
      <c r="L989" t="s">
        <v>5191</v>
      </c>
    </row>
    <row r="990" spans="1:12" ht="50.1" customHeight="1">
      <c r="A990">
        <v>981</v>
      </c>
      <c r="B990" t="s">
        <v>3977</v>
      </c>
      <c r="C990" t="s">
        <v>3983</v>
      </c>
      <c r="D990">
        <v>441994585</v>
      </c>
      <c r="E990" t="s">
        <v>3954</v>
      </c>
      <c r="F990" t="s">
        <v>5188</v>
      </c>
      <c r="G990">
        <v>257.14</v>
      </c>
      <c r="H990" t="s">
        <v>3954</v>
      </c>
      <c r="I990" t="s">
        <v>3979</v>
      </c>
      <c r="J990">
        <f>K990/G990</f>
        <v>3.5000388893209928</v>
      </c>
      <c r="K990">
        <v>900</v>
      </c>
      <c r="L990" t="s">
        <v>5191</v>
      </c>
    </row>
    <row r="991" spans="1:12" ht="50.1" customHeight="1">
      <c r="A991">
        <v>982</v>
      </c>
      <c r="B991" t="s">
        <v>3952</v>
      </c>
      <c r="C991" t="s">
        <v>3983</v>
      </c>
      <c r="D991">
        <v>441994585</v>
      </c>
      <c r="E991" t="s">
        <v>3954</v>
      </c>
      <c r="F991" t="s">
        <v>5192</v>
      </c>
      <c r="H991" t="s">
        <v>3954</v>
      </c>
      <c r="K991">
        <v>200</v>
      </c>
      <c r="L991" t="s">
        <v>5193</v>
      </c>
    </row>
    <row r="992" spans="1:12" ht="50.1" customHeight="1">
      <c r="A992">
        <v>983</v>
      </c>
      <c r="B992" t="s">
        <v>3977</v>
      </c>
      <c r="C992" t="s">
        <v>3983</v>
      </c>
      <c r="D992">
        <v>441994585</v>
      </c>
      <c r="E992" t="s">
        <v>3954</v>
      </c>
      <c r="F992" t="s">
        <v>5192</v>
      </c>
      <c r="G992">
        <v>2000</v>
      </c>
      <c r="H992" t="s">
        <v>3954</v>
      </c>
      <c r="I992" t="s">
        <v>3979</v>
      </c>
      <c r="J992">
        <f>K992/G992</f>
        <v>0.7</v>
      </c>
      <c r="K992">
        <v>1400</v>
      </c>
      <c r="L992" t="s">
        <v>5190</v>
      </c>
    </row>
    <row r="993" spans="1:12" ht="50.1" customHeight="1">
      <c r="A993">
        <v>984</v>
      </c>
      <c r="B993" t="s">
        <v>3977</v>
      </c>
      <c r="C993" t="s">
        <v>3983</v>
      </c>
      <c r="D993">
        <v>441994585</v>
      </c>
      <c r="E993" t="s">
        <v>3954</v>
      </c>
      <c r="F993" t="s">
        <v>5192</v>
      </c>
      <c r="G993">
        <v>405</v>
      </c>
      <c r="H993" t="s">
        <v>3954</v>
      </c>
      <c r="I993" t="s">
        <v>3979</v>
      </c>
      <c r="J993">
        <f>K993/G993</f>
        <v>3.4814814814814814</v>
      </c>
      <c r="K993">
        <v>1410</v>
      </c>
      <c r="L993" t="s">
        <v>5191</v>
      </c>
    </row>
    <row r="994" spans="1:12" ht="50.1" customHeight="1">
      <c r="A994">
        <v>985</v>
      </c>
      <c r="B994" t="s">
        <v>3977</v>
      </c>
      <c r="C994" t="s">
        <v>3983</v>
      </c>
      <c r="D994">
        <v>441994585</v>
      </c>
      <c r="E994" t="s">
        <v>3954</v>
      </c>
      <c r="F994" t="s">
        <v>5192</v>
      </c>
      <c r="G994">
        <v>330</v>
      </c>
      <c r="H994" t="s">
        <v>3954</v>
      </c>
      <c r="I994" t="s">
        <v>3979</v>
      </c>
      <c r="J994">
        <f>K994/G994</f>
        <v>0.75757575757575757</v>
      </c>
      <c r="K994">
        <v>250</v>
      </c>
      <c r="L994" t="s">
        <v>5190</v>
      </c>
    </row>
    <row r="995" spans="1:12" ht="50.1" customHeight="1">
      <c r="A995">
        <v>986</v>
      </c>
      <c r="B995" t="s">
        <v>3952</v>
      </c>
      <c r="C995" t="s">
        <v>4056</v>
      </c>
      <c r="D995">
        <v>445471230</v>
      </c>
      <c r="E995" t="s">
        <v>3954</v>
      </c>
      <c r="F995" t="s">
        <v>5092</v>
      </c>
      <c r="H995" t="s">
        <v>3954</v>
      </c>
      <c r="K995">
        <v>500</v>
      </c>
      <c r="L995" t="s">
        <v>5194</v>
      </c>
    </row>
    <row r="996" spans="1:12" ht="50.1" customHeight="1">
      <c r="A996">
        <v>987</v>
      </c>
      <c r="B996" t="s">
        <v>4209</v>
      </c>
      <c r="C996" t="s">
        <v>5027</v>
      </c>
      <c r="D996">
        <v>404974104</v>
      </c>
      <c r="E996" t="s">
        <v>3954</v>
      </c>
      <c r="F996" t="s">
        <v>5195</v>
      </c>
      <c r="G996">
        <v>36</v>
      </c>
      <c r="H996" t="s">
        <v>3954</v>
      </c>
      <c r="I996" t="s">
        <v>4212</v>
      </c>
      <c r="J996">
        <f>K996/G996</f>
        <v>36.325555555555553</v>
      </c>
      <c r="K996">
        <v>1307.72</v>
      </c>
      <c r="L996" t="s">
        <v>5196</v>
      </c>
    </row>
    <row r="997" spans="1:12" ht="50.1" customHeight="1">
      <c r="A997">
        <v>988</v>
      </c>
      <c r="B997" t="s">
        <v>4209</v>
      </c>
      <c r="C997" t="s">
        <v>5105</v>
      </c>
      <c r="D997">
        <v>204873388</v>
      </c>
      <c r="E997" t="s">
        <v>3954</v>
      </c>
      <c r="F997" t="s">
        <v>5197</v>
      </c>
      <c r="G997">
        <v>2127</v>
      </c>
      <c r="H997" t="s">
        <v>3954</v>
      </c>
      <c r="I997" t="s">
        <v>4212</v>
      </c>
      <c r="J997">
        <f>K997/G997</f>
        <v>41.665524212505879</v>
      </c>
      <c r="K997">
        <v>88622.57</v>
      </c>
      <c r="L997" t="s">
        <v>5198</v>
      </c>
    </row>
    <row r="998" spans="1:12" ht="50.1" customHeight="1">
      <c r="A998">
        <v>989</v>
      </c>
      <c r="B998" t="s">
        <v>4209</v>
      </c>
      <c r="C998" t="s">
        <v>5199</v>
      </c>
      <c r="D998">
        <v>205255917</v>
      </c>
      <c r="E998" t="s">
        <v>3954</v>
      </c>
      <c r="F998" t="s">
        <v>5200</v>
      </c>
      <c r="G998">
        <v>633.96</v>
      </c>
      <c r="H998" t="s">
        <v>3954</v>
      </c>
      <c r="I998" t="s">
        <v>4212</v>
      </c>
      <c r="J998">
        <f>K998/G998</f>
        <v>39.299419521736382</v>
      </c>
      <c r="K998">
        <v>24914.26</v>
      </c>
      <c r="L998" t="s">
        <v>5201</v>
      </c>
    </row>
    <row r="999" spans="1:12" ht="50.1" customHeight="1">
      <c r="A999">
        <v>990</v>
      </c>
      <c r="B999" t="s">
        <v>4209</v>
      </c>
      <c r="C999" t="s">
        <v>5199</v>
      </c>
      <c r="D999">
        <v>205255917</v>
      </c>
      <c r="E999" t="s">
        <v>3954</v>
      </c>
      <c r="F999" t="s">
        <v>5200</v>
      </c>
      <c r="G999">
        <v>546</v>
      </c>
      <c r="H999" t="s">
        <v>3954</v>
      </c>
      <c r="I999" t="s">
        <v>4212</v>
      </c>
      <c r="J999">
        <f>K999/G999</f>
        <v>37.64</v>
      </c>
      <c r="K999">
        <v>20551.439999999999</v>
      </c>
      <c r="L999" t="s">
        <v>5202</v>
      </c>
    </row>
    <row r="1000" spans="1:12" ht="50.1" customHeight="1">
      <c r="A1000">
        <v>991</v>
      </c>
      <c r="B1000" t="s">
        <v>4209</v>
      </c>
      <c r="C1000" t="s">
        <v>5199</v>
      </c>
      <c r="D1000">
        <v>205255917</v>
      </c>
      <c r="E1000" t="s">
        <v>3954</v>
      </c>
      <c r="F1000" t="s">
        <v>5200</v>
      </c>
      <c r="G1000">
        <v>280.10000000000002</v>
      </c>
      <c r="H1000" t="s">
        <v>3954</v>
      </c>
      <c r="I1000" t="s">
        <v>4212</v>
      </c>
      <c r="J1000">
        <f>K1000/G1000</f>
        <v>41.394394858978934</v>
      </c>
      <c r="K1000">
        <v>11594.57</v>
      </c>
      <c r="L1000" t="s">
        <v>5203</v>
      </c>
    </row>
    <row r="1001" spans="1:12" ht="50.1" customHeight="1">
      <c r="A1001">
        <v>992</v>
      </c>
      <c r="B1001" t="s">
        <v>4209</v>
      </c>
      <c r="C1001" t="s">
        <v>4375</v>
      </c>
      <c r="D1001">
        <v>206330228</v>
      </c>
      <c r="E1001" t="s">
        <v>3954</v>
      </c>
      <c r="F1001" t="s">
        <v>5204</v>
      </c>
      <c r="G1001">
        <v>36</v>
      </c>
      <c r="H1001" t="s">
        <v>3954</v>
      </c>
      <c r="I1001" t="s">
        <v>4212</v>
      </c>
      <c r="J1001">
        <f t="shared" ref="J1001:J1041" si="34">K1001/G1001</f>
        <v>90.452691000000002</v>
      </c>
      <c r="K1001">
        <v>3256.2968759999999</v>
      </c>
      <c r="L1001" t="s">
        <v>5205</v>
      </c>
    </row>
    <row r="1002" spans="1:12" ht="50.1" customHeight="1">
      <c r="A1002">
        <v>993</v>
      </c>
      <c r="B1002" t="s">
        <v>4209</v>
      </c>
      <c r="C1002" t="s">
        <v>4375</v>
      </c>
      <c r="D1002">
        <v>206330228</v>
      </c>
      <c r="E1002" t="s">
        <v>3954</v>
      </c>
      <c r="F1002" t="s">
        <v>5204</v>
      </c>
      <c r="G1002">
        <v>36</v>
      </c>
      <c r="H1002" t="s">
        <v>3954</v>
      </c>
      <c r="I1002" t="s">
        <v>4212</v>
      </c>
      <c r="J1002">
        <f t="shared" si="34"/>
        <v>90.452691000000002</v>
      </c>
      <c r="K1002">
        <v>3256.2968759999999</v>
      </c>
      <c r="L1002" t="s">
        <v>5206</v>
      </c>
    </row>
    <row r="1003" spans="1:12" ht="50.1" customHeight="1">
      <c r="A1003">
        <v>994</v>
      </c>
      <c r="B1003" t="s">
        <v>4209</v>
      </c>
      <c r="C1003" t="s">
        <v>4375</v>
      </c>
      <c r="D1003">
        <v>206330228</v>
      </c>
      <c r="E1003" t="s">
        <v>3954</v>
      </c>
      <c r="F1003" t="s">
        <v>5204</v>
      </c>
      <c r="G1003">
        <v>36</v>
      </c>
      <c r="H1003" t="s">
        <v>3954</v>
      </c>
      <c r="I1003" t="s">
        <v>4212</v>
      </c>
      <c r="J1003">
        <f t="shared" si="34"/>
        <v>90.452691000000002</v>
      </c>
      <c r="K1003">
        <v>3256.2968759999999</v>
      </c>
      <c r="L1003" t="s">
        <v>5207</v>
      </c>
    </row>
    <row r="1004" spans="1:12" ht="50.1" customHeight="1">
      <c r="A1004">
        <v>995</v>
      </c>
      <c r="B1004" t="s">
        <v>4209</v>
      </c>
      <c r="C1004" t="s">
        <v>4530</v>
      </c>
      <c r="D1004">
        <v>211390172</v>
      </c>
      <c r="E1004" t="s">
        <v>3954</v>
      </c>
      <c r="F1004" t="s">
        <v>5208</v>
      </c>
      <c r="G1004">
        <v>36</v>
      </c>
      <c r="H1004" t="s">
        <v>3954</v>
      </c>
      <c r="I1004" t="s">
        <v>4212</v>
      </c>
      <c r="J1004">
        <f t="shared" si="34"/>
        <v>85.771111111111111</v>
      </c>
      <c r="K1004">
        <v>3087.76</v>
      </c>
      <c r="L1004" t="s">
        <v>5209</v>
      </c>
    </row>
    <row r="1005" spans="1:12" ht="50.1" customHeight="1">
      <c r="A1005">
        <v>996</v>
      </c>
      <c r="B1005" t="s">
        <v>4209</v>
      </c>
      <c r="C1005" t="s">
        <v>4530</v>
      </c>
      <c r="D1005">
        <v>211390172</v>
      </c>
      <c r="E1005" t="s">
        <v>3954</v>
      </c>
      <c r="F1005" t="s">
        <v>5208</v>
      </c>
      <c r="G1005">
        <v>36</v>
      </c>
      <c r="H1005" t="s">
        <v>3954</v>
      </c>
      <c r="I1005" t="s">
        <v>4212</v>
      </c>
      <c r="J1005">
        <f t="shared" si="34"/>
        <v>85.771111111111111</v>
      </c>
      <c r="K1005">
        <v>3087.76</v>
      </c>
      <c r="L1005" t="s">
        <v>5210</v>
      </c>
    </row>
    <row r="1006" spans="1:12" ht="50.1" customHeight="1">
      <c r="A1006">
        <v>997</v>
      </c>
      <c r="B1006" t="s">
        <v>4209</v>
      </c>
      <c r="C1006" t="s">
        <v>4530</v>
      </c>
      <c r="D1006">
        <v>211390172</v>
      </c>
      <c r="E1006" t="s">
        <v>3954</v>
      </c>
      <c r="F1006" t="s">
        <v>5208</v>
      </c>
      <c r="G1006">
        <v>36</v>
      </c>
      <c r="H1006" t="s">
        <v>3954</v>
      </c>
      <c r="I1006" t="s">
        <v>4212</v>
      </c>
      <c r="J1006">
        <f t="shared" si="34"/>
        <v>85.771111111111111</v>
      </c>
      <c r="K1006">
        <v>3087.76</v>
      </c>
      <c r="L1006" t="s">
        <v>5211</v>
      </c>
    </row>
    <row r="1007" spans="1:12" ht="50.1" customHeight="1">
      <c r="A1007">
        <v>998</v>
      </c>
      <c r="B1007" t="s">
        <v>4209</v>
      </c>
      <c r="C1007" t="s">
        <v>5212</v>
      </c>
      <c r="D1007">
        <v>212918020</v>
      </c>
      <c r="E1007" t="s">
        <v>3954</v>
      </c>
      <c r="F1007" t="s">
        <v>5213</v>
      </c>
      <c r="G1007">
        <v>36</v>
      </c>
      <c r="H1007" t="s">
        <v>3954</v>
      </c>
      <c r="I1007" t="s">
        <v>4212</v>
      </c>
      <c r="J1007">
        <f t="shared" si="34"/>
        <v>213</v>
      </c>
      <c r="K1007">
        <v>7668</v>
      </c>
      <c r="L1007" t="s">
        <v>5214</v>
      </c>
    </row>
    <row r="1008" spans="1:12" ht="50.1" customHeight="1">
      <c r="A1008">
        <v>999</v>
      </c>
      <c r="B1008" t="s">
        <v>4209</v>
      </c>
      <c r="C1008" t="s">
        <v>5215</v>
      </c>
      <c r="D1008">
        <v>227725511</v>
      </c>
      <c r="E1008" t="s">
        <v>3954</v>
      </c>
      <c r="F1008" t="s">
        <v>5216</v>
      </c>
      <c r="G1008">
        <v>3</v>
      </c>
      <c r="H1008" t="s">
        <v>3954</v>
      </c>
      <c r="I1008" t="s">
        <v>4692</v>
      </c>
      <c r="J1008">
        <f t="shared" si="34"/>
        <v>195.83333333333334</v>
      </c>
      <c r="K1008">
        <v>587.5</v>
      </c>
      <c r="L1008" t="s">
        <v>5217</v>
      </c>
    </row>
    <row r="1009" spans="1:12" ht="50.1" customHeight="1">
      <c r="A1009">
        <v>1000</v>
      </c>
      <c r="B1009" t="s">
        <v>4209</v>
      </c>
      <c r="C1009" t="s">
        <v>4523</v>
      </c>
      <c r="D1009">
        <v>231278541</v>
      </c>
      <c r="E1009" t="s">
        <v>3954</v>
      </c>
      <c r="F1009" t="s">
        <v>5218</v>
      </c>
      <c r="G1009">
        <v>36</v>
      </c>
      <c r="H1009" t="s">
        <v>3954</v>
      </c>
      <c r="I1009" t="s">
        <v>4212</v>
      </c>
      <c r="J1009">
        <f t="shared" si="34"/>
        <v>42.366666666666667</v>
      </c>
      <c r="K1009">
        <v>1525.2</v>
      </c>
      <c r="L1009" t="s">
        <v>5219</v>
      </c>
    </row>
    <row r="1010" spans="1:12" ht="50.1" customHeight="1">
      <c r="A1010">
        <v>1001</v>
      </c>
      <c r="B1010" t="s">
        <v>4209</v>
      </c>
      <c r="C1010" t="s">
        <v>4523</v>
      </c>
      <c r="D1010">
        <v>231278541</v>
      </c>
      <c r="E1010" t="s">
        <v>3954</v>
      </c>
      <c r="F1010" t="s">
        <v>5218</v>
      </c>
      <c r="G1010">
        <v>27</v>
      </c>
      <c r="H1010" t="s">
        <v>3954</v>
      </c>
      <c r="I1010" t="s">
        <v>4212</v>
      </c>
      <c r="J1010">
        <f t="shared" si="34"/>
        <v>42.366666666666667</v>
      </c>
      <c r="K1010">
        <v>1143.9000000000001</v>
      </c>
      <c r="L1010" t="s">
        <v>5220</v>
      </c>
    </row>
    <row r="1011" spans="1:12" ht="50.1" customHeight="1">
      <c r="A1011">
        <v>1002</v>
      </c>
      <c r="B1011" t="s">
        <v>4209</v>
      </c>
      <c r="C1011" t="s">
        <v>4523</v>
      </c>
      <c r="D1011">
        <v>231278541</v>
      </c>
      <c r="E1011" t="s">
        <v>3954</v>
      </c>
      <c r="F1011" t="s">
        <v>5221</v>
      </c>
      <c r="G1011">
        <v>36</v>
      </c>
      <c r="H1011" t="s">
        <v>3954</v>
      </c>
      <c r="I1011" t="s">
        <v>4212</v>
      </c>
      <c r="J1011">
        <f t="shared" si="34"/>
        <v>42.366666666666667</v>
      </c>
      <c r="K1011">
        <v>1525.2</v>
      </c>
      <c r="L1011" t="s">
        <v>5222</v>
      </c>
    </row>
    <row r="1012" spans="1:12" ht="50.1" customHeight="1">
      <c r="A1012">
        <v>1003</v>
      </c>
      <c r="B1012" t="s">
        <v>4209</v>
      </c>
      <c r="C1012" t="s">
        <v>5223</v>
      </c>
      <c r="D1012">
        <v>244559722</v>
      </c>
      <c r="E1012" t="s">
        <v>3954</v>
      </c>
      <c r="F1012" t="s">
        <v>5224</v>
      </c>
      <c r="G1012">
        <v>25</v>
      </c>
      <c r="H1012" t="s">
        <v>3954</v>
      </c>
      <c r="I1012" t="s">
        <v>4692</v>
      </c>
      <c r="J1012">
        <f t="shared" si="34"/>
        <v>24</v>
      </c>
      <c r="K1012">
        <v>600</v>
      </c>
      <c r="L1012" t="s">
        <v>5225</v>
      </c>
    </row>
    <row r="1013" spans="1:12" ht="50.1" customHeight="1">
      <c r="A1013">
        <v>1004</v>
      </c>
      <c r="B1013" t="s">
        <v>4209</v>
      </c>
      <c r="C1013" t="s">
        <v>4210</v>
      </c>
      <c r="D1013">
        <v>246958056</v>
      </c>
      <c r="E1013" t="s">
        <v>3954</v>
      </c>
      <c r="F1013" t="s">
        <v>5226</v>
      </c>
      <c r="G1013">
        <v>20</v>
      </c>
      <c r="H1013" t="s">
        <v>3954</v>
      </c>
      <c r="I1013" t="s">
        <v>4212</v>
      </c>
      <c r="J1013">
        <f t="shared" si="34"/>
        <v>20.664534449999998</v>
      </c>
      <c r="K1013">
        <v>413.29068899999999</v>
      </c>
      <c r="L1013" t="s">
        <v>5227</v>
      </c>
    </row>
    <row r="1014" spans="1:12" ht="50.1" customHeight="1">
      <c r="A1014">
        <v>1005</v>
      </c>
      <c r="B1014" t="s">
        <v>4209</v>
      </c>
      <c r="C1014" t="s">
        <v>4210</v>
      </c>
      <c r="D1014">
        <v>246958056</v>
      </c>
      <c r="E1014" t="s">
        <v>3954</v>
      </c>
      <c r="F1014" t="s">
        <v>5226</v>
      </c>
      <c r="G1014">
        <v>20</v>
      </c>
      <c r="H1014" t="s">
        <v>3954</v>
      </c>
      <c r="I1014" t="s">
        <v>4212</v>
      </c>
      <c r="J1014">
        <f t="shared" si="34"/>
        <v>20.664534449999998</v>
      </c>
      <c r="K1014">
        <v>413.29068899999999</v>
      </c>
      <c r="L1014" t="s">
        <v>5228</v>
      </c>
    </row>
    <row r="1015" spans="1:12" ht="50.1" customHeight="1">
      <c r="A1015">
        <v>1006</v>
      </c>
      <c r="B1015" t="s">
        <v>4209</v>
      </c>
      <c r="C1015" t="s">
        <v>4210</v>
      </c>
      <c r="D1015">
        <v>246958056</v>
      </c>
      <c r="E1015" t="s">
        <v>3954</v>
      </c>
      <c r="F1015" t="s">
        <v>5226</v>
      </c>
      <c r="G1015">
        <v>20</v>
      </c>
      <c r="H1015" t="s">
        <v>3954</v>
      </c>
      <c r="I1015" t="s">
        <v>4212</v>
      </c>
      <c r="J1015">
        <f t="shared" si="34"/>
        <v>20.664534449999998</v>
      </c>
      <c r="K1015">
        <v>413.29068899999999</v>
      </c>
      <c r="L1015" t="s">
        <v>5229</v>
      </c>
    </row>
    <row r="1016" spans="1:12" ht="50.1" customHeight="1">
      <c r="A1016">
        <v>1007</v>
      </c>
      <c r="B1016" t="s">
        <v>4209</v>
      </c>
      <c r="C1016" t="s">
        <v>4210</v>
      </c>
      <c r="D1016">
        <v>246958056</v>
      </c>
      <c r="E1016" t="s">
        <v>3954</v>
      </c>
      <c r="F1016" t="s">
        <v>5226</v>
      </c>
      <c r="G1016">
        <v>20</v>
      </c>
      <c r="H1016" t="s">
        <v>3954</v>
      </c>
      <c r="I1016" t="s">
        <v>4212</v>
      </c>
      <c r="J1016">
        <f t="shared" si="34"/>
        <v>20.664534449999998</v>
      </c>
      <c r="K1016">
        <v>413.29068899999999</v>
      </c>
      <c r="L1016" t="s">
        <v>5230</v>
      </c>
    </row>
    <row r="1017" spans="1:12" ht="50.1" customHeight="1">
      <c r="A1017">
        <v>1008</v>
      </c>
      <c r="B1017" t="s">
        <v>4209</v>
      </c>
      <c r="C1017" t="s">
        <v>4210</v>
      </c>
      <c r="D1017">
        <v>246958056</v>
      </c>
      <c r="E1017" t="s">
        <v>3954</v>
      </c>
      <c r="F1017" t="s">
        <v>5226</v>
      </c>
      <c r="G1017">
        <v>20</v>
      </c>
      <c r="H1017" t="s">
        <v>3954</v>
      </c>
      <c r="I1017" t="s">
        <v>4212</v>
      </c>
      <c r="J1017">
        <f t="shared" si="34"/>
        <v>20.664534449999998</v>
      </c>
      <c r="K1017">
        <v>413.29068899999999</v>
      </c>
      <c r="L1017" t="s">
        <v>5231</v>
      </c>
    </row>
    <row r="1018" spans="1:12" ht="50.1" customHeight="1">
      <c r="A1018">
        <v>1009</v>
      </c>
      <c r="B1018" t="s">
        <v>4209</v>
      </c>
      <c r="C1018" t="s">
        <v>4210</v>
      </c>
      <c r="D1018">
        <v>246958056</v>
      </c>
      <c r="E1018" t="s">
        <v>3954</v>
      </c>
      <c r="F1018" t="s">
        <v>5226</v>
      </c>
      <c r="G1018">
        <v>20</v>
      </c>
      <c r="H1018" t="s">
        <v>3954</v>
      </c>
      <c r="I1018" t="s">
        <v>4212</v>
      </c>
      <c r="J1018">
        <f t="shared" si="34"/>
        <v>20.664534449999998</v>
      </c>
      <c r="K1018">
        <v>413.29068899999999</v>
      </c>
      <c r="L1018" t="s">
        <v>5232</v>
      </c>
    </row>
    <row r="1019" spans="1:12" ht="50.1" customHeight="1">
      <c r="A1019">
        <v>1010</v>
      </c>
      <c r="B1019" t="s">
        <v>4209</v>
      </c>
      <c r="C1019" t="s">
        <v>4210</v>
      </c>
      <c r="D1019">
        <v>246958056</v>
      </c>
      <c r="E1019" t="s">
        <v>3954</v>
      </c>
      <c r="F1019" t="s">
        <v>5226</v>
      </c>
      <c r="G1019">
        <v>20</v>
      </c>
      <c r="H1019" t="s">
        <v>3954</v>
      </c>
      <c r="I1019" t="s">
        <v>4212</v>
      </c>
      <c r="J1019">
        <f t="shared" si="34"/>
        <v>20.664534449999998</v>
      </c>
      <c r="K1019">
        <v>413.29068899999999</v>
      </c>
      <c r="L1019" t="s">
        <v>5233</v>
      </c>
    </row>
    <row r="1020" spans="1:12" ht="50.1" customHeight="1">
      <c r="A1020">
        <v>1011</v>
      </c>
      <c r="B1020" t="s">
        <v>4209</v>
      </c>
      <c r="C1020" t="s">
        <v>4210</v>
      </c>
      <c r="D1020">
        <v>246958056</v>
      </c>
      <c r="E1020" t="s">
        <v>3954</v>
      </c>
      <c r="F1020" t="s">
        <v>5226</v>
      </c>
      <c r="G1020">
        <v>20</v>
      </c>
      <c r="H1020" t="s">
        <v>3954</v>
      </c>
      <c r="I1020" t="s">
        <v>4212</v>
      </c>
      <c r="J1020">
        <f t="shared" si="34"/>
        <v>20.664534449999998</v>
      </c>
      <c r="K1020">
        <v>413.29068899999999</v>
      </c>
      <c r="L1020" t="s">
        <v>5234</v>
      </c>
    </row>
    <row r="1021" spans="1:12" ht="50.1" customHeight="1">
      <c r="A1021">
        <v>1012</v>
      </c>
      <c r="B1021" t="s">
        <v>4209</v>
      </c>
      <c r="C1021" t="s">
        <v>4210</v>
      </c>
      <c r="D1021">
        <v>246958056</v>
      </c>
      <c r="E1021" t="s">
        <v>3954</v>
      </c>
      <c r="F1021" t="s">
        <v>5226</v>
      </c>
      <c r="G1021">
        <v>20</v>
      </c>
      <c r="H1021" t="s">
        <v>3954</v>
      </c>
      <c r="I1021" t="s">
        <v>4212</v>
      </c>
      <c r="J1021">
        <f t="shared" si="34"/>
        <v>20.664534449999998</v>
      </c>
      <c r="K1021">
        <v>413.29068899999999</v>
      </c>
      <c r="L1021" t="s">
        <v>5235</v>
      </c>
    </row>
    <row r="1022" spans="1:12" ht="50.1" customHeight="1">
      <c r="A1022">
        <v>1013</v>
      </c>
      <c r="B1022" t="s">
        <v>4209</v>
      </c>
      <c r="C1022" t="s">
        <v>4210</v>
      </c>
      <c r="D1022">
        <v>246958056</v>
      </c>
      <c r="E1022" t="s">
        <v>3954</v>
      </c>
      <c r="F1022" t="s">
        <v>5226</v>
      </c>
      <c r="G1022">
        <v>20</v>
      </c>
      <c r="H1022" t="s">
        <v>3954</v>
      </c>
      <c r="I1022" t="s">
        <v>4212</v>
      </c>
      <c r="J1022">
        <f t="shared" si="34"/>
        <v>20.664534449999998</v>
      </c>
      <c r="K1022">
        <v>413.29068899999999</v>
      </c>
      <c r="L1022" t="s">
        <v>5236</v>
      </c>
    </row>
    <row r="1023" spans="1:12" ht="50.1" customHeight="1">
      <c r="A1023">
        <v>1014</v>
      </c>
      <c r="B1023" t="s">
        <v>4209</v>
      </c>
      <c r="C1023" t="s">
        <v>4210</v>
      </c>
      <c r="D1023">
        <v>246958056</v>
      </c>
      <c r="E1023" t="s">
        <v>3954</v>
      </c>
      <c r="F1023" t="s">
        <v>5226</v>
      </c>
      <c r="G1023">
        <v>20</v>
      </c>
      <c r="H1023" t="s">
        <v>3954</v>
      </c>
      <c r="I1023" t="s">
        <v>4212</v>
      </c>
      <c r="J1023">
        <f t="shared" si="34"/>
        <v>20.664534449999998</v>
      </c>
      <c r="K1023">
        <v>413.29068899999999</v>
      </c>
      <c r="L1023" t="s">
        <v>5237</v>
      </c>
    </row>
    <row r="1024" spans="1:12" ht="50.1" customHeight="1">
      <c r="A1024">
        <v>1015</v>
      </c>
      <c r="B1024" t="s">
        <v>4209</v>
      </c>
      <c r="C1024" t="s">
        <v>4210</v>
      </c>
      <c r="D1024">
        <v>246958056</v>
      </c>
      <c r="E1024" t="s">
        <v>3954</v>
      </c>
      <c r="F1024" t="s">
        <v>5226</v>
      </c>
      <c r="G1024">
        <v>20</v>
      </c>
      <c r="H1024" t="s">
        <v>3954</v>
      </c>
      <c r="I1024" t="s">
        <v>4212</v>
      </c>
      <c r="J1024">
        <f t="shared" si="34"/>
        <v>20.664534449999998</v>
      </c>
      <c r="K1024">
        <v>413.29068899999999</v>
      </c>
      <c r="L1024" t="s">
        <v>5238</v>
      </c>
    </row>
    <row r="1025" spans="1:12" ht="50.1" customHeight="1">
      <c r="A1025">
        <v>1016</v>
      </c>
      <c r="B1025" t="s">
        <v>4209</v>
      </c>
      <c r="C1025" t="s">
        <v>4210</v>
      </c>
      <c r="D1025">
        <v>246958056</v>
      </c>
      <c r="E1025" t="s">
        <v>3954</v>
      </c>
      <c r="F1025" t="s">
        <v>5226</v>
      </c>
      <c r="G1025">
        <v>20</v>
      </c>
      <c r="H1025" t="s">
        <v>3954</v>
      </c>
      <c r="I1025" t="s">
        <v>4212</v>
      </c>
      <c r="J1025">
        <f t="shared" si="34"/>
        <v>20.664534449999998</v>
      </c>
      <c r="K1025">
        <v>413.29068899999999</v>
      </c>
      <c r="L1025" t="s">
        <v>5239</v>
      </c>
    </row>
    <row r="1026" spans="1:12" ht="50.1" customHeight="1">
      <c r="A1026">
        <v>1017</v>
      </c>
      <c r="B1026" t="s">
        <v>4209</v>
      </c>
      <c r="C1026" t="s">
        <v>4210</v>
      </c>
      <c r="D1026">
        <v>246958056</v>
      </c>
      <c r="E1026" t="s">
        <v>3954</v>
      </c>
      <c r="F1026" t="s">
        <v>5226</v>
      </c>
      <c r="G1026">
        <v>20</v>
      </c>
      <c r="H1026" t="s">
        <v>3954</v>
      </c>
      <c r="I1026" t="s">
        <v>4212</v>
      </c>
      <c r="J1026">
        <f t="shared" si="34"/>
        <v>20.664534449999998</v>
      </c>
      <c r="K1026">
        <v>413.29068899999999</v>
      </c>
      <c r="L1026" t="s">
        <v>5240</v>
      </c>
    </row>
    <row r="1027" spans="1:12" ht="50.1" customHeight="1">
      <c r="A1027">
        <v>1018</v>
      </c>
      <c r="B1027" t="s">
        <v>4209</v>
      </c>
      <c r="C1027" t="s">
        <v>4210</v>
      </c>
      <c r="D1027">
        <v>246958056</v>
      </c>
      <c r="E1027" t="s">
        <v>3954</v>
      </c>
      <c r="F1027" t="s">
        <v>5226</v>
      </c>
      <c r="G1027">
        <v>20</v>
      </c>
      <c r="H1027" t="s">
        <v>3954</v>
      </c>
      <c r="I1027" t="s">
        <v>4212</v>
      </c>
      <c r="J1027">
        <f t="shared" si="34"/>
        <v>20.664534449999998</v>
      </c>
      <c r="K1027">
        <v>413.29068899999999</v>
      </c>
      <c r="L1027" t="s">
        <v>5241</v>
      </c>
    </row>
    <row r="1028" spans="1:12" ht="50.1" customHeight="1">
      <c r="A1028">
        <v>1019</v>
      </c>
      <c r="B1028" t="s">
        <v>4209</v>
      </c>
      <c r="C1028" t="s">
        <v>4210</v>
      </c>
      <c r="D1028">
        <v>246958056</v>
      </c>
      <c r="E1028" t="s">
        <v>3954</v>
      </c>
      <c r="F1028" t="s">
        <v>5226</v>
      </c>
      <c r="G1028">
        <v>20</v>
      </c>
      <c r="H1028" t="s">
        <v>3954</v>
      </c>
      <c r="I1028" t="s">
        <v>4212</v>
      </c>
      <c r="J1028">
        <f t="shared" si="34"/>
        <v>20.664534449999998</v>
      </c>
      <c r="K1028">
        <v>413.29068899999999</v>
      </c>
      <c r="L1028" t="s">
        <v>5242</v>
      </c>
    </row>
    <row r="1029" spans="1:12" ht="50.1" customHeight="1">
      <c r="A1029">
        <v>1020</v>
      </c>
      <c r="B1029" t="s">
        <v>4209</v>
      </c>
      <c r="C1029" t="s">
        <v>4210</v>
      </c>
      <c r="D1029">
        <v>246958056</v>
      </c>
      <c r="E1029" t="s">
        <v>3954</v>
      </c>
      <c r="F1029" t="s">
        <v>5226</v>
      </c>
      <c r="G1029">
        <v>20</v>
      </c>
      <c r="H1029" t="s">
        <v>3954</v>
      </c>
      <c r="I1029" t="s">
        <v>4212</v>
      </c>
      <c r="J1029">
        <f t="shared" si="34"/>
        <v>20.664534449999998</v>
      </c>
      <c r="K1029">
        <v>413.29068899999999</v>
      </c>
      <c r="L1029" t="s">
        <v>5243</v>
      </c>
    </row>
    <row r="1030" spans="1:12" ht="50.1" customHeight="1">
      <c r="A1030">
        <v>1021</v>
      </c>
      <c r="B1030" t="s">
        <v>4209</v>
      </c>
      <c r="C1030" t="s">
        <v>4210</v>
      </c>
      <c r="D1030">
        <v>246958056</v>
      </c>
      <c r="E1030" t="s">
        <v>3954</v>
      </c>
      <c r="F1030" t="s">
        <v>5226</v>
      </c>
      <c r="G1030">
        <v>20</v>
      </c>
      <c r="H1030" t="s">
        <v>3954</v>
      </c>
      <c r="I1030" t="s">
        <v>4212</v>
      </c>
      <c r="J1030">
        <f t="shared" si="34"/>
        <v>20.664534449999998</v>
      </c>
      <c r="K1030">
        <v>413.29068899999999</v>
      </c>
      <c r="L1030" t="s">
        <v>5244</v>
      </c>
    </row>
    <row r="1031" spans="1:12" ht="50.1" customHeight="1">
      <c r="A1031">
        <v>1022</v>
      </c>
      <c r="B1031" t="s">
        <v>4209</v>
      </c>
      <c r="C1031" t="s">
        <v>4210</v>
      </c>
      <c r="D1031">
        <v>246958056</v>
      </c>
      <c r="E1031" t="s">
        <v>3954</v>
      </c>
      <c r="F1031" t="s">
        <v>5226</v>
      </c>
      <c r="G1031">
        <v>20</v>
      </c>
      <c r="H1031" t="s">
        <v>3954</v>
      </c>
      <c r="I1031" t="s">
        <v>4212</v>
      </c>
      <c r="J1031">
        <f t="shared" si="34"/>
        <v>20.664534449999998</v>
      </c>
      <c r="K1031">
        <v>413.29068899999999</v>
      </c>
      <c r="L1031" t="s">
        <v>5245</v>
      </c>
    </row>
    <row r="1032" spans="1:12" ht="50.1" customHeight="1">
      <c r="A1032">
        <v>1023</v>
      </c>
      <c r="B1032" t="s">
        <v>4209</v>
      </c>
      <c r="C1032" t="s">
        <v>4210</v>
      </c>
      <c r="D1032">
        <v>246958056</v>
      </c>
      <c r="E1032" t="s">
        <v>3954</v>
      </c>
      <c r="F1032" t="s">
        <v>5226</v>
      </c>
      <c r="G1032">
        <v>20</v>
      </c>
      <c r="H1032" t="s">
        <v>3954</v>
      </c>
      <c r="I1032" t="s">
        <v>4212</v>
      </c>
      <c r="J1032">
        <f t="shared" si="34"/>
        <v>20.664534449999998</v>
      </c>
      <c r="K1032">
        <v>413.29068899999999</v>
      </c>
      <c r="L1032" t="s">
        <v>5246</v>
      </c>
    </row>
    <row r="1033" spans="1:12" ht="50.1" customHeight="1">
      <c r="A1033">
        <v>1024</v>
      </c>
      <c r="B1033" t="s">
        <v>4209</v>
      </c>
      <c r="C1033" t="s">
        <v>4210</v>
      </c>
      <c r="D1033">
        <v>246958056</v>
      </c>
      <c r="E1033" t="s">
        <v>3954</v>
      </c>
      <c r="F1033" t="s">
        <v>5226</v>
      </c>
      <c r="G1033">
        <v>20</v>
      </c>
      <c r="H1033" t="s">
        <v>3954</v>
      </c>
      <c r="I1033" t="s">
        <v>4212</v>
      </c>
      <c r="J1033">
        <f t="shared" si="34"/>
        <v>20.664534449999998</v>
      </c>
      <c r="K1033">
        <v>413.29068899999999</v>
      </c>
      <c r="L1033" t="s">
        <v>5247</v>
      </c>
    </row>
    <row r="1034" spans="1:12" ht="50.1" customHeight="1">
      <c r="A1034">
        <v>1025</v>
      </c>
      <c r="B1034" t="s">
        <v>4209</v>
      </c>
      <c r="C1034" t="s">
        <v>4210</v>
      </c>
      <c r="D1034">
        <v>246958056</v>
      </c>
      <c r="E1034" t="s">
        <v>3954</v>
      </c>
      <c r="F1034" t="s">
        <v>5226</v>
      </c>
      <c r="G1034">
        <v>20</v>
      </c>
      <c r="H1034" t="s">
        <v>3954</v>
      </c>
      <c r="I1034" t="s">
        <v>4212</v>
      </c>
      <c r="J1034">
        <f t="shared" si="34"/>
        <v>20.664534449999998</v>
      </c>
      <c r="K1034">
        <v>413.29068899999999</v>
      </c>
      <c r="L1034" t="s">
        <v>5248</v>
      </c>
    </row>
    <row r="1035" spans="1:12" ht="50.1" customHeight="1">
      <c r="A1035">
        <v>1026</v>
      </c>
      <c r="B1035" t="s">
        <v>4209</v>
      </c>
      <c r="C1035" t="s">
        <v>4210</v>
      </c>
      <c r="D1035">
        <v>246958056</v>
      </c>
      <c r="E1035" t="s">
        <v>3954</v>
      </c>
      <c r="F1035" t="s">
        <v>5226</v>
      </c>
      <c r="G1035">
        <v>20</v>
      </c>
      <c r="H1035" t="s">
        <v>3954</v>
      </c>
      <c r="I1035" t="s">
        <v>4212</v>
      </c>
      <c r="J1035">
        <f t="shared" si="34"/>
        <v>20.664534449999998</v>
      </c>
      <c r="K1035">
        <v>413.29068899999999</v>
      </c>
      <c r="L1035" t="s">
        <v>5249</v>
      </c>
    </row>
    <row r="1036" spans="1:12" ht="50.1" customHeight="1">
      <c r="A1036">
        <v>1027</v>
      </c>
      <c r="B1036" t="s">
        <v>4209</v>
      </c>
      <c r="C1036" t="s">
        <v>4210</v>
      </c>
      <c r="D1036">
        <v>246958056</v>
      </c>
      <c r="E1036" t="s">
        <v>3954</v>
      </c>
      <c r="F1036" t="s">
        <v>5226</v>
      </c>
      <c r="G1036">
        <v>20</v>
      </c>
      <c r="H1036" t="s">
        <v>3954</v>
      </c>
      <c r="I1036" t="s">
        <v>4212</v>
      </c>
      <c r="J1036">
        <f t="shared" si="34"/>
        <v>20.664534449999998</v>
      </c>
      <c r="K1036">
        <v>413.29068899999999</v>
      </c>
      <c r="L1036" t="s">
        <v>5250</v>
      </c>
    </row>
    <row r="1037" spans="1:12" ht="50.1" customHeight="1">
      <c r="A1037">
        <v>1028</v>
      </c>
      <c r="B1037" t="s">
        <v>4209</v>
      </c>
      <c r="C1037" t="s">
        <v>4210</v>
      </c>
      <c r="D1037">
        <v>246958056</v>
      </c>
      <c r="E1037" t="s">
        <v>3954</v>
      </c>
      <c r="F1037" t="s">
        <v>5226</v>
      </c>
      <c r="G1037">
        <v>20</v>
      </c>
      <c r="H1037" t="s">
        <v>3954</v>
      </c>
      <c r="I1037" t="s">
        <v>4212</v>
      </c>
      <c r="J1037">
        <f t="shared" si="34"/>
        <v>20.664534449999998</v>
      </c>
      <c r="K1037">
        <v>413.29068899999999</v>
      </c>
      <c r="L1037" t="s">
        <v>5251</v>
      </c>
    </row>
    <row r="1038" spans="1:12" ht="50.1" customHeight="1">
      <c r="A1038">
        <v>1029</v>
      </c>
      <c r="B1038" t="s">
        <v>4209</v>
      </c>
      <c r="C1038" t="s">
        <v>4210</v>
      </c>
      <c r="D1038">
        <v>246958056</v>
      </c>
      <c r="E1038" t="s">
        <v>3954</v>
      </c>
      <c r="F1038" t="s">
        <v>5226</v>
      </c>
      <c r="G1038">
        <v>20</v>
      </c>
      <c r="H1038" t="s">
        <v>3954</v>
      </c>
      <c r="I1038" t="s">
        <v>4212</v>
      </c>
      <c r="J1038">
        <f t="shared" si="34"/>
        <v>20.664534449999998</v>
      </c>
      <c r="K1038">
        <v>413.29068899999999</v>
      </c>
      <c r="L1038" t="s">
        <v>5252</v>
      </c>
    </row>
    <row r="1039" spans="1:12" ht="50.1" customHeight="1">
      <c r="A1039">
        <v>1030</v>
      </c>
      <c r="B1039" t="s">
        <v>4209</v>
      </c>
      <c r="C1039" t="s">
        <v>4210</v>
      </c>
      <c r="D1039">
        <v>246958056</v>
      </c>
      <c r="E1039" t="s">
        <v>3954</v>
      </c>
      <c r="F1039" t="s">
        <v>5226</v>
      </c>
      <c r="G1039">
        <v>20</v>
      </c>
      <c r="H1039" t="s">
        <v>3954</v>
      </c>
      <c r="I1039" t="s">
        <v>4212</v>
      </c>
      <c r="J1039">
        <f t="shared" si="34"/>
        <v>20.664534449999998</v>
      </c>
      <c r="K1039">
        <v>413.29068899999999</v>
      </c>
      <c r="L1039" t="s">
        <v>5253</v>
      </c>
    </row>
    <row r="1040" spans="1:12" ht="50.1" customHeight="1">
      <c r="A1040">
        <v>1031</v>
      </c>
      <c r="B1040" t="s">
        <v>4209</v>
      </c>
      <c r="C1040" t="s">
        <v>4210</v>
      </c>
      <c r="D1040">
        <v>246958056</v>
      </c>
      <c r="E1040" t="s">
        <v>3954</v>
      </c>
      <c r="F1040" t="s">
        <v>5226</v>
      </c>
      <c r="G1040">
        <v>20</v>
      </c>
      <c r="H1040" t="s">
        <v>3954</v>
      </c>
      <c r="I1040" t="s">
        <v>4212</v>
      </c>
      <c r="J1040">
        <f t="shared" si="34"/>
        <v>20.664534449999998</v>
      </c>
      <c r="K1040">
        <v>413.29068899999999</v>
      </c>
      <c r="L1040" t="s">
        <v>5254</v>
      </c>
    </row>
    <row r="1041" spans="1:12" ht="50.1" customHeight="1">
      <c r="A1041">
        <v>1032</v>
      </c>
      <c r="B1041" t="s">
        <v>4209</v>
      </c>
      <c r="C1041" t="s">
        <v>4210</v>
      </c>
      <c r="D1041">
        <v>246958056</v>
      </c>
      <c r="E1041" t="s">
        <v>3954</v>
      </c>
      <c r="F1041" t="s">
        <v>5226</v>
      </c>
      <c r="G1041">
        <v>20</v>
      </c>
      <c r="H1041" t="s">
        <v>3954</v>
      </c>
      <c r="I1041" t="s">
        <v>4212</v>
      </c>
      <c r="J1041">
        <f t="shared" si="34"/>
        <v>20.664534449999998</v>
      </c>
      <c r="K1041">
        <v>413.29068899999999</v>
      </c>
      <c r="L1041" t="s">
        <v>5255</v>
      </c>
    </row>
    <row r="1042" spans="1:12" ht="50.1" customHeight="1">
      <c r="A1042">
        <v>1033</v>
      </c>
      <c r="B1042" t="s">
        <v>4209</v>
      </c>
      <c r="C1042" t="s">
        <v>4210</v>
      </c>
      <c r="D1042">
        <v>246958056</v>
      </c>
      <c r="E1042" t="s">
        <v>3954</v>
      </c>
      <c r="F1042" t="s">
        <v>5256</v>
      </c>
      <c r="G1042">
        <v>108</v>
      </c>
      <c r="H1042" t="s">
        <v>3954</v>
      </c>
      <c r="I1042" t="s">
        <v>4212</v>
      </c>
      <c r="J1042">
        <v>38.869999999999997</v>
      </c>
      <c r="K1042">
        <v>4197.59</v>
      </c>
      <c r="L1042" t="s">
        <v>5257</v>
      </c>
    </row>
    <row r="1043" spans="1:12" ht="50.1" customHeight="1">
      <c r="A1043">
        <v>1034</v>
      </c>
      <c r="B1043" t="s">
        <v>4209</v>
      </c>
      <c r="C1043" t="s">
        <v>4210</v>
      </c>
      <c r="D1043">
        <v>246958056</v>
      </c>
      <c r="E1043" t="s">
        <v>3954</v>
      </c>
      <c r="F1043" t="s">
        <v>5258</v>
      </c>
      <c r="G1043">
        <v>32.64</v>
      </c>
      <c r="H1043" t="s">
        <v>3954</v>
      </c>
      <c r="I1043" t="s">
        <v>4212</v>
      </c>
      <c r="J1043">
        <f t="shared" ref="J1043:J1055" si="35">K1043/G1043</f>
        <v>39.117647058823529</v>
      </c>
      <c r="K1043">
        <v>1276.8</v>
      </c>
      <c r="L1043" t="s">
        <v>5259</v>
      </c>
    </row>
    <row r="1044" spans="1:12" ht="50.1" customHeight="1">
      <c r="A1044">
        <v>1035</v>
      </c>
      <c r="B1044" t="s">
        <v>4209</v>
      </c>
      <c r="C1044" t="s">
        <v>4210</v>
      </c>
      <c r="D1044">
        <v>246958056</v>
      </c>
      <c r="E1044" t="s">
        <v>3954</v>
      </c>
      <c r="F1044" t="s">
        <v>5260</v>
      </c>
      <c r="G1044">
        <v>295</v>
      </c>
      <c r="H1044" t="s">
        <v>3954</v>
      </c>
      <c r="I1044" t="s">
        <v>4212</v>
      </c>
      <c r="J1044">
        <f t="shared" si="35"/>
        <v>39.462983050847456</v>
      </c>
      <c r="K1044">
        <v>11641.58</v>
      </c>
      <c r="L1044" t="s">
        <v>5259</v>
      </c>
    </row>
    <row r="1045" spans="1:12" ht="50.1" customHeight="1">
      <c r="A1045">
        <v>1036</v>
      </c>
      <c r="B1045" t="s">
        <v>4209</v>
      </c>
      <c r="C1045" t="s">
        <v>4359</v>
      </c>
      <c r="D1045">
        <v>400166146</v>
      </c>
      <c r="E1045" t="s">
        <v>3954</v>
      </c>
      <c r="F1045" t="s">
        <v>5261</v>
      </c>
      <c r="G1045">
        <v>24</v>
      </c>
      <c r="H1045" t="s">
        <v>3954</v>
      </c>
      <c r="I1045" t="s">
        <v>4212</v>
      </c>
      <c r="J1045">
        <f t="shared" si="35"/>
        <v>52.254166666666663</v>
      </c>
      <c r="K1045">
        <v>1254.0999999999999</v>
      </c>
      <c r="L1045" t="s">
        <v>5262</v>
      </c>
    </row>
    <row r="1046" spans="1:12" ht="50.1" customHeight="1">
      <c r="A1046">
        <v>1037</v>
      </c>
      <c r="B1046" t="s">
        <v>4209</v>
      </c>
      <c r="C1046" t="s">
        <v>4359</v>
      </c>
      <c r="D1046">
        <v>400166146</v>
      </c>
      <c r="E1046" t="s">
        <v>3954</v>
      </c>
      <c r="F1046" t="s">
        <v>5261</v>
      </c>
      <c r="G1046">
        <v>24</v>
      </c>
      <c r="H1046" t="s">
        <v>3954</v>
      </c>
      <c r="I1046" t="s">
        <v>4212</v>
      </c>
      <c r="J1046">
        <f t="shared" si="35"/>
        <v>52.254166666666663</v>
      </c>
      <c r="K1046">
        <v>1254.0999999999999</v>
      </c>
      <c r="L1046" t="s">
        <v>5263</v>
      </c>
    </row>
    <row r="1047" spans="1:12" ht="50.1" customHeight="1">
      <c r="A1047">
        <v>1038</v>
      </c>
      <c r="B1047" t="s">
        <v>4209</v>
      </c>
      <c r="C1047" t="s">
        <v>4359</v>
      </c>
      <c r="D1047">
        <v>400166146</v>
      </c>
      <c r="E1047" t="s">
        <v>3954</v>
      </c>
      <c r="F1047" t="s">
        <v>5261</v>
      </c>
      <c r="G1047">
        <v>60</v>
      </c>
      <c r="H1047" t="s">
        <v>3954</v>
      </c>
      <c r="I1047" t="s">
        <v>4212</v>
      </c>
      <c r="J1047">
        <f t="shared" si="35"/>
        <v>81.438000000000002</v>
      </c>
      <c r="K1047">
        <v>4886.28</v>
      </c>
      <c r="L1047" t="s">
        <v>5264</v>
      </c>
    </row>
    <row r="1048" spans="1:12" ht="50.1" customHeight="1">
      <c r="A1048">
        <v>1039</v>
      </c>
      <c r="B1048" t="s">
        <v>4209</v>
      </c>
      <c r="C1048" t="s">
        <v>4359</v>
      </c>
      <c r="D1048">
        <v>400166146</v>
      </c>
      <c r="E1048" t="s">
        <v>3954</v>
      </c>
      <c r="F1048" t="s">
        <v>5261</v>
      </c>
      <c r="G1048">
        <v>18</v>
      </c>
      <c r="H1048" t="s">
        <v>3954</v>
      </c>
      <c r="I1048" t="s">
        <v>4212</v>
      </c>
      <c r="J1048">
        <f t="shared" si="35"/>
        <v>81.437777777777782</v>
      </c>
      <c r="K1048">
        <v>1465.88</v>
      </c>
      <c r="L1048" t="s">
        <v>5265</v>
      </c>
    </row>
    <row r="1049" spans="1:12" ht="50.1" customHeight="1">
      <c r="A1049">
        <v>1040</v>
      </c>
      <c r="B1049" t="s">
        <v>4209</v>
      </c>
      <c r="C1049" t="s">
        <v>4359</v>
      </c>
      <c r="D1049">
        <v>400166146</v>
      </c>
      <c r="E1049" t="s">
        <v>3954</v>
      </c>
      <c r="F1049" t="s">
        <v>5261</v>
      </c>
      <c r="G1049">
        <v>20</v>
      </c>
      <c r="H1049" t="s">
        <v>3954</v>
      </c>
      <c r="I1049" t="s">
        <v>4212</v>
      </c>
      <c r="J1049">
        <f t="shared" si="35"/>
        <v>81.438000000000002</v>
      </c>
      <c r="K1049">
        <v>1628.76</v>
      </c>
      <c r="L1049" t="s">
        <v>5266</v>
      </c>
    </row>
    <row r="1050" spans="1:12" ht="50.1" customHeight="1">
      <c r="A1050">
        <v>1041</v>
      </c>
      <c r="B1050" t="s">
        <v>4209</v>
      </c>
      <c r="C1050" t="s">
        <v>4359</v>
      </c>
      <c r="D1050">
        <v>400166146</v>
      </c>
      <c r="E1050" t="s">
        <v>3954</v>
      </c>
      <c r="F1050" t="s">
        <v>5267</v>
      </c>
      <c r="G1050">
        <v>24</v>
      </c>
      <c r="H1050" t="s">
        <v>3954</v>
      </c>
      <c r="I1050" t="s">
        <v>4212</v>
      </c>
      <c r="J1050">
        <f t="shared" si="35"/>
        <v>37.375</v>
      </c>
      <c r="K1050">
        <v>897</v>
      </c>
      <c r="L1050" t="s">
        <v>4714</v>
      </c>
    </row>
    <row r="1051" spans="1:12" ht="50.1" customHeight="1">
      <c r="A1051">
        <v>1042</v>
      </c>
      <c r="B1051" t="s">
        <v>4380</v>
      </c>
      <c r="C1051" t="s">
        <v>4549</v>
      </c>
      <c r="D1051">
        <v>404430870</v>
      </c>
      <c r="E1051" t="s">
        <v>3954</v>
      </c>
      <c r="F1051" t="s">
        <v>5268</v>
      </c>
      <c r="G1051">
        <v>23.12</v>
      </c>
      <c r="H1051" t="s">
        <v>3954</v>
      </c>
      <c r="I1051" t="s">
        <v>4212</v>
      </c>
      <c r="J1051">
        <f t="shared" si="35"/>
        <v>12.975778546712803</v>
      </c>
      <c r="K1051">
        <v>300</v>
      </c>
      <c r="L1051" t="s">
        <v>5269</v>
      </c>
    </row>
    <row r="1052" spans="1:12" ht="50.1" customHeight="1">
      <c r="A1052">
        <v>1043</v>
      </c>
      <c r="B1052" t="s">
        <v>4209</v>
      </c>
      <c r="C1052" t="s">
        <v>5027</v>
      </c>
      <c r="D1052">
        <v>404974104</v>
      </c>
      <c r="E1052" t="s">
        <v>3954</v>
      </c>
      <c r="F1052" t="s">
        <v>5270</v>
      </c>
      <c r="G1052">
        <v>40</v>
      </c>
      <c r="H1052" t="s">
        <v>3954</v>
      </c>
      <c r="I1052" t="s">
        <v>4212</v>
      </c>
      <c r="J1052">
        <f t="shared" si="35"/>
        <v>36.673000000000002</v>
      </c>
      <c r="K1052">
        <v>1466.92</v>
      </c>
      <c r="L1052" t="s">
        <v>5271</v>
      </c>
    </row>
    <row r="1053" spans="1:12" ht="50.1" customHeight="1">
      <c r="A1053">
        <v>1044</v>
      </c>
      <c r="B1053" t="s">
        <v>4209</v>
      </c>
      <c r="C1053" t="s">
        <v>5027</v>
      </c>
      <c r="D1053">
        <v>404974104</v>
      </c>
      <c r="E1053" t="s">
        <v>3954</v>
      </c>
      <c r="F1053" t="s">
        <v>5272</v>
      </c>
      <c r="G1053">
        <v>60</v>
      </c>
      <c r="H1053" t="s">
        <v>3954</v>
      </c>
      <c r="I1053" t="s">
        <v>4212</v>
      </c>
      <c r="J1053">
        <f t="shared" si="35"/>
        <v>55.726666666666667</v>
      </c>
      <c r="K1053">
        <v>3343.6</v>
      </c>
      <c r="L1053" t="s">
        <v>5273</v>
      </c>
    </row>
    <row r="1054" spans="1:12" ht="50.1" customHeight="1">
      <c r="A1054">
        <v>1045</v>
      </c>
      <c r="B1054" t="s">
        <v>4209</v>
      </c>
      <c r="C1054" t="s">
        <v>5027</v>
      </c>
      <c r="D1054">
        <v>404974104</v>
      </c>
      <c r="E1054" t="s">
        <v>3954</v>
      </c>
      <c r="F1054" t="s">
        <v>5272</v>
      </c>
      <c r="G1054">
        <v>40.25</v>
      </c>
      <c r="H1054" t="s">
        <v>3954</v>
      </c>
      <c r="I1054" t="s">
        <v>4212</v>
      </c>
      <c r="J1054">
        <f t="shared" si="35"/>
        <v>55.726211180124224</v>
      </c>
      <c r="K1054">
        <v>2242.98</v>
      </c>
      <c r="L1054" t="s">
        <v>5274</v>
      </c>
    </row>
    <row r="1055" spans="1:12" ht="50.1" customHeight="1">
      <c r="A1055">
        <v>1046</v>
      </c>
      <c r="B1055" t="s">
        <v>4209</v>
      </c>
      <c r="C1055" t="s">
        <v>5027</v>
      </c>
      <c r="D1055">
        <v>404974104</v>
      </c>
      <c r="E1055" t="s">
        <v>3954</v>
      </c>
      <c r="F1055" t="s">
        <v>5272</v>
      </c>
      <c r="G1055">
        <v>30.42</v>
      </c>
      <c r="H1055" t="s">
        <v>3954</v>
      </c>
      <c r="I1055" t="s">
        <v>4212</v>
      </c>
      <c r="J1055">
        <f t="shared" si="35"/>
        <v>45.861604207758049</v>
      </c>
      <c r="K1055">
        <v>1395.11</v>
      </c>
      <c r="L1055" t="s">
        <v>5275</v>
      </c>
    </row>
    <row r="1056" spans="1:12" ht="50.1" customHeight="1">
      <c r="A1056">
        <v>1047</v>
      </c>
      <c r="B1056" t="s">
        <v>4209</v>
      </c>
      <c r="C1056" t="s">
        <v>5027</v>
      </c>
      <c r="D1056">
        <v>404974104</v>
      </c>
      <c r="E1056" t="s">
        <v>3954</v>
      </c>
      <c r="F1056" t="s">
        <v>5276</v>
      </c>
      <c r="G1056">
        <v>17</v>
      </c>
      <c r="H1056" t="s">
        <v>3954</v>
      </c>
      <c r="I1056" t="s">
        <v>5277</v>
      </c>
      <c r="J1056">
        <f>K1056/G1056</f>
        <v>617.64705882352939</v>
      </c>
      <c r="K1056">
        <v>10500</v>
      </c>
      <c r="L1056" t="s">
        <v>5278</v>
      </c>
    </row>
    <row r="1057" spans="1:12" ht="50.1" customHeight="1">
      <c r="A1057">
        <v>1048</v>
      </c>
      <c r="B1057" t="s">
        <v>4209</v>
      </c>
      <c r="C1057" t="s">
        <v>5027</v>
      </c>
      <c r="D1057">
        <v>404974104</v>
      </c>
      <c r="E1057" t="s">
        <v>3954</v>
      </c>
      <c r="F1057" t="s">
        <v>5279</v>
      </c>
      <c r="G1057">
        <v>886.27</v>
      </c>
      <c r="H1057" t="s">
        <v>3954</v>
      </c>
      <c r="I1057" t="s">
        <v>4212</v>
      </c>
      <c r="J1057">
        <f>K1057/G1057</f>
        <v>38.32901937332867</v>
      </c>
      <c r="K1057">
        <v>33969.86</v>
      </c>
      <c r="L1057" t="s">
        <v>5280</v>
      </c>
    </row>
    <row r="1058" spans="1:12" ht="50.1" customHeight="1">
      <c r="A1058">
        <v>1049</v>
      </c>
      <c r="B1058" t="s">
        <v>4367</v>
      </c>
      <c r="C1058" t="s">
        <v>5281</v>
      </c>
      <c r="D1058">
        <v>406146424</v>
      </c>
      <c r="E1058" t="s">
        <v>3954</v>
      </c>
      <c r="F1058" t="s">
        <v>5282</v>
      </c>
      <c r="G1058">
        <v>54</v>
      </c>
      <c r="H1058" t="s">
        <v>3954</v>
      </c>
      <c r="I1058" t="s">
        <v>4370</v>
      </c>
      <c r="J1058">
        <v>50</v>
      </c>
      <c r="K1058">
        <v>2700</v>
      </c>
      <c r="L1058" t="s">
        <v>5283</v>
      </c>
    </row>
    <row r="1059" spans="1:12" ht="50.1" customHeight="1">
      <c r="A1059">
        <v>1050</v>
      </c>
      <c r="B1059" t="s">
        <v>4209</v>
      </c>
      <c r="C1059" t="s">
        <v>4620</v>
      </c>
      <c r="D1059">
        <v>51001003676</v>
      </c>
      <c r="E1059" t="s">
        <v>3954</v>
      </c>
      <c r="F1059" t="s">
        <v>5284</v>
      </c>
      <c r="G1059">
        <v>20</v>
      </c>
      <c r="H1059" t="s">
        <v>3954</v>
      </c>
      <c r="I1059" t="s">
        <v>4212</v>
      </c>
      <c r="J1059">
        <f t="shared" ref="J1059:J1066" si="36">K1059/G1059</f>
        <v>28</v>
      </c>
      <c r="K1059">
        <v>560</v>
      </c>
      <c r="L1059" t="s">
        <v>5285</v>
      </c>
    </row>
    <row r="1060" spans="1:12" ht="50.1" customHeight="1">
      <c r="A1060">
        <v>1051</v>
      </c>
      <c r="B1060" t="s">
        <v>4209</v>
      </c>
      <c r="C1060" t="s">
        <v>5286</v>
      </c>
      <c r="D1060">
        <v>445394966</v>
      </c>
      <c r="E1060" t="s">
        <v>3954</v>
      </c>
      <c r="F1060" t="s">
        <v>5287</v>
      </c>
      <c r="G1060">
        <v>36</v>
      </c>
      <c r="H1060" t="s">
        <v>3954</v>
      </c>
      <c r="I1060" t="s">
        <v>5107</v>
      </c>
      <c r="J1060">
        <f t="shared" si="36"/>
        <v>30.5</v>
      </c>
      <c r="K1060">
        <v>1098</v>
      </c>
      <c r="L1060" t="s">
        <v>5288</v>
      </c>
    </row>
    <row r="1061" spans="1:12" ht="50.1" customHeight="1">
      <c r="A1061">
        <v>1052</v>
      </c>
      <c r="B1061" t="s">
        <v>4209</v>
      </c>
      <c r="C1061" t="s">
        <v>5289</v>
      </c>
      <c r="D1061">
        <v>245439539</v>
      </c>
      <c r="E1061" t="s">
        <v>3954</v>
      </c>
      <c r="F1061" t="s">
        <v>5290</v>
      </c>
      <c r="G1061">
        <v>32.64</v>
      </c>
      <c r="H1061" t="s">
        <v>3954</v>
      </c>
      <c r="I1061" t="s">
        <v>5107</v>
      </c>
      <c r="J1061">
        <f t="shared" si="36"/>
        <v>32.042892156862749</v>
      </c>
      <c r="K1061">
        <v>1045.8800000000001</v>
      </c>
      <c r="L1061" t="s">
        <v>5291</v>
      </c>
    </row>
    <row r="1062" spans="1:12" ht="50.1" customHeight="1">
      <c r="A1062">
        <v>1053</v>
      </c>
      <c r="B1062" t="s">
        <v>4252</v>
      </c>
      <c r="C1062" t="s">
        <v>4585</v>
      </c>
      <c r="D1062">
        <v>445464890</v>
      </c>
      <c r="E1062" t="s">
        <v>3954</v>
      </c>
      <c r="F1062" t="s">
        <v>5292</v>
      </c>
      <c r="G1062">
        <v>11.75</v>
      </c>
      <c r="H1062" t="s">
        <v>3954</v>
      </c>
      <c r="I1062" t="s">
        <v>5107</v>
      </c>
      <c r="J1062">
        <f t="shared" si="36"/>
        <v>68.085106382978722</v>
      </c>
      <c r="K1062">
        <v>800</v>
      </c>
      <c r="L1062" t="s">
        <v>5293</v>
      </c>
    </row>
    <row r="1063" spans="1:12" ht="50.1" customHeight="1">
      <c r="A1063">
        <v>1054</v>
      </c>
      <c r="B1063" t="s">
        <v>4209</v>
      </c>
      <c r="C1063" t="s">
        <v>5294</v>
      </c>
      <c r="D1063" t="s">
        <v>4328</v>
      </c>
      <c r="E1063" t="s">
        <v>3954</v>
      </c>
      <c r="F1063" t="s">
        <v>5295</v>
      </c>
      <c r="G1063">
        <v>72</v>
      </c>
      <c r="H1063" t="s">
        <v>3954</v>
      </c>
      <c r="I1063" t="s">
        <v>5107</v>
      </c>
      <c r="J1063">
        <f t="shared" si="36"/>
        <v>97.25</v>
      </c>
      <c r="K1063">
        <v>7002</v>
      </c>
      <c r="L1063" t="s">
        <v>5296</v>
      </c>
    </row>
    <row r="1064" spans="1:12" ht="50.1" customHeight="1">
      <c r="A1064">
        <v>1055</v>
      </c>
      <c r="B1064" t="s">
        <v>4478</v>
      </c>
      <c r="C1064" t="s">
        <v>4485</v>
      </c>
      <c r="D1064">
        <v>212678093</v>
      </c>
      <c r="E1064" t="s">
        <v>3954</v>
      </c>
      <c r="F1064" t="s">
        <v>5297</v>
      </c>
      <c r="G1064">
        <v>185</v>
      </c>
      <c r="H1064" t="s">
        <v>3954</v>
      </c>
      <c r="I1064" t="s">
        <v>5298</v>
      </c>
      <c r="J1064">
        <f t="shared" si="36"/>
        <v>15.733297297297296</v>
      </c>
      <c r="K1064">
        <v>2910.66</v>
      </c>
      <c r="L1064" t="s">
        <v>5299</v>
      </c>
    </row>
    <row r="1065" spans="1:12" ht="50.1" customHeight="1">
      <c r="A1065">
        <v>1056</v>
      </c>
      <c r="B1065" t="s">
        <v>4209</v>
      </c>
      <c r="C1065" t="s">
        <v>5199</v>
      </c>
      <c r="D1065">
        <v>205255917</v>
      </c>
      <c r="E1065" t="s">
        <v>3954</v>
      </c>
      <c r="F1065" t="s">
        <v>5300</v>
      </c>
      <c r="G1065">
        <f>986.628+128.53</f>
        <v>1115.1580000000001</v>
      </c>
      <c r="H1065" t="s">
        <v>3954</v>
      </c>
      <c r="I1065" t="s">
        <v>5107</v>
      </c>
      <c r="J1065">
        <f t="shared" si="36"/>
        <v>28.595526373841192</v>
      </c>
      <c r="K1065">
        <v>31888.53</v>
      </c>
      <c r="L1065" t="s">
        <v>5301</v>
      </c>
    </row>
    <row r="1066" spans="1:12" ht="50.1" customHeight="1">
      <c r="A1066">
        <v>1057</v>
      </c>
      <c r="B1066" t="s">
        <v>4209</v>
      </c>
      <c r="C1066" t="s">
        <v>5199</v>
      </c>
      <c r="D1066">
        <v>205255917</v>
      </c>
      <c r="E1066" t="s">
        <v>3954</v>
      </c>
      <c r="F1066" t="s">
        <v>5300</v>
      </c>
      <c r="G1066">
        <v>1115.1579999999999</v>
      </c>
      <c r="H1066" t="s">
        <v>3954</v>
      </c>
      <c r="I1066" t="s">
        <v>5107</v>
      </c>
      <c r="J1066">
        <f t="shared" si="36"/>
        <v>9.8385878951682191</v>
      </c>
      <c r="K1066">
        <v>10971.58</v>
      </c>
      <c r="L1066" t="s">
        <v>5302</v>
      </c>
    </row>
    <row r="1067" spans="1:12" ht="52.5" customHeight="1"/>
    <row r="1069" spans="1:12">
      <c r="A1069" t="s">
        <v>493</v>
      </c>
    </row>
    <row r="1070" spans="1:12">
      <c r="A1070" t="s">
        <v>494</v>
      </c>
    </row>
    <row r="1071" spans="1:12">
      <c r="A1071" t="s">
        <v>495</v>
      </c>
    </row>
    <row r="1072" spans="1:12">
      <c r="A1072" t="s">
        <v>496</v>
      </c>
    </row>
    <row r="1073" spans="1:7" ht="15" customHeight="1">
      <c r="A1073" t="s">
        <v>513</v>
      </c>
    </row>
    <row r="1074" spans="1:7" ht="15" customHeight="1"/>
    <row r="1075" spans="1:7">
      <c r="A1075" t="s">
        <v>107</v>
      </c>
    </row>
    <row r="1077" spans="1:7" ht="15" customHeight="1">
      <c r="C1077" t="s">
        <v>268</v>
      </c>
      <c r="G1077" t="s">
        <v>497</v>
      </c>
    </row>
    <row r="1079" spans="1:7">
      <c r="C1079" t="s">
        <v>139</v>
      </c>
    </row>
  </sheetData>
  <dataValidations count="1">
    <dataValidation type="list" allowBlank="1" showInputMessage="1" showErrorMessage="1" sqref="B10:B106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hyperlinks>
    <hyperlink ref="L275" r:id="rId1" display="WWW.alion.ge"/>
    <hyperlink ref="L187" r:id="rId2" display="www.tpress.ge "/>
    <hyperlink ref="L186" r:id="rId3" display="www.tpress.ge "/>
    <hyperlink ref="L185" r:id="rId4" display="www.tpress.ge "/>
    <hyperlink ref="L184" r:id="rId5" display="www.tpress.ge "/>
    <hyperlink ref="L183" r:id="rId6" display="www.tpress.ge "/>
    <hyperlink ref="L182" r:id="rId7" display="www.tpress.ge  "/>
    <hyperlink ref="L180" r:id="rId8" display="www.tpress.ge "/>
    <hyperlink ref="L76" r:id="rId9" display="www.adjaraps.com"/>
    <hyperlink ref="L69" r:id="rId10" display="www.mediamall.ge "/>
    <hyperlink ref="L57" r:id="rId11" display="www.primenewsgeorgia.ge"/>
    <hyperlink ref="L55" r:id="rId12" display="www.ghn.ge"/>
    <hyperlink ref="L50" r:id="rId13" display="www.ipress.ge "/>
    <hyperlink ref="L47" r:id="rId14"/>
    <hyperlink ref="L43" r:id="rId15" display="www.livepress.ge "/>
    <hyperlink ref="L25" r:id="rId16"/>
    <hyperlink ref="L22" r:id="rId17"/>
    <hyperlink ref="L21" r:id="rId18"/>
  </hyperlinks>
  <printOptions gridLines="1"/>
  <pageMargins left="0.19684820647419099" right="0.19684820647419099" top="0.19684820647419099" bottom="0.19684820647419099" header="0.15748031496063" footer="0.15748031496063"/>
  <pageSetup scale="60" fitToHeight="0" orientation="landscape" r:id="rId19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D20" sqref="D20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458</v>
      </c>
      <c r="B1" s="76"/>
      <c r="C1" s="773" t="s">
        <v>109</v>
      </c>
      <c r="D1" s="773"/>
    </row>
    <row r="2" spans="1:5">
      <c r="A2" s="74" t="s">
        <v>459</v>
      </c>
      <c r="B2" s="76"/>
      <c r="C2" s="753" t="s">
        <v>515</v>
      </c>
      <c r="D2" s="754"/>
    </row>
    <row r="3" spans="1:5">
      <c r="A3" s="76" t="s">
        <v>140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19" t="str">
        <f>'ფორმა N1'!D4</f>
        <v>მ.პ.გ. ქართული ოცნება - დემოკრატიული საქართველო</v>
      </c>
      <c r="B6" s="120"/>
      <c r="C6" s="120"/>
      <c r="D6" s="59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13620</v>
      </c>
      <c r="D10" s="82">
        <f>SUM(D11,D14,D17,D20:D22)</f>
        <v>13620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2">
        <f>SUM(C18:C19)</f>
        <v>13620</v>
      </c>
      <c r="D17" s="82">
        <f>SUM(D18:D19)</f>
        <v>13620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>
        <v>13620</v>
      </c>
      <c r="D19" s="34">
        <v>13620</v>
      </c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460</v>
      </c>
      <c r="B1" s="77"/>
      <c r="C1" s="763" t="s">
        <v>109</v>
      </c>
      <c r="D1" s="763"/>
      <c r="E1" s="91"/>
    </row>
    <row r="2" spans="1:5" s="6" customFormat="1">
      <c r="A2" s="74" t="s">
        <v>457</v>
      </c>
      <c r="B2" s="77"/>
      <c r="C2" s="753" t="s">
        <v>515</v>
      </c>
      <c r="D2" s="754"/>
      <c r="E2" s="91"/>
    </row>
    <row r="3" spans="1:5" s="6" customFormat="1">
      <c r="A3" s="76" t="s">
        <v>140</v>
      </c>
      <c r="B3" s="74"/>
      <c r="C3" s="162"/>
      <c r="D3" s="162"/>
      <c r="E3" s="91"/>
    </row>
    <row r="4" spans="1:5" s="6" customFormat="1">
      <c r="A4" s="76"/>
      <c r="B4" s="76"/>
      <c r="C4" s="162"/>
      <c r="D4" s="162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tr">
        <f>'ფორმა N1'!D4</f>
        <v>მ.პ.გ. ქართული ოცნება - დემოკრატიული საქართველო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1"/>
      <c r="B8" s="161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297</v>
      </c>
      <c r="B10" s="98"/>
      <c r="C10" s="4"/>
      <c r="D10" s="4"/>
      <c r="E10" s="93"/>
    </row>
    <row r="11" spans="1:5" s="10" customFormat="1">
      <c r="A11" s="98" t="s">
        <v>298</v>
      </c>
      <c r="B11" s="98"/>
      <c r="C11" s="4"/>
      <c r="D11" s="4"/>
      <c r="E11" s="94"/>
    </row>
    <row r="12" spans="1:5" s="10" customFormat="1">
      <c r="A12" s="98" t="s">
        <v>299</v>
      </c>
      <c r="B12" s="87"/>
      <c r="C12" s="4"/>
      <c r="D12" s="4"/>
      <c r="E12" s="94"/>
    </row>
    <row r="13" spans="1:5" s="10" customFormat="1">
      <c r="A13" s="87" t="s">
        <v>278</v>
      </c>
      <c r="B13" s="87"/>
      <c r="C13" s="4"/>
      <c r="D13" s="4"/>
      <c r="E13" s="94"/>
    </row>
    <row r="14" spans="1:5" s="10" customFormat="1">
      <c r="A14" s="87" t="s">
        <v>278</v>
      </c>
      <c r="B14" s="87"/>
      <c r="C14" s="4"/>
      <c r="D14" s="4"/>
      <c r="E14" s="94"/>
    </row>
    <row r="15" spans="1:5" s="10" customFormat="1">
      <c r="A15" s="87" t="s">
        <v>278</v>
      </c>
      <c r="B15" s="87"/>
      <c r="C15" s="4"/>
      <c r="D15" s="4"/>
      <c r="E15" s="94"/>
    </row>
    <row r="16" spans="1:5" s="10" customFormat="1">
      <c r="A16" s="87" t="s">
        <v>278</v>
      </c>
      <c r="B16" s="87"/>
      <c r="C16" s="4"/>
      <c r="D16" s="4"/>
      <c r="E16" s="94"/>
    </row>
    <row r="17" spans="1:9">
      <c r="A17" s="99"/>
      <c r="B17" s="99" t="s">
        <v>335</v>
      </c>
      <c r="C17" s="86">
        <f>SUM(C10:C16)</f>
        <v>0</v>
      </c>
      <c r="D17" s="86">
        <f>SUM(D10:D16)</f>
        <v>0</v>
      </c>
      <c r="E17" s="96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5"/>
    </row>
    <row r="22" spans="1:9">
      <c r="A22" s="215" t="s">
        <v>403</v>
      </c>
    </row>
    <row r="23" spans="1:9" s="23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K19" sqref="K19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9" width="10.5703125" style="2" bestFit="1" customWidth="1"/>
    <col min="10" max="16384" width="9.140625" style="2"/>
  </cols>
  <sheetData>
    <row r="1" spans="1:9">
      <c r="A1" s="74" t="s">
        <v>224</v>
      </c>
      <c r="B1" s="121"/>
      <c r="C1" s="774" t="s">
        <v>198</v>
      </c>
      <c r="D1" s="774"/>
      <c r="E1" s="105"/>
    </row>
    <row r="2" spans="1:9">
      <c r="A2" s="76" t="s">
        <v>140</v>
      </c>
      <c r="B2" s="121"/>
      <c r="C2" s="753" t="s">
        <v>515</v>
      </c>
      <c r="D2" s="753"/>
      <c r="E2" s="754"/>
    </row>
    <row r="3" spans="1:9">
      <c r="A3" s="116"/>
      <c r="B3" s="121"/>
      <c r="C3" s="77"/>
      <c r="D3" s="77"/>
      <c r="E3" s="105"/>
    </row>
    <row r="4" spans="1:9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9">
      <c r="A5" s="119" t="str">
        <f>'ფორმა N1'!D4</f>
        <v>მ.პ.გ. ქართული ოცნება - დემოკრატიული საქართველო</v>
      </c>
      <c r="B5" s="120"/>
      <c r="C5" s="120"/>
      <c r="D5" s="59"/>
      <c r="E5" s="108"/>
    </row>
    <row r="6" spans="1:9">
      <c r="A6" s="77"/>
      <c r="B6" s="76"/>
      <c r="C6" s="76"/>
      <c r="D6" s="76"/>
      <c r="E6" s="108"/>
    </row>
    <row r="7" spans="1:9">
      <c r="A7" s="115"/>
      <c r="B7" s="122"/>
      <c r="C7" s="123"/>
      <c r="D7" s="123"/>
      <c r="E7" s="105"/>
    </row>
    <row r="8" spans="1:9" ht="45">
      <c r="A8" s="124" t="s">
        <v>113</v>
      </c>
      <c r="B8" s="124" t="s">
        <v>190</v>
      </c>
      <c r="C8" s="124" t="s">
        <v>303</v>
      </c>
      <c r="D8" s="124" t="s">
        <v>257</v>
      </c>
      <c r="E8" s="105"/>
    </row>
    <row r="9" spans="1:9">
      <c r="A9" s="49"/>
      <c r="B9" s="50"/>
      <c r="C9" s="158"/>
      <c r="D9" s="158"/>
      <c r="E9" s="105"/>
    </row>
    <row r="10" spans="1:9">
      <c r="A10" s="51" t="s">
        <v>191</v>
      </c>
      <c r="B10" s="52"/>
      <c r="C10" s="125">
        <f>SUM(C11,C34)</f>
        <v>564810</v>
      </c>
      <c r="D10" s="125">
        <f>SUM(D11,D34)</f>
        <v>2125805</v>
      </c>
      <c r="E10" s="105"/>
      <c r="G10" s="555"/>
      <c r="H10" s="555">
        <f>C10+'ფორმა N2'!C9+'ფორმა N3'!C9-'ფორმა N4'!C11-'ფორმა N5'!C9-'ფორმა N6'!C10</f>
        <v>2113624.9800000004</v>
      </c>
      <c r="I10" s="555">
        <f>H10+G47-D10</f>
        <v>-1.0199999995529652</v>
      </c>
    </row>
    <row r="11" spans="1:9">
      <c r="A11" s="53" t="s">
        <v>192</v>
      </c>
      <c r="B11" s="54"/>
      <c r="C11" s="85">
        <f>SUM(C12:C32)</f>
        <v>474831</v>
      </c>
      <c r="D11" s="85">
        <f>SUM(D12:D32)</f>
        <v>1773557</v>
      </c>
      <c r="E11" s="105"/>
      <c r="G11" s="555"/>
      <c r="H11" s="555"/>
      <c r="I11" s="555"/>
    </row>
    <row r="12" spans="1:9">
      <c r="A12" s="57">
        <v>1110</v>
      </c>
      <c r="B12" s="56" t="s">
        <v>142</v>
      </c>
      <c r="C12" s="8"/>
      <c r="D12" s="8"/>
      <c r="E12" s="105"/>
    </row>
    <row r="13" spans="1:9">
      <c r="A13" s="57">
        <v>1120</v>
      </c>
      <c r="B13" s="56" t="s">
        <v>143</v>
      </c>
      <c r="C13" s="8"/>
      <c r="D13" s="8"/>
      <c r="E13" s="105"/>
    </row>
    <row r="14" spans="1:9">
      <c r="A14" s="57">
        <v>1211</v>
      </c>
      <c r="B14" s="56" t="s">
        <v>144</v>
      </c>
      <c r="C14" s="8">
        <v>453723</v>
      </c>
      <c r="D14" s="8">
        <v>1722301</v>
      </c>
      <c r="E14" s="105"/>
      <c r="G14" s="555">
        <f>C14+C23+'ფორმა N2'!D9+'ფორმა N3'!D9-'ფორმა N4'!D11-'ფორმა N5'!D9</f>
        <v>1737929.2299999967</v>
      </c>
    </row>
    <row r="15" spans="1:9">
      <c r="A15" s="57">
        <v>1212</v>
      </c>
      <c r="B15" s="56" t="s">
        <v>145</v>
      </c>
      <c r="C15" s="8"/>
      <c r="D15" s="8">
        <v>1888</v>
      </c>
      <c r="E15" s="105"/>
      <c r="G15" s="555">
        <f>G14-D14-D15-D23-'ფორმა N6'!D10</f>
        <v>0.22999999672174454</v>
      </c>
    </row>
    <row r="16" spans="1:9">
      <c r="A16" s="57">
        <v>1213</v>
      </c>
      <c r="B16" s="56" t="s">
        <v>146</v>
      </c>
      <c r="C16" s="8"/>
      <c r="D16" s="8"/>
      <c r="E16" s="105"/>
    </row>
    <row r="17" spans="1:5">
      <c r="A17" s="57">
        <v>1214</v>
      </c>
      <c r="B17" s="56" t="s">
        <v>147</v>
      </c>
      <c r="C17" s="8"/>
      <c r="D17" s="8"/>
      <c r="E17" s="105"/>
    </row>
    <row r="18" spans="1:5">
      <c r="A18" s="57">
        <v>1215</v>
      </c>
      <c r="B18" s="56" t="s">
        <v>148</v>
      </c>
      <c r="C18" s="8"/>
      <c r="D18" s="8"/>
      <c r="E18" s="105"/>
    </row>
    <row r="19" spans="1:5">
      <c r="A19" s="57">
        <v>1300</v>
      </c>
      <c r="B19" s="56" t="s">
        <v>149</v>
      </c>
      <c r="C19" s="8"/>
      <c r="D19" s="8"/>
      <c r="E19" s="105"/>
    </row>
    <row r="20" spans="1:5">
      <c r="A20" s="57">
        <v>1410</v>
      </c>
      <c r="B20" s="56" t="s">
        <v>150</v>
      </c>
      <c r="C20" s="8"/>
      <c r="D20" s="8"/>
      <c r="E20" s="105"/>
    </row>
    <row r="21" spans="1:5">
      <c r="A21" s="57">
        <v>1421</v>
      </c>
      <c r="B21" s="56" t="s">
        <v>151</v>
      </c>
      <c r="C21" s="8"/>
      <c r="D21" s="8"/>
      <c r="E21" s="105"/>
    </row>
    <row r="22" spans="1:5">
      <c r="A22" s="57">
        <v>1422</v>
      </c>
      <c r="B22" s="56" t="s">
        <v>152</v>
      </c>
      <c r="C22" s="8"/>
      <c r="D22" s="8"/>
      <c r="E22" s="105"/>
    </row>
    <row r="23" spans="1:5">
      <c r="A23" s="57">
        <v>1423</v>
      </c>
      <c r="B23" s="56" t="s">
        <v>153</v>
      </c>
      <c r="C23" s="8">
        <v>120</v>
      </c>
      <c r="D23" s="8">
        <v>120</v>
      </c>
      <c r="E23" s="105"/>
    </row>
    <row r="24" spans="1:5">
      <c r="A24" s="57">
        <v>1431</v>
      </c>
      <c r="B24" s="56" t="s">
        <v>154</v>
      </c>
      <c r="C24" s="8"/>
      <c r="D24" s="8"/>
      <c r="E24" s="105"/>
    </row>
    <row r="25" spans="1:5">
      <c r="A25" s="57">
        <v>1432</v>
      </c>
      <c r="B25" s="56" t="s">
        <v>155</v>
      </c>
      <c r="C25" s="8"/>
      <c r="D25" s="8"/>
      <c r="E25" s="105"/>
    </row>
    <row r="26" spans="1:5">
      <c r="A26" s="57">
        <v>1433</v>
      </c>
      <c r="B26" s="56" t="s">
        <v>156</v>
      </c>
      <c r="C26" s="8">
        <v>8564</v>
      </c>
      <c r="D26" s="8">
        <v>8962</v>
      </c>
      <c r="E26" s="105"/>
    </row>
    <row r="27" spans="1:5">
      <c r="A27" s="57">
        <v>1441</v>
      </c>
      <c r="B27" s="56" t="s">
        <v>157</v>
      </c>
      <c r="C27" s="8">
        <v>8225</v>
      </c>
      <c r="D27" s="8">
        <v>19494</v>
      </c>
      <c r="E27" s="105"/>
    </row>
    <row r="28" spans="1:5">
      <c r="A28" s="57">
        <v>1442</v>
      </c>
      <c r="B28" s="56" t="s">
        <v>158</v>
      </c>
      <c r="C28" s="8">
        <v>4199</v>
      </c>
      <c r="D28" s="8">
        <v>20792</v>
      </c>
      <c r="E28" s="105"/>
    </row>
    <row r="29" spans="1:5">
      <c r="A29" s="57">
        <v>1443</v>
      </c>
      <c r="B29" s="56" t="s">
        <v>159</v>
      </c>
      <c r="C29" s="8"/>
      <c r="D29" s="8"/>
      <c r="E29" s="105"/>
    </row>
    <row r="30" spans="1:5">
      <c r="A30" s="57">
        <v>1444</v>
      </c>
      <c r="B30" s="56" t="s">
        <v>160</v>
      </c>
      <c r="C30" s="8"/>
      <c r="D30" s="8"/>
      <c r="E30" s="105"/>
    </row>
    <row r="31" spans="1:5">
      <c r="A31" s="57">
        <v>1445</v>
      </c>
      <c r="B31" s="56" t="s">
        <v>161</v>
      </c>
      <c r="C31" s="8"/>
      <c r="D31" s="8"/>
      <c r="E31" s="105"/>
    </row>
    <row r="32" spans="1:5">
      <c r="A32" s="57">
        <v>1446</v>
      </c>
      <c r="B32" s="56" t="s">
        <v>162</v>
      </c>
      <c r="C32" s="8"/>
      <c r="D32" s="8"/>
      <c r="E32" s="105"/>
    </row>
    <row r="33" spans="1:7">
      <c r="A33" s="30"/>
      <c r="E33" s="105"/>
    </row>
    <row r="34" spans="1:7">
      <c r="A34" s="58" t="s">
        <v>193</v>
      </c>
      <c r="B34" s="56"/>
      <c r="C34" s="85">
        <f>SUM(C35:C42)</f>
        <v>89979</v>
      </c>
      <c r="D34" s="85">
        <f>SUM(D35:D42)</f>
        <v>352248</v>
      </c>
      <c r="E34" s="105"/>
    </row>
    <row r="35" spans="1:7">
      <c r="A35" s="57">
        <v>2110</v>
      </c>
      <c r="B35" s="56" t="s">
        <v>100</v>
      </c>
      <c r="C35" s="8"/>
      <c r="D35" s="8"/>
      <c r="E35" s="105"/>
    </row>
    <row r="36" spans="1:7">
      <c r="A36" s="57">
        <v>2120</v>
      </c>
      <c r="B36" s="56" t="s">
        <v>163</v>
      </c>
      <c r="C36" s="8">
        <v>84425</v>
      </c>
      <c r="D36" s="8">
        <v>319965</v>
      </c>
      <c r="E36" s="105"/>
    </row>
    <row r="37" spans="1:7">
      <c r="A37" s="57">
        <v>2130</v>
      </c>
      <c r="B37" s="56" t="s">
        <v>101</v>
      </c>
      <c r="C37" s="8"/>
      <c r="D37" s="8"/>
      <c r="E37" s="105"/>
    </row>
    <row r="38" spans="1:7">
      <c r="A38" s="57">
        <v>2140</v>
      </c>
      <c r="B38" s="56" t="s">
        <v>412</v>
      </c>
      <c r="C38" s="8"/>
      <c r="D38" s="8"/>
      <c r="E38" s="105"/>
    </row>
    <row r="39" spans="1:7">
      <c r="A39" s="57">
        <v>2150</v>
      </c>
      <c r="B39" s="56" t="s">
        <v>416</v>
      </c>
      <c r="C39" s="8">
        <v>941</v>
      </c>
      <c r="D39" s="8">
        <v>940</v>
      </c>
      <c r="E39" s="105"/>
    </row>
    <row r="40" spans="1:7">
      <c r="A40" s="57">
        <v>2220</v>
      </c>
      <c r="B40" s="56" t="s">
        <v>102</v>
      </c>
      <c r="C40" s="8">
        <v>4613</v>
      </c>
      <c r="D40" s="8">
        <v>31343</v>
      </c>
      <c r="E40" s="105"/>
    </row>
    <row r="41" spans="1:7">
      <c r="A41" s="57">
        <v>2300</v>
      </c>
      <c r="B41" s="56" t="s">
        <v>164</v>
      </c>
      <c r="C41" s="8"/>
      <c r="D41" s="8"/>
      <c r="E41" s="105"/>
    </row>
    <row r="42" spans="1:7">
      <c r="A42" s="57">
        <v>2400</v>
      </c>
      <c r="B42" s="56" t="s">
        <v>165</v>
      </c>
      <c r="C42" s="8"/>
      <c r="D42" s="8"/>
      <c r="E42" s="105"/>
    </row>
    <row r="43" spans="1:7">
      <c r="A43" s="31"/>
      <c r="E43" s="105"/>
    </row>
    <row r="44" spans="1:7">
      <c r="A44" s="55" t="s">
        <v>197</v>
      </c>
      <c r="B44" s="56"/>
      <c r="C44" s="85">
        <f>SUM(C45,C64)</f>
        <v>564810</v>
      </c>
      <c r="D44" s="85">
        <f>SUM(D45,D64)</f>
        <v>2125805</v>
      </c>
      <c r="E44" s="105"/>
    </row>
    <row r="45" spans="1:7">
      <c r="A45" s="58" t="s">
        <v>194</v>
      </c>
      <c r="B45" s="56"/>
      <c r="C45" s="85">
        <f>SUM(C46:C61)</f>
        <v>1405694</v>
      </c>
      <c r="D45" s="85">
        <f>SUM(D46:D61)</f>
        <v>1417873</v>
      </c>
      <c r="E45" s="105"/>
      <c r="G45" s="2">
        <f>D45-C45</f>
        <v>12179</v>
      </c>
    </row>
    <row r="46" spans="1:7">
      <c r="A46" s="57">
        <v>3100</v>
      </c>
      <c r="B46" s="56" t="s">
        <v>166</v>
      </c>
      <c r="C46" s="8"/>
      <c r="D46" s="8"/>
      <c r="E46" s="105"/>
    </row>
    <row r="47" spans="1:7">
      <c r="A47" s="57">
        <v>3210</v>
      </c>
      <c r="B47" s="56" t="s">
        <v>167</v>
      </c>
      <c r="C47" s="8">
        <v>1405602</v>
      </c>
      <c r="D47" s="8">
        <v>1417781</v>
      </c>
      <c r="E47" s="105"/>
      <c r="G47" s="2">
        <f>D47-C47</f>
        <v>12179</v>
      </c>
    </row>
    <row r="48" spans="1:7">
      <c r="A48" s="57">
        <v>3221</v>
      </c>
      <c r="B48" s="56" t="s">
        <v>168</v>
      </c>
      <c r="C48" s="8"/>
      <c r="D48" s="8"/>
      <c r="E48" s="105"/>
    </row>
    <row r="49" spans="1:5">
      <c r="A49" s="57">
        <v>3222</v>
      </c>
      <c r="B49" s="56" t="s">
        <v>169</v>
      </c>
      <c r="C49" s="8"/>
      <c r="D49" s="8"/>
      <c r="E49" s="105"/>
    </row>
    <row r="50" spans="1:5">
      <c r="A50" s="57">
        <v>3223</v>
      </c>
      <c r="B50" s="56" t="s">
        <v>170</v>
      </c>
      <c r="C50" s="8"/>
      <c r="D50" s="8"/>
      <c r="E50" s="105"/>
    </row>
    <row r="51" spans="1:5">
      <c r="A51" s="57">
        <v>3224</v>
      </c>
      <c r="B51" s="56" t="s">
        <v>171</v>
      </c>
      <c r="C51" s="8"/>
      <c r="D51" s="8"/>
      <c r="E51" s="105"/>
    </row>
    <row r="52" spans="1:5">
      <c r="A52" s="57">
        <v>3231</v>
      </c>
      <c r="B52" s="56" t="s">
        <v>172</v>
      </c>
      <c r="C52" s="8"/>
      <c r="D52" s="8"/>
      <c r="E52" s="105"/>
    </row>
    <row r="53" spans="1:5">
      <c r="A53" s="57">
        <v>3232</v>
      </c>
      <c r="B53" s="56" t="s">
        <v>173</v>
      </c>
      <c r="C53" s="8"/>
      <c r="D53" s="8"/>
      <c r="E53" s="105"/>
    </row>
    <row r="54" spans="1:5">
      <c r="A54" s="57">
        <v>3234</v>
      </c>
      <c r="B54" s="56" t="s">
        <v>174</v>
      </c>
      <c r="C54" s="8">
        <v>92</v>
      </c>
      <c r="D54" s="8">
        <v>92</v>
      </c>
      <c r="E54" s="105"/>
    </row>
    <row r="55" spans="1:5" ht="30">
      <c r="A55" s="57">
        <v>3236</v>
      </c>
      <c r="B55" s="56" t="s">
        <v>189</v>
      </c>
      <c r="C55" s="8"/>
      <c r="D55" s="8"/>
      <c r="E55" s="105"/>
    </row>
    <row r="56" spans="1:5" ht="45">
      <c r="A56" s="57">
        <v>3237</v>
      </c>
      <c r="B56" s="56" t="s">
        <v>175</v>
      </c>
      <c r="C56" s="8"/>
      <c r="D56" s="8"/>
      <c r="E56" s="105"/>
    </row>
    <row r="57" spans="1:5">
      <c r="A57" s="57">
        <v>3241</v>
      </c>
      <c r="B57" s="56" t="s">
        <v>176</v>
      </c>
      <c r="C57" s="8"/>
      <c r="D57" s="8"/>
      <c r="E57" s="105"/>
    </row>
    <row r="58" spans="1:5">
      <c r="A58" s="57">
        <v>3242</v>
      </c>
      <c r="B58" s="56" t="s">
        <v>177</v>
      </c>
      <c r="C58" s="8"/>
      <c r="D58" s="8"/>
      <c r="E58" s="105"/>
    </row>
    <row r="59" spans="1:5">
      <c r="A59" s="57">
        <v>3243</v>
      </c>
      <c r="B59" s="56" t="s">
        <v>178</v>
      </c>
      <c r="C59" s="8"/>
      <c r="D59" s="8"/>
      <c r="E59" s="105"/>
    </row>
    <row r="60" spans="1:5">
      <c r="A60" s="57">
        <v>3245</v>
      </c>
      <c r="B60" s="56" t="s">
        <v>179</v>
      </c>
      <c r="C60" s="8"/>
      <c r="D60" s="8"/>
      <c r="E60" s="105"/>
    </row>
    <row r="61" spans="1:5">
      <c r="A61" s="57">
        <v>3246</v>
      </c>
      <c r="B61" s="56" t="s">
        <v>180</v>
      </c>
      <c r="C61" s="8"/>
      <c r="D61" s="8"/>
      <c r="E61" s="105"/>
    </row>
    <row r="62" spans="1:5">
      <c r="A62" s="31"/>
      <c r="E62" s="105"/>
    </row>
    <row r="63" spans="1:5">
      <c r="A63" s="32"/>
      <c r="E63" s="105"/>
    </row>
    <row r="64" spans="1:5">
      <c r="A64" s="58" t="s">
        <v>195</v>
      </c>
      <c r="B64" s="56"/>
      <c r="C64" s="85">
        <f>SUM(C65:C67)</f>
        <v>-840884</v>
      </c>
      <c r="D64" s="85">
        <f>SUM(D65:D67)</f>
        <v>707932</v>
      </c>
      <c r="E64" s="105"/>
    </row>
    <row r="65" spans="1:5">
      <c r="A65" s="57">
        <v>5100</v>
      </c>
      <c r="B65" s="56" t="s">
        <v>255</v>
      </c>
      <c r="C65" s="8"/>
      <c r="D65" s="8"/>
      <c r="E65" s="105"/>
    </row>
    <row r="66" spans="1:5">
      <c r="A66" s="57">
        <v>5220</v>
      </c>
      <c r="B66" s="56" t="s">
        <v>436</v>
      </c>
      <c r="C66" s="8"/>
      <c r="D66" s="8"/>
      <c r="E66" s="105"/>
    </row>
    <row r="67" spans="1:5">
      <c r="A67" s="57">
        <v>5230</v>
      </c>
      <c r="B67" s="56" t="s">
        <v>437</v>
      </c>
      <c r="C67" s="8">
        <v>-840884</v>
      </c>
      <c r="D67" s="8">
        <v>707932</v>
      </c>
      <c r="E67" s="105"/>
    </row>
    <row r="68" spans="1:5">
      <c r="A68" s="31"/>
      <c r="E68" s="105"/>
    </row>
    <row r="69" spans="1:5">
      <c r="A69" s="2"/>
      <c r="E69" s="105"/>
    </row>
    <row r="70" spans="1:5">
      <c r="A70" s="55" t="s">
        <v>196</v>
      </c>
      <c r="B70" s="56"/>
      <c r="C70" s="8"/>
      <c r="D70" s="8"/>
      <c r="E70" s="105"/>
    </row>
    <row r="71" spans="1:5" ht="30">
      <c r="A71" s="57">
        <v>1</v>
      </c>
      <c r="B71" s="56" t="s">
        <v>181</v>
      </c>
      <c r="C71" s="8"/>
      <c r="D71" s="8"/>
      <c r="E71" s="105"/>
    </row>
    <row r="72" spans="1:5">
      <c r="A72" s="57">
        <v>2</v>
      </c>
      <c r="B72" s="56" t="s">
        <v>182</v>
      </c>
      <c r="C72" s="8"/>
      <c r="D72" s="8"/>
      <c r="E72" s="105"/>
    </row>
    <row r="73" spans="1:5">
      <c r="A73" s="57">
        <v>3</v>
      </c>
      <c r="B73" s="56" t="s">
        <v>183</v>
      </c>
      <c r="C73" s="8"/>
      <c r="D73" s="8"/>
      <c r="E73" s="105"/>
    </row>
    <row r="74" spans="1:5">
      <c r="A74" s="57">
        <v>4</v>
      </c>
      <c r="B74" s="56" t="s">
        <v>367</v>
      </c>
      <c r="C74" s="8"/>
      <c r="D74" s="8"/>
      <c r="E74" s="105"/>
    </row>
    <row r="75" spans="1:5">
      <c r="A75" s="57">
        <v>5</v>
      </c>
      <c r="B75" s="56" t="s">
        <v>184</v>
      </c>
      <c r="C75" s="8"/>
      <c r="D75" s="8"/>
      <c r="E75" s="105"/>
    </row>
    <row r="76" spans="1:5">
      <c r="A76" s="57">
        <v>6</v>
      </c>
      <c r="B76" s="56" t="s">
        <v>185</v>
      </c>
      <c r="C76" s="8"/>
      <c r="D76" s="8"/>
      <c r="E76" s="105"/>
    </row>
    <row r="77" spans="1:5">
      <c r="A77" s="57">
        <v>7</v>
      </c>
      <c r="B77" s="56" t="s">
        <v>186</v>
      </c>
      <c r="C77" s="8"/>
      <c r="D77" s="8"/>
      <c r="E77" s="105"/>
    </row>
    <row r="78" spans="1:5">
      <c r="A78" s="57">
        <v>8</v>
      </c>
      <c r="B78" s="56" t="s">
        <v>187</v>
      </c>
      <c r="C78" s="8"/>
      <c r="D78" s="8"/>
      <c r="E78" s="105"/>
    </row>
    <row r="79" spans="1:5">
      <c r="A79" s="57">
        <v>9</v>
      </c>
      <c r="B79" s="56" t="s">
        <v>188</v>
      </c>
      <c r="C79" s="8"/>
      <c r="D79" s="8"/>
      <c r="E79" s="105"/>
    </row>
    <row r="83" spans="1:7">
      <c r="A83" s="2"/>
      <c r="B83" s="2"/>
    </row>
    <row r="84" spans="1:7">
      <c r="A84" s="69" t="s">
        <v>107</v>
      </c>
      <c r="B84" s="2"/>
      <c r="E84" s="5"/>
    </row>
    <row r="85" spans="1:7">
      <c r="A85" s="2"/>
      <c r="B85" s="2"/>
      <c r="E85"/>
      <c r="F85"/>
      <c r="G85"/>
    </row>
    <row r="86" spans="1:7">
      <c r="A86" s="2"/>
      <c r="B86" s="2"/>
      <c r="D86" s="12"/>
      <c r="E86"/>
      <c r="F86"/>
      <c r="G86"/>
    </row>
    <row r="87" spans="1:7">
      <c r="A87"/>
      <c r="B87" s="69" t="s">
        <v>448</v>
      </c>
      <c r="D87" s="12"/>
      <c r="E87"/>
      <c r="F87"/>
      <c r="G87"/>
    </row>
    <row r="88" spans="1:7">
      <c r="A88"/>
      <c r="B88" s="2" t="s">
        <v>449</v>
      </c>
      <c r="D88" s="12"/>
      <c r="E88"/>
      <c r="F88"/>
      <c r="G88"/>
    </row>
    <row r="89" spans="1:7" customFormat="1" ht="12.75">
      <c r="B89" s="66" t="s">
        <v>139</v>
      </c>
    </row>
    <row r="90" spans="1:7" customFormat="1" ht="12.75"/>
    <row r="91" spans="1:7" customFormat="1" ht="12.75"/>
    <row r="92" spans="1:7" customFormat="1" ht="12.75"/>
    <row r="93" spans="1:7" customFormat="1" ht="12.75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30"/>
  <sheetViews>
    <sheetView showGridLines="0" view="pageBreakPreview" topLeftCell="C1" zoomScale="80" zoomScaleNormal="100" zoomScaleSheetLayoutView="80" workbookViewId="0">
      <selection activeCell="I13" sqref="I1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2" width="9.140625" style="2"/>
    <col min="13" max="13" width="11.7109375" style="2" hidden="1" customWidth="1"/>
    <col min="14" max="36" width="0" style="2" hidden="1" customWidth="1"/>
    <col min="37" max="37" width="9.140625" style="2"/>
    <col min="38" max="38" width="0" style="2" hidden="1" customWidth="1"/>
    <col min="39" max="39" width="11.85546875" style="2" hidden="1" customWidth="1"/>
    <col min="40" max="40" width="12.7109375" style="2" hidden="1" customWidth="1"/>
    <col min="41" max="51" width="0" style="2" hidden="1" customWidth="1"/>
    <col min="52" max="52" width="13.28515625" style="2" hidden="1" customWidth="1"/>
    <col min="53" max="53" width="12" style="2" hidden="1" customWidth="1"/>
    <col min="54" max="54" width="9.28515625" style="2" hidden="1" customWidth="1"/>
    <col min="55" max="55" width="9.140625" style="2"/>
    <col min="56" max="57" width="0" style="2" hidden="1" customWidth="1"/>
    <col min="58" max="58" width="0.85546875" style="2" hidden="1" customWidth="1"/>
    <col min="59" max="59" width="12" style="2" hidden="1" customWidth="1"/>
    <col min="60" max="60" width="12.5703125" style="2" hidden="1" customWidth="1"/>
    <col min="61" max="61" width="11.85546875" style="2" hidden="1" customWidth="1"/>
    <col min="62" max="62" width="0" style="2" hidden="1" customWidth="1"/>
    <col min="63" max="16384" width="9.140625" style="2"/>
  </cols>
  <sheetData>
    <row r="1" spans="1:61">
      <c r="A1" s="74" t="s">
        <v>454</v>
      </c>
      <c r="B1" s="76"/>
      <c r="C1" s="76"/>
      <c r="D1" s="76"/>
      <c r="E1" s="76"/>
      <c r="F1" s="76"/>
      <c r="G1" s="76"/>
      <c r="H1" s="76"/>
      <c r="I1" s="763" t="s">
        <v>109</v>
      </c>
      <c r="J1" s="763"/>
      <c r="K1" s="105"/>
    </row>
    <row r="2" spans="1:61">
      <c r="A2" s="76" t="s">
        <v>140</v>
      </c>
      <c r="B2" s="76"/>
      <c r="C2" s="76"/>
      <c r="D2" s="76"/>
      <c r="E2" s="76"/>
      <c r="F2" s="76"/>
      <c r="G2" s="76"/>
      <c r="H2" s="76"/>
      <c r="I2" s="753" t="s">
        <v>515</v>
      </c>
      <c r="J2" s="753"/>
      <c r="K2" s="754"/>
    </row>
    <row r="3" spans="1:61">
      <c r="A3" s="76"/>
      <c r="B3" s="76"/>
      <c r="C3" s="76"/>
      <c r="D3" s="76"/>
      <c r="E3" s="76"/>
      <c r="F3" s="76"/>
      <c r="G3" s="76"/>
      <c r="H3" s="76"/>
      <c r="I3" s="556"/>
      <c r="J3" s="556"/>
      <c r="K3" s="105"/>
    </row>
    <row r="4" spans="1:61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61">
      <c r="A5" s="221" t="str">
        <f>'[2]ფორმა N1'!D4</f>
        <v>მ.პ.გ. ქართული ოცნება - დემოკრატიული საქართველო</v>
      </c>
      <c r="B5" s="384"/>
      <c r="C5" s="384"/>
      <c r="D5" s="384"/>
      <c r="E5" s="384"/>
      <c r="F5" s="385"/>
      <c r="G5" s="384"/>
      <c r="H5" s="384"/>
      <c r="I5" s="384"/>
      <c r="J5" s="384"/>
      <c r="K5" s="105"/>
    </row>
    <row r="6" spans="1:6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6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61" s="27" customFormat="1" ht="45">
      <c r="A8" s="129" t="s">
        <v>64</v>
      </c>
      <c r="B8" s="129" t="s">
        <v>111</v>
      </c>
      <c r="C8" s="130" t="s">
        <v>113</v>
      </c>
      <c r="D8" s="130" t="s">
        <v>275</v>
      </c>
      <c r="E8" s="130" t="s">
        <v>112</v>
      </c>
      <c r="F8" s="128" t="s">
        <v>256</v>
      </c>
      <c r="G8" s="128" t="s">
        <v>294</v>
      </c>
      <c r="H8" s="128" t="s">
        <v>295</v>
      </c>
      <c r="I8" s="128" t="s">
        <v>257</v>
      </c>
      <c r="J8" s="131" t="s">
        <v>114</v>
      </c>
      <c r="K8" s="105"/>
      <c r="M8" s="27" t="s">
        <v>3847</v>
      </c>
    </row>
    <row r="9" spans="1:6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5"/>
      <c r="R9" s="27" t="s">
        <v>3846</v>
      </c>
      <c r="W9" s="27" t="s">
        <v>3845</v>
      </c>
      <c r="AC9" s="27" t="s">
        <v>3844</v>
      </c>
      <c r="AG9" s="27" t="s">
        <v>3843</v>
      </c>
      <c r="AL9" s="27" t="s">
        <v>5319</v>
      </c>
    </row>
    <row r="10" spans="1:61" s="27" customFormat="1" ht="30.75">
      <c r="A10" s="159">
        <v>1</v>
      </c>
      <c r="B10" s="557" t="s">
        <v>526</v>
      </c>
      <c r="C10" s="558" t="s">
        <v>5320</v>
      </c>
      <c r="D10" s="559" t="s">
        <v>5321</v>
      </c>
      <c r="E10" s="560" t="s">
        <v>5322</v>
      </c>
      <c r="F10" s="160">
        <v>453723</v>
      </c>
      <c r="G10" s="561">
        <f>243238+1817291+3395190+N10+S10+X10+AC10+AH10+4939140.4+AM10+AQ10</f>
        <v>26974449.050000001</v>
      </c>
      <c r="H10" s="561">
        <f>463705+951484+1777755+O10+T10+Y10+AD10+AI10+6717460.7+AN10+AR10</f>
        <v>25705870.780000001</v>
      </c>
      <c r="I10" s="160">
        <f>F10+G10-H10</f>
        <v>1722301.2699999996</v>
      </c>
      <c r="J10" s="160"/>
      <c r="K10" s="105"/>
      <c r="M10" s="160">
        <v>1099063</v>
      </c>
      <c r="N10" s="160">
        <v>950909.88</v>
      </c>
      <c r="O10" s="160">
        <v>487070.61</v>
      </c>
      <c r="P10" s="160">
        <f>M10+N10-O10</f>
        <v>1562902.27</v>
      </c>
      <c r="R10" s="160">
        <v>1562902</v>
      </c>
      <c r="S10" s="160">
        <v>1171484</v>
      </c>
      <c r="T10" s="160">
        <v>730876.98</v>
      </c>
      <c r="U10" s="160">
        <f>R10+S10-T10</f>
        <v>2003509.02</v>
      </c>
      <c r="W10" s="160">
        <v>2003509</v>
      </c>
      <c r="X10" s="160">
        <v>2927650</v>
      </c>
      <c r="Y10" s="160">
        <v>3435101.48</v>
      </c>
      <c r="Z10" s="160">
        <f>W10+X10-Y10</f>
        <v>1496057.52</v>
      </c>
      <c r="AB10" s="160">
        <v>1496058</v>
      </c>
      <c r="AC10" s="160">
        <v>3209137.65</v>
      </c>
      <c r="AD10" s="160">
        <v>2775270.6</v>
      </c>
      <c r="AE10" s="160">
        <f>AB10+AC10-AD10</f>
        <v>1929925.0500000003</v>
      </c>
      <c r="AG10" s="160">
        <v>1929925</v>
      </c>
      <c r="AH10" s="160">
        <v>6057935.2400000002</v>
      </c>
      <c r="AI10" s="160">
        <v>6019733.5999999996</v>
      </c>
      <c r="AJ10" s="160">
        <f>AG10+AH10-AI10</f>
        <v>1968126.6400000006</v>
      </c>
      <c r="AL10" s="160">
        <v>189806</v>
      </c>
      <c r="AM10" s="561">
        <v>2011817.5</v>
      </c>
      <c r="AN10" s="561">
        <v>1442842.53</v>
      </c>
      <c r="AO10" s="160">
        <f>AL10+AM10-AN10</f>
        <v>758780.97</v>
      </c>
      <c r="AP10" s="160">
        <v>758781</v>
      </c>
      <c r="AQ10" s="561">
        <v>250655.38</v>
      </c>
      <c r="AR10" s="561">
        <v>904570.28</v>
      </c>
      <c r="AS10" s="160">
        <f>AP10+AQ10-AR10</f>
        <v>104866.09999999998</v>
      </c>
      <c r="AT10" s="160">
        <v>453723</v>
      </c>
      <c r="AU10" s="160">
        <v>243237.82</v>
      </c>
      <c r="AV10" s="160">
        <v>463704.8</v>
      </c>
      <c r="AW10" s="160">
        <f>AT10+AU10-AV10</f>
        <v>233256.02000000008</v>
      </c>
      <c r="AY10" s="160">
        <v>233255.56</v>
      </c>
      <c r="AZ10" s="561">
        <v>1817291</v>
      </c>
      <c r="BA10" s="561">
        <v>951483.79</v>
      </c>
      <c r="BB10" s="160">
        <f>AY10+AZ10-BA10</f>
        <v>1099062.77</v>
      </c>
      <c r="BD10" s="559" t="s">
        <v>5321</v>
      </c>
      <c r="BE10" s="560" t="s">
        <v>5322</v>
      </c>
      <c r="BF10" s="160">
        <v>104866</v>
      </c>
      <c r="BG10" s="561">
        <v>3395190.47</v>
      </c>
      <c r="BH10" s="561">
        <v>1777755.13</v>
      </c>
      <c r="BI10" s="160">
        <f>BF10+BG10-BH10</f>
        <v>1722301.3400000003</v>
      </c>
    </row>
    <row r="11" spans="1:61" s="27" customFormat="1" ht="30.75">
      <c r="A11" s="159">
        <v>2</v>
      </c>
      <c r="B11" s="562" t="s">
        <v>526</v>
      </c>
      <c r="C11" s="563" t="s">
        <v>5323</v>
      </c>
      <c r="D11" s="564" t="s">
        <v>5324</v>
      </c>
      <c r="E11" s="565" t="s">
        <v>5322</v>
      </c>
      <c r="F11" s="160">
        <v>0</v>
      </c>
      <c r="G11" s="561">
        <f>AC11+AH11+573600+AQ11+389553</f>
        <v>2290149</v>
      </c>
      <c r="H11" s="561">
        <f>AD11+AI11+575700.39+AN11+AR11+391369</f>
        <v>2288488.04</v>
      </c>
      <c r="I11" s="160">
        <f>F11+G11-H11</f>
        <v>1660.9599999999627</v>
      </c>
      <c r="J11" s="160"/>
      <c r="K11" s="105"/>
      <c r="M11" s="160">
        <v>0</v>
      </c>
      <c r="N11" s="160"/>
      <c r="O11" s="160"/>
      <c r="P11" s="160"/>
      <c r="AB11" s="160">
        <v>0</v>
      </c>
      <c r="AC11" s="160">
        <v>630476</v>
      </c>
      <c r="AD11" s="160">
        <v>621390.86</v>
      </c>
      <c r="AE11" s="160">
        <f>AB11+AC11-AD11</f>
        <v>9085.140000000014</v>
      </c>
      <c r="AG11" s="160">
        <v>9085</v>
      </c>
      <c r="AH11" s="160">
        <v>496520</v>
      </c>
      <c r="AI11" s="160">
        <v>498999.67</v>
      </c>
      <c r="AJ11" s="160">
        <f>AG11+AH11-AI11</f>
        <v>6605.3300000000163</v>
      </c>
      <c r="AL11" s="160">
        <v>4505</v>
      </c>
      <c r="AM11" s="561">
        <v>0</v>
      </c>
      <c r="AN11" s="561">
        <v>1537.33</v>
      </c>
      <c r="AO11" s="160">
        <f>AL11+AM11-AN11</f>
        <v>2967.67</v>
      </c>
      <c r="AP11" s="160">
        <v>2968</v>
      </c>
      <c r="AQ11" s="561">
        <v>200000</v>
      </c>
      <c r="AR11" s="561">
        <v>199490.79</v>
      </c>
      <c r="AS11" s="160">
        <f>AP11+AQ11-AR11</f>
        <v>3477.2099999999919</v>
      </c>
      <c r="AT11" s="160"/>
      <c r="AU11" s="160"/>
      <c r="AV11" s="160"/>
      <c r="AW11" s="160"/>
      <c r="AY11" s="160"/>
      <c r="AZ11" s="561"/>
      <c r="BA11" s="561"/>
      <c r="BB11" s="160">
        <f t="shared" ref="BB11" si="0">AY11+AZ11-BA11</f>
        <v>0</v>
      </c>
      <c r="BD11" s="564" t="s">
        <v>5324</v>
      </c>
      <c r="BE11" s="565" t="s">
        <v>5322</v>
      </c>
      <c r="BF11" s="160">
        <v>3477</v>
      </c>
      <c r="BG11" s="561">
        <v>389552.8</v>
      </c>
      <c r="BH11" s="561">
        <v>391368.95</v>
      </c>
      <c r="BI11" s="160">
        <f>BF11+BG11-BH11</f>
        <v>1660.8499999999767</v>
      </c>
    </row>
    <row r="12" spans="1:61" s="27" customFormat="1" ht="30.75">
      <c r="A12" s="159">
        <v>3</v>
      </c>
      <c r="B12" s="562" t="s">
        <v>526</v>
      </c>
      <c r="C12" s="563" t="s">
        <v>5323</v>
      </c>
      <c r="D12" s="564" t="s">
        <v>5325</v>
      </c>
      <c r="E12" s="565" t="s">
        <v>5322</v>
      </c>
      <c r="F12" s="160">
        <v>0</v>
      </c>
      <c r="G12" s="561">
        <f>5283+12.1</f>
        <v>5295.1</v>
      </c>
      <c r="H12" s="561">
        <f>4434.32+93+768</f>
        <v>5295.32</v>
      </c>
      <c r="I12" s="160">
        <f>F12+G12-H12</f>
        <v>-0.21999999999934516</v>
      </c>
      <c r="J12" s="160"/>
      <c r="K12" s="105"/>
      <c r="M12" s="566">
        <v>768</v>
      </c>
      <c r="N12" s="567">
        <v>0</v>
      </c>
      <c r="O12" s="567">
        <v>768</v>
      </c>
      <c r="P12" s="567">
        <f>M12+N12-O12</f>
        <v>0</v>
      </c>
      <c r="AB12" s="160">
        <v>0</v>
      </c>
      <c r="AC12" s="160"/>
      <c r="AD12" s="160"/>
      <c r="AE12" s="160"/>
      <c r="AG12" s="160">
        <v>0</v>
      </c>
      <c r="AH12" s="160"/>
      <c r="AI12" s="160"/>
      <c r="AJ12" s="160"/>
      <c r="AL12" s="160">
        <v>0</v>
      </c>
      <c r="AM12" s="561"/>
      <c r="AN12" s="561"/>
      <c r="AO12" s="160"/>
      <c r="AP12" s="160"/>
      <c r="AQ12" s="561"/>
      <c r="AR12" s="561"/>
      <c r="AS12" s="160"/>
      <c r="AT12" s="569">
        <v>0</v>
      </c>
      <c r="AU12" s="569">
        <v>5283.72</v>
      </c>
      <c r="AV12" s="569">
        <v>4434.32</v>
      </c>
      <c r="AW12" s="569">
        <f>AT12+AU12-AV12</f>
        <v>849.40000000000055</v>
      </c>
      <c r="AY12" s="570">
        <v>849</v>
      </c>
      <c r="AZ12" s="567">
        <f>2.5+9.6</f>
        <v>12.1</v>
      </c>
      <c r="BA12" s="571">
        <f>29+19.85+40.04+4</f>
        <v>92.89</v>
      </c>
      <c r="BB12" s="160">
        <f>AY12+AZ12-BA12</f>
        <v>768.21</v>
      </c>
      <c r="BD12" s="564" t="s">
        <v>5325</v>
      </c>
      <c r="BE12" s="565" t="s">
        <v>5322</v>
      </c>
      <c r="BF12" s="160">
        <v>0</v>
      </c>
      <c r="BG12" s="561"/>
      <c r="BH12" s="561">
        <v>0</v>
      </c>
      <c r="BI12" s="160"/>
    </row>
    <row r="13" spans="1:61" s="27" customFormat="1" ht="30.75">
      <c r="A13" s="159">
        <v>4</v>
      </c>
      <c r="B13" s="562" t="s">
        <v>526</v>
      </c>
      <c r="C13" s="558" t="s">
        <v>5326</v>
      </c>
      <c r="D13" s="559" t="s">
        <v>5321</v>
      </c>
      <c r="E13" s="565" t="s">
        <v>2267</v>
      </c>
      <c r="F13" s="160">
        <v>0</v>
      </c>
      <c r="G13" s="561">
        <v>0</v>
      </c>
      <c r="H13" s="561">
        <v>0</v>
      </c>
      <c r="I13" s="160">
        <v>0</v>
      </c>
      <c r="J13" s="160"/>
      <c r="K13" s="105"/>
      <c r="AB13" s="160">
        <v>0</v>
      </c>
      <c r="AC13" s="160">
        <v>0</v>
      </c>
      <c r="AD13" s="160">
        <v>0</v>
      </c>
      <c r="AE13" s="160">
        <v>0</v>
      </c>
      <c r="AG13" s="160">
        <v>0</v>
      </c>
      <c r="AH13" s="160">
        <v>0</v>
      </c>
      <c r="AI13" s="160">
        <v>0</v>
      </c>
      <c r="AJ13" s="160">
        <v>0</v>
      </c>
      <c r="AL13" s="160">
        <v>0</v>
      </c>
      <c r="AM13" s="561">
        <v>0</v>
      </c>
      <c r="AN13" s="561">
        <v>0</v>
      </c>
      <c r="AO13" s="160">
        <v>0</v>
      </c>
      <c r="AP13" s="160">
        <v>0</v>
      </c>
      <c r="AQ13" s="561"/>
      <c r="AR13" s="561"/>
      <c r="AS13" s="160">
        <v>0</v>
      </c>
      <c r="BD13" s="559" t="s">
        <v>5321</v>
      </c>
      <c r="BE13" s="565" t="s">
        <v>2267</v>
      </c>
      <c r="BF13" s="160">
        <v>0</v>
      </c>
      <c r="BG13" s="561">
        <v>0</v>
      </c>
      <c r="BH13" s="561">
        <v>0</v>
      </c>
      <c r="BI13" s="160">
        <v>0</v>
      </c>
    </row>
    <row r="14" spans="1:61" s="27" customFormat="1" ht="30.75">
      <c r="A14" s="159">
        <v>5</v>
      </c>
      <c r="B14" s="562" t="s">
        <v>526</v>
      </c>
      <c r="C14" s="563" t="s">
        <v>5327</v>
      </c>
      <c r="D14" s="564" t="s">
        <v>5324</v>
      </c>
      <c r="E14" s="565" t="s">
        <v>2267</v>
      </c>
      <c r="F14" s="160">
        <v>0</v>
      </c>
      <c r="G14" s="561">
        <f>AC14+AM14+AQ14+74</f>
        <v>115459.79</v>
      </c>
      <c r="H14" s="561">
        <f>AI14+56348.36+79.14+4.6+26026-20601.1+AN14+AR14+7493</f>
        <v>115232.28000000003</v>
      </c>
      <c r="I14" s="160">
        <f>F14+G14-H14</f>
        <v>227.50999999996566</v>
      </c>
      <c r="J14" s="160"/>
      <c r="K14" s="105"/>
      <c r="AB14" s="160">
        <v>0</v>
      </c>
      <c r="AC14" s="160">
        <v>114570</v>
      </c>
      <c r="AD14" s="160">
        <v>0</v>
      </c>
      <c r="AE14" s="160">
        <f>AB14+AC14-AD14</f>
        <v>114570</v>
      </c>
      <c r="AG14" s="160">
        <v>114570</v>
      </c>
      <c r="AH14" s="160">
        <v>0</v>
      </c>
      <c r="AI14" s="160">
        <v>32111.86</v>
      </c>
      <c r="AJ14" s="160">
        <f>AG14+AH14-AI14</f>
        <v>82458.14</v>
      </c>
      <c r="AL14" s="160">
        <v>20601</v>
      </c>
      <c r="AM14" s="561">
        <v>590.79</v>
      </c>
      <c r="AN14" s="561">
        <v>7594.85</v>
      </c>
      <c r="AO14" s="160">
        <f>AL14+AM14-AN14</f>
        <v>13596.94</v>
      </c>
      <c r="AP14" s="160">
        <v>13597</v>
      </c>
      <c r="AQ14" s="561">
        <v>225</v>
      </c>
      <c r="AR14" s="561">
        <v>6175.57</v>
      </c>
      <c r="AS14" s="160">
        <f>AP14+AQ14-AR14</f>
        <v>7646.43</v>
      </c>
      <c r="BD14" s="564" t="s">
        <v>5324</v>
      </c>
      <c r="BE14" s="565" t="s">
        <v>2267</v>
      </c>
      <c r="BF14" s="160">
        <v>7647</v>
      </c>
      <c r="BG14" s="561">
        <v>73.56</v>
      </c>
      <c r="BH14" s="561">
        <v>7493.4</v>
      </c>
      <c r="BI14" s="160">
        <f>BF14+BG14-BH14</f>
        <v>227.16000000000076</v>
      </c>
    </row>
    <row r="15" spans="1:61" s="27" customFormat="1" ht="30.75">
      <c r="A15" s="568">
        <v>6</v>
      </c>
      <c r="B15" s="562" t="s">
        <v>526</v>
      </c>
      <c r="C15" s="563" t="s">
        <v>5328</v>
      </c>
      <c r="D15" s="564" t="s">
        <v>5325</v>
      </c>
      <c r="E15" s="565" t="s">
        <v>2267</v>
      </c>
      <c r="F15" s="566">
        <v>0</v>
      </c>
      <c r="G15" s="567">
        <v>0</v>
      </c>
      <c r="H15" s="567">
        <v>0</v>
      </c>
      <c r="I15" s="567">
        <f>F15+G15-H15</f>
        <v>0</v>
      </c>
      <c r="J15" s="567"/>
      <c r="K15" s="105"/>
      <c r="BD15" s="564" t="s">
        <v>5325</v>
      </c>
      <c r="BE15" s="565" t="s">
        <v>2267</v>
      </c>
      <c r="BF15" s="566">
        <v>0</v>
      </c>
      <c r="BG15" s="567">
        <v>0</v>
      </c>
      <c r="BH15" s="567">
        <v>0</v>
      </c>
      <c r="BI15" s="567">
        <f>BF15+BG15-BH15</f>
        <v>0</v>
      </c>
    </row>
    <row r="16" spans="1:6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104"/>
      <c r="C17" s="104"/>
      <c r="D17" s="104"/>
      <c r="E17" s="104"/>
      <c r="F17" s="104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4"/>
      <c r="G18" s="104"/>
      <c r="H18" s="104"/>
      <c r="I18" s="104"/>
      <c r="J18" s="104"/>
    </row>
    <row r="19" spans="1:10">
      <c r="A19" s="104"/>
      <c r="B19" s="104"/>
      <c r="C19" s="104"/>
      <c r="D19" s="104"/>
      <c r="E19" s="104"/>
      <c r="F19" s="104"/>
      <c r="G19" s="104"/>
      <c r="H19" s="104"/>
      <c r="I19" s="104"/>
      <c r="J19" s="104"/>
    </row>
    <row r="20" spans="1:10">
      <c r="A20" s="104"/>
      <c r="B20" s="230" t="s">
        <v>107</v>
      </c>
      <c r="C20" s="104"/>
      <c r="D20" s="104"/>
      <c r="E20" s="104"/>
      <c r="F20" s="231"/>
      <c r="G20" s="104"/>
      <c r="H20" s="104"/>
      <c r="I20" s="104"/>
      <c r="J20" s="104"/>
    </row>
    <row r="21" spans="1:10">
      <c r="A21" s="104"/>
      <c r="B21" s="104"/>
      <c r="C21" s="104"/>
      <c r="D21" s="104"/>
      <c r="E21" s="104"/>
      <c r="F21" s="101"/>
      <c r="G21" s="101"/>
      <c r="H21" s="101"/>
      <c r="I21" s="101"/>
      <c r="J21" s="101"/>
    </row>
    <row r="22" spans="1:10">
      <c r="A22" s="104"/>
      <c r="B22" s="104"/>
      <c r="C22" s="281"/>
      <c r="D22" s="104"/>
      <c r="E22" s="104"/>
      <c r="F22" s="281"/>
      <c r="G22" s="282"/>
      <c r="H22" s="282"/>
      <c r="I22" s="101"/>
      <c r="J22" s="101"/>
    </row>
    <row r="23" spans="1:10">
      <c r="A23" s="101"/>
      <c r="B23" s="104"/>
      <c r="C23" s="232" t="s">
        <v>268</v>
      </c>
      <c r="D23" s="232"/>
      <c r="E23" s="104"/>
      <c r="F23" s="104" t="s">
        <v>273</v>
      </c>
      <c r="G23" s="101"/>
      <c r="H23" s="101"/>
      <c r="I23" s="101"/>
      <c r="J23" s="101"/>
    </row>
    <row r="24" spans="1:10">
      <c r="A24" s="101"/>
      <c r="B24" s="104"/>
      <c r="C24" s="233" t="s">
        <v>139</v>
      </c>
      <c r="D24" s="104"/>
      <c r="E24" s="104"/>
      <c r="F24" s="104" t="s">
        <v>269</v>
      </c>
      <c r="G24" s="101"/>
      <c r="H24" s="101"/>
      <c r="I24" s="101"/>
      <c r="J24" s="101"/>
    </row>
    <row r="25" spans="1:10" customFormat="1">
      <c r="A25" s="101"/>
      <c r="B25" s="104"/>
      <c r="C25" s="104"/>
      <c r="D25" s="233"/>
      <c r="E25" s="101"/>
      <c r="F25" s="101"/>
      <c r="G25" s="101"/>
      <c r="H25" s="101"/>
      <c r="I25" s="101"/>
      <c r="J25" s="101"/>
    </row>
    <row r="26" spans="1:10" customFormat="1" ht="12.75">
      <c r="A26" s="101"/>
      <c r="B26" s="101"/>
      <c r="C26" s="101"/>
      <c r="D26" s="101"/>
      <c r="E26" s="101"/>
      <c r="F26" s="101"/>
      <c r="G26" s="101"/>
      <c r="H26" s="101"/>
      <c r="I26" s="101"/>
      <c r="J26" s="101"/>
    </row>
    <row r="27" spans="1:10" customFormat="1" ht="12.75"/>
    <row r="28" spans="1:10" customFormat="1" ht="12.75"/>
    <row r="29" spans="1:10" customFormat="1" ht="12.75"/>
    <row r="30" spans="1:10" customFormat="1" ht="12.75"/>
  </sheetData>
  <mergeCells count="2">
    <mergeCell ref="I1:J1"/>
    <mergeCell ref="I2:K2"/>
  </mergeCells>
  <dataValidations count="3">
    <dataValidation allowBlank="1" showInputMessage="1" showErrorMessage="1" prompt="თვე/დღე/წელი" sqref="J15"/>
    <dataValidation allowBlank="1" showInputMessage="1" showErrorMessage="1" error="თვე/დღე/წელი" prompt="თვე/დღე/წელი" sqref="E10:E15 BE10:BE15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46"/>
  <sheetViews>
    <sheetView showGridLines="0" view="pageBreakPreview" zoomScale="80" zoomScaleNormal="100" zoomScaleSheetLayoutView="80" workbookViewId="0">
      <selection activeCell="F1" sqref="F1:T1048576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7" width="0" style="2" hidden="1" customWidth="1"/>
    <col min="8" max="8" width="9.5703125" style="2" hidden="1" customWidth="1"/>
    <col min="9" max="18" width="0" style="2" hidden="1" customWidth="1"/>
    <col min="19" max="19" width="11.42578125" style="2" hidden="1" customWidth="1"/>
    <col min="20" max="20" width="12.85546875" style="2" hidden="1" customWidth="1"/>
    <col min="21" max="16384" width="9.140625" style="2"/>
  </cols>
  <sheetData>
    <row r="1" spans="1:20">
      <c r="A1" s="74" t="s">
        <v>301</v>
      </c>
      <c r="B1" s="76"/>
      <c r="C1" s="763" t="s">
        <v>109</v>
      </c>
      <c r="D1" s="763"/>
      <c r="E1" s="108"/>
      <c r="G1" s="2">
        <f>J:J+M:M+P:P+S:S</f>
        <v>0</v>
      </c>
      <c r="H1" s="2">
        <f>K:K+N:N+Q:Q+T:T</f>
        <v>0</v>
      </c>
    </row>
    <row r="2" spans="1:20">
      <c r="A2" s="76" t="s">
        <v>140</v>
      </c>
      <c r="B2" s="76"/>
      <c r="C2" s="753" t="s">
        <v>515</v>
      </c>
      <c r="D2" s="754"/>
      <c r="E2" s="108"/>
      <c r="G2" s="2">
        <f t="shared" ref="G2:G35" si="0">J:J+M:M+P:P+S:S</f>
        <v>0</v>
      </c>
      <c r="H2" s="2">
        <f t="shared" ref="H2:H35" si="1">K:K+N:N+Q:Q+T:T</f>
        <v>0</v>
      </c>
    </row>
    <row r="3" spans="1:20">
      <c r="A3" s="74"/>
      <c r="B3" s="76"/>
      <c r="C3" s="75"/>
      <c r="D3" s="75"/>
      <c r="E3" s="108"/>
      <c r="G3" s="2">
        <f t="shared" si="0"/>
        <v>0</v>
      </c>
      <c r="H3" s="2">
        <f t="shared" si="1"/>
        <v>0</v>
      </c>
    </row>
    <row r="4" spans="1:20">
      <c r="A4" s="77" t="s">
        <v>274</v>
      </c>
      <c r="B4" s="102"/>
      <c r="C4" s="103"/>
      <c r="D4" s="76"/>
      <c r="E4" s="108"/>
      <c r="G4" s="2">
        <f t="shared" si="0"/>
        <v>0</v>
      </c>
      <c r="H4" s="2">
        <f t="shared" si="1"/>
        <v>0</v>
      </c>
    </row>
    <row r="5" spans="1:20">
      <c r="A5" s="387" t="str">
        <f>'ფორმა N1'!D4</f>
        <v>მ.პ.გ. ქართული ოცნება - დემოკრატიული საქართველო</v>
      </c>
      <c r="B5" s="12"/>
      <c r="C5" s="12"/>
      <c r="E5" s="108"/>
      <c r="G5" s="2">
        <f t="shared" si="0"/>
        <v>0</v>
      </c>
      <c r="H5" s="2">
        <f t="shared" si="1"/>
        <v>0</v>
      </c>
    </row>
    <row r="6" spans="1:20">
      <c r="A6" s="104"/>
      <c r="B6" s="104"/>
      <c r="C6" s="104"/>
      <c r="D6" s="105"/>
      <c r="E6" s="108"/>
      <c r="G6" s="2">
        <f t="shared" si="0"/>
        <v>0</v>
      </c>
      <c r="H6" s="2">
        <f t="shared" si="1"/>
        <v>0</v>
      </c>
    </row>
    <row r="7" spans="1:20">
      <c r="A7" s="76"/>
      <c r="B7" s="76"/>
      <c r="C7" s="76"/>
      <c r="D7" s="76"/>
      <c r="E7" s="108"/>
      <c r="G7" s="2">
        <f t="shared" si="0"/>
        <v>0</v>
      </c>
      <c r="H7" s="2">
        <f t="shared" si="1"/>
        <v>0</v>
      </c>
    </row>
    <row r="8" spans="1:20" s="6" customFormat="1" ht="39" customHeight="1">
      <c r="A8" s="106" t="s">
        <v>64</v>
      </c>
      <c r="B8" s="79" t="s">
        <v>249</v>
      </c>
      <c r="C8" s="79" t="s">
        <v>66</v>
      </c>
      <c r="D8" s="79" t="s">
        <v>67</v>
      </c>
      <c r="E8" s="108"/>
      <c r="G8" s="2" t="e">
        <f t="shared" si="0"/>
        <v>#VALUE!</v>
      </c>
      <c r="H8" s="2" t="e">
        <f t="shared" si="1"/>
        <v>#VALUE!</v>
      </c>
      <c r="K8" s="6" t="s">
        <v>3709</v>
      </c>
      <c r="M8" s="6" t="s">
        <v>3710</v>
      </c>
      <c r="P8" s="6" t="s">
        <v>3711</v>
      </c>
      <c r="S8" s="6" t="s">
        <v>3712</v>
      </c>
    </row>
    <row r="9" spans="1:20" s="7" customFormat="1" ht="16.5" customHeight="1">
      <c r="A9" s="237">
        <v>1</v>
      </c>
      <c r="B9" s="237" t="s">
        <v>65</v>
      </c>
      <c r="C9" s="486">
        <f>SUM(C10,C26)</f>
        <v>4445164.55</v>
      </c>
      <c r="D9" s="486">
        <f>SUM(D10,D26)</f>
        <v>4453162.0199999996</v>
      </c>
      <c r="E9" s="108"/>
      <c r="G9" s="2">
        <f t="shared" si="0"/>
        <v>4445164.55</v>
      </c>
      <c r="H9" s="2">
        <f t="shared" si="1"/>
        <v>4453162.0200000005</v>
      </c>
      <c r="J9" s="85">
        <f>SUM(J10,J26)</f>
        <v>127581.45</v>
      </c>
      <c r="K9" s="85">
        <f>SUM(K10,K26)</f>
        <v>127581.45</v>
      </c>
      <c r="M9" s="486">
        <f>SUM(M10,M26)</f>
        <v>235739.1</v>
      </c>
      <c r="N9" s="486">
        <f>SUM(N10,N26)</f>
        <v>235739.1</v>
      </c>
      <c r="P9" s="85">
        <f>SUM(P10,P26)</f>
        <v>697221</v>
      </c>
      <c r="Q9" s="85">
        <f>SUM(Q10,Q26)</f>
        <v>697221</v>
      </c>
      <c r="S9" s="486">
        <f>SUM(S10,S26)</f>
        <v>3384623</v>
      </c>
      <c r="T9" s="486">
        <f>SUM(T10,T26)</f>
        <v>3392620.47</v>
      </c>
    </row>
    <row r="10" spans="1:20" s="7" customFormat="1" ht="16.5" customHeight="1">
      <c r="A10" s="87">
        <v>1.1000000000000001</v>
      </c>
      <c r="B10" s="87" t="s">
        <v>80</v>
      </c>
      <c r="C10" s="85">
        <f>SUM(C11,C12,C16,C19,C25,)</f>
        <v>4445065</v>
      </c>
      <c r="D10" s="486">
        <f>SUM(D11,D12,D16,D19,D24,D25)</f>
        <v>4453062.47</v>
      </c>
      <c r="E10" s="108"/>
      <c r="G10" s="2">
        <f t="shared" si="0"/>
        <v>4445065</v>
      </c>
      <c r="H10" s="2">
        <f t="shared" si="1"/>
        <v>4453062.4700000007</v>
      </c>
      <c r="J10" s="85">
        <f>SUM(J11,J12,J16,J19,J24)</f>
        <v>127494</v>
      </c>
      <c r="K10" s="85">
        <f>SUM(K11,K12,K16,K19,K23,K24)</f>
        <v>127494</v>
      </c>
      <c r="M10" s="85">
        <f>SUM(M11,M12,M16,M19,M24)</f>
        <v>235727</v>
      </c>
      <c r="N10" s="85">
        <f>SUM(N11,N12,N16,N19,N23,N24)</f>
        <v>235727</v>
      </c>
      <c r="P10" s="85">
        <f>SUM(P11,P12,P16,P19,P25,P26)</f>
        <v>697221</v>
      </c>
      <c r="Q10" s="85">
        <f>SUM(Q11,Q12,Q16,Q19,Q24,Q25)</f>
        <v>697221</v>
      </c>
      <c r="S10" s="85">
        <f>SUM(S11,S12,S16,S19,S25)</f>
        <v>3384623</v>
      </c>
      <c r="T10" s="85">
        <f>SUM(T11,T12,T16,T19,T24,T25)</f>
        <v>3392620.47</v>
      </c>
    </row>
    <row r="11" spans="1:20" s="9" customFormat="1" ht="16.5" customHeight="1">
      <c r="A11" s="88" t="s">
        <v>30</v>
      </c>
      <c r="B11" s="88" t="s">
        <v>79</v>
      </c>
      <c r="C11" s="8">
        <v>60</v>
      </c>
      <c r="D11" s="8">
        <v>60</v>
      </c>
      <c r="E11" s="108"/>
      <c r="G11" s="2">
        <f t="shared" si="0"/>
        <v>60</v>
      </c>
      <c r="H11" s="2">
        <f t="shared" si="1"/>
        <v>60</v>
      </c>
      <c r="J11" s="8">
        <v>20</v>
      </c>
      <c r="K11" s="8">
        <v>20</v>
      </c>
      <c r="M11" s="8">
        <v>0</v>
      </c>
      <c r="N11" s="8">
        <v>0</v>
      </c>
      <c r="P11" s="8">
        <f>20</f>
        <v>20</v>
      </c>
      <c r="Q11" s="8">
        <f>20</f>
        <v>20</v>
      </c>
      <c r="S11" s="8">
        <v>20</v>
      </c>
      <c r="T11" s="8">
        <v>20</v>
      </c>
    </row>
    <row r="12" spans="1:20" s="10" customFormat="1" ht="16.5" customHeight="1">
      <c r="A12" s="88" t="s">
        <v>31</v>
      </c>
      <c r="B12" s="88" t="s">
        <v>308</v>
      </c>
      <c r="C12" s="107">
        <f>SUM(C13:C15)</f>
        <v>2827900</v>
      </c>
      <c r="D12" s="107">
        <f>SUM(D13:D15)</f>
        <v>2827900</v>
      </c>
      <c r="E12" s="108"/>
      <c r="G12" s="2">
        <f t="shared" si="0"/>
        <v>2827900</v>
      </c>
      <c r="H12" s="2">
        <f t="shared" si="1"/>
        <v>2827900</v>
      </c>
      <c r="J12" s="107">
        <f>SUM(J13:J15)</f>
        <v>0</v>
      </c>
      <c r="K12" s="107">
        <f>SUM(K13:K15)</f>
        <v>0</v>
      </c>
      <c r="M12" s="107">
        <f>SUM(M13:M15)</f>
        <v>216000</v>
      </c>
      <c r="N12" s="107">
        <f>SUM(N13:N15)</f>
        <v>216000</v>
      </c>
      <c r="P12" s="107">
        <f>SUM(P13:P15)</f>
        <v>513900</v>
      </c>
      <c r="Q12" s="107">
        <f>SUM(Q13:Q15)</f>
        <v>513900</v>
      </c>
      <c r="S12" s="107">
        <f>SUM(S13:S15)</f>
        <v>2098000</v>
      </c>
      <c r="T12" s="107">
        <f>SUM(T13:T15)</f>
        <v>2098000</v>
      </c>
    </row>
    <row r="13" spans="1:20" s="3" customFormat="1" ht="16.5" customHeight="1">
      <c r="A13" s="97" t="s">
        <v>81</v>
      </c>
      <c r="B13" s="97" t="s">
        <v>311</v>
      </c>
      <c r="C13" s="8">
        <v>2487900</v>
      </c>
      <c r="D13" s="8">
        <v>2487900</v>
      </c>
      <c r="E13" s="108"/>
      <c r="G13" s="2">
        <f t="shared" si="0"/>
        <v>2487900</v>
      </c>
      <c r="H13" s="2">
        <f t="shared" si="1"/>
        <v>2487900</v>
      </c>
      <c r="J13" s="8">
        <v>0</v>
      </c>
      <c r="K13" s="8">
        <v>0</v>
      </c>
      <c r="M13" s="8">
        <f>74000+142000</f>
        <v>216000</v>
      </c>
      <c r="N13" s="8">
        <f>74000+142000</f>
        <v>216000</v>
      </c>
      <c r="P13" s="8">
        <v>393900</v>
      </c>
      <c r="Q13" s="8">
        <v>393900</v>
      </c>
      <c r="S13" s="8">
        <v>1878000</v>
      </c>
      <c r="T13" s="8">
        <v>1878000</v>
      </c>
    </row>
    <row r="14" spans="1:20" s="3" customFormat="1" ht="16.5" customHeight="1">
      <c r="A14" s="97" t="s">
        <v>506</v>
      </c>
      <c r="B14" s="97" t="s">
        <v>505</v>
      </c>
      <c r="C14" s="8">
        <v>340000</v>
      </c>
      <c r="D14" s="8">
        <v>340000</v>
      </c>
      <c r="E14" s="108"/>
      <c r="G14" s="2">
        <f t="shared" si="0"/>
        <v>340000</v>
      </c>
      <c r="H14" s="2">
        <f t="shared" si="1"/>
        <v>340000</v>
      </c>
      <c r="P14" s="8">
        <v>120000</v>
      </c>
      <c r="Q14" s="8">
        <v>120000</v>
      </c>
      <c r="S14" s="8">
        <v>220000</v>
      </c>
      <c r="T14" s="8">
        <v>220000</v>
      </c>
    </row>
    <row r="15" spans="1:20" s="3" customFormat="1" ht="16.5" customHeight="1">
      <c r="A15" s="97" t="s">
        <v>507</v>
      </c>
      <c r="B15" s="97" t="s">
        <v>97</v>
      </c>
      <c r="C15" s="8"/>
      <c r="D15" s="8"/>
      <c r="E15" s="108"/>
      <c r="G15" s="2">
        <f t="shared" si="0"/>
        <v>0</v>
      </c>
      <c r="H15" s="2">
        <f t="shared" si="1"/>
        <v>0</v>
      </c>
      <c r="J15" s="8"/>
      <c r="K15" s="8"/>
      <c r="M15" s="8"/>
      <c r="N15" s="8"/>
      <c r="P15" s="8"/>
      <c r="Q15" s="8"/>
      <c r="S15" s="8"/>
      <c r="T15" s="8"/>
    </row>
    <row r="16" spans="1:20" s="3" customFormat="1" ht="16.5" customHeight="1">
      <c r="A16" s="88" t="s">
        <v>82</v>
      </c>
      <c r="B16" s="88" t="s">
        <v>83</v>
      </c>
      <c r="C16" s="107">
        <f>SUM(C17:C18)</f>
        <v>1617105</v>
      </c>
      <c r="D16" s="107">
        <f>SUM(D17:D18)</f>
        <v>1617105</v>
      </c>
      <c r="E16" s="108"/>
      <c r="G16" s="2">
        <f t="shared" si="0"/>
        <v>1617105</v>
      </c>
      <c r="H16" s="2">
        <f t="shared" si="1"/>
        <v>1617105</v>
      </c>
      <c r="J16" s="107">
        <f>SUM(J17:J18)</f>
        <v>127474</v>
      </c>
      <c r="K16" s="107">
        <f>SUM(K17:K18)</f>
        <v>127474</v>
      </c>
      <c r="M16" s="107">
        <f>SUM(M17:M18)</f>
        <v>19727</v>
      </c>
      <c r="N16" s="107">
        <f>SUM(N17:N18)</f>
        <v>19727</v>
      </c>
      <c r="P16" s="107">
        <f>SUM(P17:P18)</f>
        <v>183301</v>
      </c>
      <c r="Q16" s="107">
        <f>SUM(Q17:Q18)</f>
        <v>183301</v>
      </c>
      <c r="S16" s="107">
        <f>SUM(S17:S18)</f>
        <v>1286603</v>
      </c>
      <c r="T16" s="107">
        <f>SUM(T17:T18)</f>
        <v>1286603</v>
      </c>
    </row>
    <row r="17" spans="1:20" s="3" customFormat="1" ht="16.5" customHeight="1">
      <c r="A17" s="97" t="s">
        <v>84</v>
      </c>
      <c r="B17" s="97" t="s">
        <v>86</v>
      </c>
      <c r="C17" s="8">
        <v>1565028</v>
      </c>
      <c r="D17" s="8">
        <v>1565028</v>
      </c>
      <c r="E17" s="108"/>
      <c r="G17" s="2">
        <f t="shared" si="0"/>
        <v>1565028</v>
      </c>
      <c r="H17" s="2">
        <f t="shared" si="1"/>
        <v>1565028</v>
      </c>
      <c r="J17" s="8">
        <f>63737+63737</f>
        <v>127474</v>
      </c>
      <c r="K17" s="8">
        <f>63737+63737</f>
        <v>127474</v>
      </c>
      <c r="M17" s="8">
        <v>0</v>
      </c>
      <c r="N17" s="8">
        <v>0</v>
      </c>
      <c r="P17" s="8">
        <v>183301</v>
      </c>
      <c r="Q17" s="8">
        <v>183301</v>
      </c>
      <c r="S17" s="488">
        <v>1254253</v>
      </c>
      <c r="T17" s="8">
        <v>1254253</v>
      </c>
    </row>
    <row r="18" spans="1:20" s="3" customFormat="1" ht="30">
      <c r="A18" s="97" t="s">
        <v>85</v>
      </c>
      <c r="B18" s="97" t="s">
        <v>110</v>
      </c>
      <c r="C18" s="8">
        <v>52077</v>
      </c>
      <c r="D18" s="8">
        <v>52077</v>
      </c>
      <c r="E18" s="108"/>
      <c r="G18" s="2">
        <f t="shared" si="0"/>
        <v>52077</v>
      </c>
      <c r="H18" s="2">
        <f t="shared" si="1"/>
        <v>52077</v>
      </c>
      <c r="J18" s="8">
        <v>0</v>
      </c>
      <c r="K18" s="8">
        <v>0</v>
      </c>
      <c r="M18" s="8">
        <v>19727</v>
      </c>
      <c r="N18" s="8">
        <v>19727</v>
      </c>
      <c r="P18" s="8"/>
      <c r="Q18" s="8"/>
      <c r="S18" s="8">
        <v>32350</v>
      </c>
      <c r="T18" s="8">
        <v>32350</v>
      </c>
    </row>
    <row r="19" spans="1:20" s="3" customFormat="1" ht="16.5" customHeight="1">
      <c r="A19" s="88" t="s">
        <v>87</v>
      </c>
      <c r="B19" s="88" t="s">
        <v>418</v>
      </c>
      <c r="C19" s="107">
        <f>SUM(C20:C23)</f>
        <v>0</v>
      </c>
      <c r="D19" s="107">
        <f>SUM(D20:D23)</f>
        <v>0</v>
      </c>
      <c r="E19" s="108"/>
      <c r="G19" s="2">
        <f t="shared" si="0"/>
        <v>0</v>
      </c>
      <c r="H19" s="2">
        <f t="shared" si="1"/>
        <v>0</v>
      </c>
      <c r="J19" s="107">
        <f>SUM(J20:J22)</f>
        <v>0</v>
      </c>
      <c r="K19" s="107">
        <f>SUM(K20:K22)</f>
        <v>0</v>
      </c>
      <c r="M19" s="107">
        <f>SUM(M20:M22)</f>
        <v>0</v>
      </c>
      <c r="N19" s="107">
        <f>SUM(N20:N22)</f>
        <v>0</v>
      </c>
      <c r="P19" s="107">
        <f>SUM(P20:P23)</f>
        <v>0</v>
      </c>
      <c r="Q19" s="107">
        <f>SUM(Q20:Q23)</f>
        <v>0</v>
      </c>
      <c r="S19" s="107">
        <f>SUM(S20:S23)</f>
        <v>0</v>
      </c>
      <c r="T19" s="107">
        <f>SUM(T20:T23)</f>
        <v>0</v>
      </c>
    </row>
    <row r="20" spans="1:20" s="3" customFormat="1" ht="16.5" customHeight="1">
      <c r="A20" s="97" t="s">
        <v>88</v>
      </c>
      <c r="B20" s="97" t="s">
        <v>89</v>
      </c>
      <c r="C20" s="8"/>
      <c r="D20" s="8"/>
      <c r="E20" s="108"/>
      <c r="G20" s="2">
        <f t="shared" si="0"/>
        <v>0</v>
      </c>
      <c r="H20" s="2">
        <f t="shared" si="1"/>
        <v>0</v>
      </c>
      <c r="J20" s="8"/>
      <c r="K20" s="8"/>
      <c r="M20" s="8"/>
      <c r="N20" s="8"/>
      <c r="P20" s="8"/>
      <c r="Q20" s="8"/>
      <c r="S20" s="8"/>
      <c r="T20" s="8"/>
    </row>
    <row r="21" spans="1:20" s="3" customFormat="1" ht="30">
      <c r="A21" s="97" t="s">
        <v>92</v>
      </c>
      <c r="B21" s="97" t="s">
        <v>90</v>
      </c>
      <c r="C21" s="8"/>
      <c r="D21" s="8"/>
      <c r="E21" s="108"/>
      <c r="G21" s="2">
        <f t="shared" si="0"/>
        <v>0</v>
      </c>
      <c r="H21" s="2">
        <f t="shared" si="1"/>
        <v>0</v>
      </c>
      <c r="J21" s="8"/>
      <c r="K21" s="8"/>
      <c r="M21" s="8"/>
      <c r="N21" s="8"/>
      <c r="P21" s="8"/>
      <c r="Q21" s="8"/>
      <c r="S21" s="8"/>
      <c r="T21" s="8"/>
    </row>
    <row r="22" spans="1:20" s="3" customFormat="1" ht="16.5" customHeight="1">
      <c r="A22" s="97" t="s">
        <v>93</v>
      </c>
      <c r="B22" s="97" t="s">
        <v>91</v>
      </c>
      <c r="C22" s="8"/>
      <c r="D22" s="8"/>
      <c r="E22" s="108"/>
      <c r="G22" s="2">
        <f t="shared" si="0"/>
        <v>0</v>
      </c>
      <c r="H22" s="2">
        <f t="shared" si="1"/>
        <v>0</v>
      </c>
      <c r="J22" s="8"/>
      <c r="K22" s="8"/>
      <c r="M22" s="8"/>
      <c r="N22" s="8"/>
      <c r="P22" s="8"/>
      <c r="Q22" s="8"/>
      <c r="S22" s="8"/>
      <c r="T22" s="8"/>
    </row>
    <row r="23" spans="1:20" s="3" customFormat="1" ht="16.5" customHeight="1">
      <c r="A23" s="97" t="s">
        <v>94</v>
      </c>
      <c r="B23" s="97" t="s">
        <v>446</v>
      </c>
      <c r="C23" s="8"/>
      <c r="D23" s="8"/>
      <c r="E23" s="108"/>
      <c r="G23" s="2">
        <f t="shared" si="0"/>
        <v>0</v>
      </c>
      <c r="H23" s="2">
        <f t="shared" si="1"/>
        <v>0</v>
      </c>
      <c r="J23" s="272"/>
      <c r="K23" s="8"/>
      <c r="M23" s="272"/>
      <c r="N23" s="8"/>
      <c r="P23" s="8"/>
      <c r="Q23" s="8"/>
      <c r="S23" s="8"/>
      <c r="T23" s="8"/>
    </row>
    <row r="24" spans="1:20" s="3" customFormat="1" ht="16.5" customHeight="1">
      <c r="A24" s="88" t="s">
        <v>95</v>
      </c>
      <c r="B24" s="88" t="s">
        <v>447</v>
      </c>
      <c r="C24" s="272"/>
      <c r="D24" s="8"/>
      <c r="E24" s="108"/>
      <c r="G24" s="2">
        <f t="shared" si="0"/>
        <v>0</v>
      </c>
      <c r="H24" s="2">
        <f t="shared" si="1"/>
        <v>0</v>
      </c>
      <c r="J24" s="8"/>
      <c r="K24" s="8"/>
      <c r="M24" s="8"/>
      <c r="N24" s="8"/>
      <c r="P24" s="272"/>
      <c r="Q24" s="8"/>
      <c r="S24" s="272"/>
      <c r="T24" s="8"/>
    </row>
    <row r="25" spans="1:20" s="3" customFormat="1">
      <c r="A25" s="88" t="s">
        <v>251</v>
      </c>
      <c r="B25" s="88" t="s">
        <v>453</v>
      </c>
      <c r="C25" s="8"/>
      <c r="D25" s="8">
        <v>7997.47</v>
      </c>
      <c r="E25" s="108"/>
      <c r="G25" s="2">
        <f t="shared" si="0"/>
        <v>0</v>
      </c>
      <c r="H25" s="2">
        <f t="shared" si="1"/>
        <v>7997.47</v>
      </c>
      <c r="J25" s="489"/>
      <c r="K25" s="489"/>
      <c r="M25" s="489"/>
      <c r="N25" s="489"/>
      <c r="P25" s="8"/>
      <c r="Q25" s="8"/>
      <c r="S25" s="8"/>
      <c r="T25" s="8">
        <v>7997.47</v>
      </c>
    </row>
    <row r="26" spans="1:20" ht="16.5" customHeight="1">
      <c r="A26" s="87">
        <v>1.2</v>
      </c>
      <c r="B26" s="87" t="s">
        <v>96</v>
      </c>
      <c r="C26" s="486">
        <f>SUM(C27,C35)</f>
        <v>99.55</v>
      </c>
      <c r="D26" s="486">
        <f>SUM(D27,D35)</f>
        <v>99.55</v>
      </c>
      <c r="E26" s="108"/>
      <c r="G26" s="2">
        <f t="shared" si="0"/>
        <v>99.55</v>
      </c>
      <c r="H26" s="2">
        <f t="shared" si="1"/>
        <v>99.55</v>
      </c>
      <c r="J26" s="85">
        <f>SUM(J27,J31)</f>
        <v>87.45</v>
      </c>
      <c r="K26" s="85">
        <f>SUM(K27,K31)</f>
        <v>87.45</v>
      </c>
      <c r="L26" s="3"/>
      <c r="M26" s="486">
        <f>SUM(M27,M31)</f>
        <v>12.1</v>
      </c>
      <c r="N26" s="486">
        <f>SUM(N27,N31)</f>
        <v>12.1</v>
      </c>
      <c r="P26" s="85">
        <f>SUM(P27,P35)</f>
        <v>0</v>
      </c>
      <c r="Q26" s="85">
        <f>SUM(Q27,Q35)</f>
        <v>0</v>
      </c>
      <c r="S26" s="486">
        <f>SUM(S27,S31)</f>
        <v>0</v>
      </c>
      <c r="T26" s="486">
        <f>SUM(T27,T31)</f>
        <v>0</v>
      </c>
    </row>
    <row r="27" spans="1:20" ht="16.5" customHeight="1">
      <c r="A27" s="88" t="s">
        <v>32</v>
      </c>
      <c r="B27" s="88" t="s">
        <v>311</v>
      </c>
      <c r="C27" s="107">
        <f>SUM(C28:C30)</f>
        <v>0</v>
      </c>
      <c r="D27" s="107">
        <f>SUM(D28:D30)</f>
        <v>0</v>
      </c>
      <c r="E27" s="108"/>
      <c r="G27" s="2">
        <f t="shared" si="0"/>
        <v>0</v>
      </c>
      <c r="H27" s="2">
        <f t="shared" si="1"/>
        <v>0</v>
      </c>
      <c r="J27" s="107">
        <f>SUM(J28:J30)</f>
        <v>0</v>
      </c>
      <c r="K27" s="107">
        <f>SUM(K28:K30)</f>
        <v>0</v>
      </c>
      <c r="M27" s="107">
        <f>SUM(M28:M30)</f>
        <v>0</v>
      </c>
      <c r="N27" s="107">
        <f>SUM(N28:N30)</f>
        <v>0</v>
      </c>
      <c r="P27" s="107">
        <f>SUM(P28:P30)</f>
        <v>0</v>
      </c>
      <c r="Q27" s="107">
        <f>SUM(Q28:Q30)</f>
        <v>0</v>
      </c>
      <c r="S27" s="107">
        <f>SUM(S28:S30)</f>
        <v>0</v>
      </c>
      <c r="T27" s="107">
        <f>SUM(T28:T30)</f>
        <v>0</v>
      </c>
    </row>
    <row r="28" spans="1:20">
      <c r="A28" s="244" t="s">
        <v>98</v>
      </c>
      <c r="B28" s="244" t="s">
        <v>309</v>
      </c>
      <c r="C28" s="8"/>
      <c r="D28" s="8"/>
      <c r="E28" s="108"/>
      <c r="G28" s="2">
        <f t="shared" si="0"/>
        <v>0</v>
      </c>
      <c r="H28" s="2">
        <f t="shared" si="1"/>
        <v>0</v>
      </c>
      <c r="J28" s="8">
        <v>0</v>
      </c>
      <c r="K28" s="8"/>
      <c r="M28" s="8"/>
      <c r="N28" s="8"/>
      <c r="P28" s="8"/>
      <c r="Q28" s="8"/>
      <c r="S28" s="8"/>
      <c r="T28" s="8"/>
    </row>
    <row r="29" spans="1:20">
      <c r="A29" s="244" t="s">
        <v>99</v>
      </c>
      <c r="B29" s="244" t="s">
        <v>312</v>
      </c>
      <c r="C29" s="8"/>
      <c r="D29" s="8"/>
      <c r="E29" s="108"/>
      <c r="G29" s="2">
        <f t="shared" si="0"/>
        <v>0</v>
      </c>
      <c r="H29" s="2">
        <f t="shared" si="1"/>
        <v>0</v>
      </c>
      <c r="J29" s="8"/>
      <c r="K29" s="8"/>
      <c r="M29" s="8"/>
      <c r="N29" s="8"/>
      <c r="P29" s="8"/>
      <c r="Q29" s="8"/>
      <c r="S29" s="8"/>
      <c r="T29" s="8"/>
    </row>
    <row r="30" spans="1:20">
      <c r="A30" s="244" t="s">
        <v>455</v>
      </c>
      <c r="B30" s="244" t="s">
        <v>310</v>
      </c>
      <c r="C30" s="8"/>
      <c r="D30" s="8"/>
      <c r="E30" s="108"/>
      <c r="G30" s="2">
        <f t="shared" si="0"/>
        <v>0</v>
      </c>
      <c r="H30" s="2">
        <f t="shared" si="1"/>
        <v>0</v>
      </c>
      <c r="J30" s="8"/>
      <c r="K30" s="8"/>
      <c r="M30" s="8"/>
      <c r="N30" s="8"/>
      <c r="P30" s="8"/>
      <c r="Q30" s="8"/>
      <c r="S30" s="8"/>
      <c r="T30" s="8"/>
    </row>
    <row r="31" spans="1:20">
      <c r="A31" s="88" t="s">
        <v>33</v>
      </c>
      <c r="B31" s="88" t="s">
        <v>505</v>
      </c>
      <c r="C31" s="107">
        <f>SUM(C32:C34)</f>
        <v>0</v>
      </c>
      <c r="D31" s="107">
        <f>SUM(D32:D34)</f>
        <v>0</v>
      </c>
      <c r="E31" s="108"/>
      <c r="G31" s="2">
        <f t="shared" si="0"/>
        <v>99.55</v>
      </c>
      <c r="H31" s="2">
        <f t="shared" si="1"/>
        <v>99.55</v>
      </c>
      <c r="J31" s="8">
        <f>58.35+29.1</f>
        <v>87.45</v>
      </c>
      <c r="K31" s="8">
        <f>58.35+29.1</f>
        <v>87.45</v>
      </c>
      <c r="M31" s="487">
        <f>2.5+9.6</f>
        <v>12.1</v>
      </c>
      <c r="N31" s="487">
        <f>2.5+9.6</f>
        <v>12.1</v>
      </c>
      <c r="P31" s="107">
        <f>SUM(P32:P34)</f>
        <v>0</v>
      </c>
      <c r="Q31" s="107">
        <f>SUM(Q32:Q34)</f>
        <v>0</v>
      </c>
      <c r="S31" s="487"/>
      <c r="T31" s="487"/>
    </row>
    <row r="32" spans="1:20">
      <c r="A32" s="244" t="s">
        <v>12</v>
      </c>
      <c r="B32" s="244" t="s">
        <v>508</v>
      </c>
      <c r="C32" s="8"/>
      <c r="D32" s="8"/>
      <c r="E32" s="108"/>
      <c r="G32" s="2">
        <f t="shared" si="0"/>
        <v>0</v>
      </c>
      <c r="H32" s="2">
        <f t="shared" si="1"/>
        <v>0</v>
      </c>
      <c r="P32" s="8"/>
      <c r="Q32" s="8"/>
    </row>
    <row r="33" spans="1:17">
      <c r="A33" s="244" t="s">
        <v>13</v>
      </c>
      <c r="B33" s="244" t="s">
        <v>509</v>
      </c>
      <c r="C33" s="8"/>
      <c r="D33" s="8"/>
      <c r="E33" s="108"/>
      <c r="G33" s="2">
        <f t="shared" si="0"/>
        <v>0</v>
      </c>
      <c r="H33" s="2">
        <f t="shared" si="1"/>
        <v>0</v>
      </c>
      <c r="P33" s="8"/>
      <c r="Q33" s="8"/>
    </row>
    <row r="34" spans="1:17">
      <c r="A34" s="244" t="s">
        <v>281</v>
      </c>
      <c r="B34" s="244" t="s">
        <v>510</v>
      </c>
      <c r="C34" s="8"/>
      <c r="D34" s="8"/>
      <c r="E34" s="108"/>
      <c r="G34" s="2">
        <f t="shared" si="0"/>
        <v>0</v>
      </c>
      <c r="H34" s="2">
        <f t="shared" si="1"/>
        <v>0</v>
      </c>
      <c r="P34" s="8"/>
      <c r="Q34" s="8"/>
    </row>
    <row r="35" spans="1:17">
      <c r="A35" s="88" t="s">
        <v>34</v>
      </c>
      <c r="B35" s="258" t="s">
        <v>452</v>
      </c>
      <c r="C35" s="8">
        <v>99.55</v>
      </c>
      <c r="D35" s="8">
        <v>99.55</v>
      </c>
      <c r="E35" s="108"/>
      <c r="G35" s="2">
        <f t="shared" si="0"/>
        <v>0</v>
      </c>
      <c r="H35" s="2">
        <f t="shared" si="1"/>
        <v>0</v>
      </c>
      <c r="P35" s="8"/>
      <c r="Q35" s="8"/>
    </row>
    <row r="36" spans="1:17">
      <c r="D36" s="27"/>
      <c r="E36" s="109"/>
      <c r="F36" s="27"/>
      <c r="G36" s="27"/>
    </row>
    <row r="37" spans="1:17">
      <c r="A37" s="1"/>
      <c r="D37" s="27"/>
      <c r="E37" s="109"/>
      <c r="F37" s="27"/>
      <c r="G37" s="27"/>
    </row>
    <row r="38" spans="1:17">
      <c r="D38" s="27"/>
      <c r="E38" s="109"/>
      <c r="F38" s="27"/>
      <c r="G38" s="27"/>
    </row>
    <row r="39" spans="1:17">
      <c r="D39" s="27"/>
      <c r="E39" s="109"/>
      <c r="F39" s="27"/>
      <c r="G39" s="27"/>
    </row>
    <row r="40" spans="1:17">
      <c r="A40" s="69" t="s">
        <v>107</v>
      </c>
      <c r="D40" s="27"/>
      <c r="E40" s="109"/>
      <c r="F40" s="27"/>
      <c r="G40" s="27"/>
      <c r="H40" s="2">
        <f>22995584-D11-D13-D14-'ფორმა N3'!D11-'ფორმა N3'!D13-'ფორმა N3'!D14-'ფორმა N3'!C28-'ფორმა N3'!C30-'ფორმა N3'!C33-'ფორმა N3'!C34</f>
        <v>0</v>
      </c>
    </row>
    <row r="41" spans="1:17">
      <c r="D41" s="27"/>
      <c r="E41" s="110"/>
      <c r="F41" s="110"/>
      <c r="G41" s="110"/>
      <c r="H41"/>
      <c r="I41"/>
      <c r="J41"/>
    </row>
    <row r="42" spans="1:17">
      <c r="D42" s="111"/>
      <c r="E42" s="110"/>
      <c r="F42" s="110"/>
      <c r="G42" s="110"/>
      <c r="H42"/>
      <c r="I42"/>
      <c r="J42"/>
    </row>
    <row r="43" spans="1:17">
      <c r="A43"/>
      <c r="B43" s="69" t="s">
        <v>271</v>
      </c>
      <c r="D43" s="111"/>
      <c r="E43" s="110"/>
      <c r="F43" s="110"/>
      <c r="G43" s="110"/>
      <c r="H43"/>
      <c r="I43"/>
      <c r="J43"/>
    </row>
    <row r="44" spans="1:17">
      <c r="A44"/>
      <c r="B44" s="2" t="s">
        <v>270</v>
      </c>
      <c r="D44" s="111"/>
      <c r="E44" s="110"/>
      <c r="F44" s="110"/>
      <c r="G44" s="110"/>
      <c r="H44"/>
      <c r="I44"/>
      <c r="J44"/>
    </row>
    <row r="45" spans="1:17" customFormat="1" ht="12.75">
      <c r="B45" s="66" t="s">
        <v>139</v>
      </c>
      <c r="D45" s="110"/>
      <c r="E45" s="110"/>
      <c r="F45" s="110"/>
      <c r="G45" s="110"/>
    </row>
    <row r="46" spans="1:17">
      <c r="D46" s="27"/>
      <c r="E46" s="109"/>
      <c r="F46" s="27"/>
      <c r="G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view="pageBreakPreview" topLeftCell="A19" zoomScale="80" zoomScaleNormal="100" zoomScaleSheetLayoutView="80" workbookViewId="0">
      <selection activeCell="D34" sqref="D34"/>
    </sheetView>
  </sheetViews>
  <sheetFormatPr defaultRowHeight="15"/>
  <cols>
    <col min="1" max="1" width="12" style="184" customWidth="1"/>
    <col min="2" max="2" width="13.28515625" style="184" customWidth="1"/>
    <col min="3" max="3" width="21.42578125" style="184" customWidth="1"/>
    <col min="4" max="4" width="17.85546875" style="184" customWidth="1"/>
    <col min="5" max="5" width="12.7109375" style="184" customWidth="1"/>
    <col min="6" max="6" width="36.85546875" style="184" customWidth="1"/>
    <col min="7" max="7" width="22.28515625" style="184" customWidth="1"/>
    <col min="8" max="8" width="0.5703125" style="184" customWidth="1"/>
    <col min="9" max="16384" width="9.140625" style="184"/>
  </cols>
  <sheetData>
    <row r="1" spans="1:9">
      <c r="A1" s="74" t="s">
        <v>370</v>
      </c>
      <c r="B1" s="76"/>
      <c r="C1" s="76"/>
      <c r="D1" s="76"/>
      <c r="E1" s="76"/>
      <c r="F1" s="76"/>
      <c r="G1" s="165" t="s">
        <v>109</v>
      </c>
      <c r="H1" s="166"/>
    </row>
    <row r="2" spans="1:9">
      <c r="A2" s="76" t="s">
        <v>140</v>
      </c>
      <c r="B2" s="76"/>
      <c r="C2" s="76"/>
      <c r="D2" s="76"/>
      <c r="E2" s="76"/>
      <c r="F2" s="76"/>
      <c r="G2" s="775" t="s">
        <v>515</v>
      </c>
      <c r="H2" s="775"/>
      <c r="I2" s="776"/>
    </row>
    <row r="3" spans="1:9">
      <c r="A3" s="76"/>
      <c r="B3" s="76"/>
      <c r="C3" s="76"/>
      <c r="D3" s="76"/>
      <c r="E3" s="76"/>
      <c r="F3" s="76"/>
      <c r="G3" s="102"/>
      <c r="H3" s="166"/>
    </row>
    <row r="4" spans="1:9">
      <c r="A4" s="77" t="str">
        <f>'[4]ფორმა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9">
      <c r="A5" s="221" t="str">
        <f>'ფორმა N1'!D4</f>
        <v>მ.პ.გ. ქართული ოცნება - დემოკრატიული საქართველო</v>
      </c>
      <c r="B5" s="221"/>
      <c r="C5" s="221"/>
      <c r="D5" s="221"/>
      <c r="E5" s="221"/>
      <c r="F5" s="221"/>
      <c r="G5" s="221"/>
      <c r="H5" s="104"/>
    </row>
    <row r="6" spans="1:9">
      <c r="A6" s="77"/>
      <c r="B6" s="76"/>
      <c r="C6" s="76"/>
      <c r="D6" s="76"/>
      <c r="E6" s="76"/>
      <c r="F6" s="76"/>
      <c r="G6" s="76"/>
      <c r="H6" s="104"/>
    </row>
    <row r="7" spans="1:9">
      <c r="A7" s="76"/>
      <c r="B7" s="76"/>
      <c r="C7" s="76"/>
      <c r="D7" s="76"/>
      <c r="E7" s="76"/>
      <c r="F7" s="76"/>
      <c r="G7" s="76"/>
      <c r="H7" s="105"/>
    </row>
    <row r="8" spans="1:9" ht="45.75" customHeight="1">
      <c r="A8" s="167" t="s">
        <v>313</v>
      </c>
      <c r="B8" s="167" t="s">
        <v>141</v>
      </c>
      <c r="C8" s="168" t="s">
        <v>368</v>
      </c>
      <c r="D8" s="168" t="s">
        <v>369</v>
      </c>
      <c r="E8" s="168" t="s">
        <v>275</v>
      </c>
      <c r="F8" s="167" t="s">
        <v>320</v>
      </c>
      <c r="G8" s="168" t="s">
        <v>314</v>
      </c>
      <c r="H8" s="105"/>
    </row>
    <row r="9" spans="1:9">
      <c r="A9" s="169" t="s">
        <v>315</v>
      </c>
      <c r="B9" s="170"/>
      <c r="C9" s="171"/>
      <c r="D9" s="172"/>
      <c r="E9" s="172"/>
      <c r="F9" s="172"/>
      <c r="G9" s="173"/>
      <c r="H9" s="105"/>
    </row>
    <row r="10" spans="1:9" ht="30">
      <c r="A10" s="170">
        <v>1</v>
      </c>
      <c r="B10" s="573">
        <v>42401</v>
      </c>
      <c r="C10" s="170">
        <v>7840</v>
      </c>
      <c r="D10" s="576"/>
      <c r="E10" s="174" t="s">
        <v>5321</v>
      </c>
      <c r="F10" s="174" t="s">
        <v>5329</v>
      </c>
      <c r="G10" s="175">
        <f>IF(ISBLANK(B10),"",G9+C10-D10)</f>
        <v>7840</v>
      </c>
      <c r="H10" s="105"/>
    </row>
    <row r="11" spans="1:9" ht="45">
      <c r="A11" s="170">
        <v>2</v>
      </c>
      <c r="B11" s="573">
        <v>42403</v>
      </c>
      <c r="C11" s="170"/>
      <c r="D11" s="576">
        <v>7840</v>
      </c>
      <c r="E11" s="174" t="s">
        <v>5321</v>
      </c>
      <c r="F11" s="174" t="s">
        <v>5330</v>
      </c>
      <c r="G11" s="175">
        <f t="shared" ref="G11:G34" si="0">IF(ISBLANK(B11),"",G10+C11-D11)</f>
        <v>0</v>
      </c>
      <c r="H11" s="105"/>
    </row>
    <row r="12" spans="1:9" ht="30">
      <c r="A12" s="170">
        <v>3</v>
      </c>
      <c r="B12" s="574">
        <v>42409</v>
      </c>
      <c r="C12" s="170">
        <v>1480</v>
      </c>
      <c r="D12" s="576"/>
      <c r="E12" s="174" t="s">
        <v>5321</v>
      </c>
      <c r="F12" s="174" t="s">
        <v>5331</v>
      </c>
      <c r="G12" s="175">
        <f t="shared" si="0"/>
        <v>1480</v>
      </c>
      <c r="H12" s="105"/>
    </row>
    <row r="13" spans="1:9" ht="15.75">
      <c r="A13" s="170">
        <v>4</v>
      </c>
      <c r="B13" s="575" t="s">
        <v>5332</v>
      </c>
      <c r="C13" s="170"/>
      <c r="D13" s="576">
        <v>1480</v>
      </c>
      <c r="E13" s="174" t="s">
        <v>5321</v>
      </c>
      <c r="F13" s="174" t="s">
        <v>5333</v>
      </c>
      <c r="G13" s="175">
        <f t="shared" si="0"/>
        <v>0</v>
      </c>
      <c r="H13" s="105"/>
    </row>
    <row r="14" spans="1:9" ht="30">
      <c r="A14" s="170">
        <v>5</v>
      </c>
      <c r="B14" s="573" t="s">
        <v>776</v>
      </c>
      <c r="C14" s="170">
        <v>6520</v>
      </c>
      <c r="D14" s="576">
        <v>0</v>
      </c>
      <c r="E14" s="174" t="s">
        <v>5321</v>
      </c>
      <c r="F14" s="174" t="s">
        <v>5329</v>
      </c>
      <c r="G14" s="175">
        <f t="shared" si="0"/>
        <v>6520</v>
      </c>
      <c r="H14" s="105"/>
    </row>
    <row r="15" spans="1:9" ht="30">
      <c r="A15" s="170">
        <v>6</v>
      </c>
      <c r="B15" s="573" t="s">
        <v>5334</v>
      </c>
      <c r="C15" s="170">
        <v>0</v>
      </c>
      <c r="D15" s="576">
        <v>6520</v>
      </c>
      <c r="E15" s="174" t="s">
        <v>5321</v>
      </c>
      <c r="F15" s="174" t="s">
        <v>5329</v>
      </c>
      <c r="G15" s="175">
        <f t="shared" si="0"/>
        <v>0</v>
      </c>
      <c r="H15" s="105"/>
    </row>
    <row r="16" spans="1:9" ht="15.75">
      <c r="A16" s="170">
        <v>7</v>
      </c>
      <c r="B16" s="572" t="s">
        <v>2879</v>
      </c>
      <c r="C16" s="170">
        <v>641400</v>
      </c>
      <c r="D16" s="576">
        <v>0</v>
      </c>
      <c r="E16" s="174" t="s">
        <v>221</v>
      </c>
      <c r="F16" s="174" t="s">
        <v>59</v>
      </c>
      <c r="G16" s="175">
        <f t="shared" si="0"/>
        <v>641400</v>
      </c>
      <c r="H16" s="105"/>
    </row>
    <row r="17" spans="1:8" ht="15.75">
      <c r="A17" s="170">
        <v>8</v>
      </c>
      <c r="B17" s="577">
        <v>42561</v>
      </c>
      <c r="C17" s="170">
        <v>0</v>
      </c>
      <c r="D17" s="576">
        <v>610050</v>
      </c>
      <c r="E17" s="174" t="s">
        <v>221</v>
      </c>
      <c r="F17" s="174" t="s">
        <v>59</v>
      </c>
      <c r="G17" s="175">
        <f t="shared" si="0"/>
        <v>31350</v>
      </c>
      <c r="H17" s="105"/>
    </row>
    <row r="18" spans="1:8" ht="15.75">
      <c r="A18" s="170">
        <v>9</v>
      </c>
      <c r="B18" s="578">
        <v>42653</v>
      </c>
      <c r="C18" s="579">
        <v>0</v>
      </c>
      <c r="D18" s="579">
        <v>30600</v>
      </c>
      <c r="E18" s="580" t="s">
        <v>221</v>
      </c>
      <c r="F18" s="174" t="s">
        <v>59</v>
      </c>
      <c r="G18" s="175">
        <f t="shared" si="0"/>
        <v>750</v>
      </c>
      <c r="H18" s="105"/>
    </row>
    <row r="19" spans="1:8" ht="15.75">
      <c r="A19" s="170">
        <v>10</v>
      </c>
      <c r="B19" s="581" t="s">
        <v>3348</v>
      </c>
      <c r="C19" s="568">
        <v>299120</v>
      </c>
      <c r="D19" s="582">
        <v>0</v>
      </c>
      <c r="E19" s="580" t="s">
        <v>221</v>
      </c>
      <c r="F19" s="174" t="s">
        <v>5335</v>
      </c>
      <c r="G19" s="175">
        <f t="shared" si="0"/>
        <v>299870</v>
      </c>
      <c r="H19" s="105"/>
    </row>
    <row r="20" spans="1:8" ht="15.75">
      <c r="A20" s="170">
        <v>11</v>
      </c>
      <c r="B20" s="577" t="s">
        <v>3364</v>
      </c>
      <c r="C20" s="583">
        <v>0</v>
      </c>
      <c r="D20" s="584">
        <f>324680-420-30600-163200</f>
        <v>130460</v>
      </c>
      <c r="E20" s="580" t="s">
        <v>221</v>
      </c>
      <c r="F20" s="174" t="s">
        <v>5335</v>
      </c>
      <c r="G20" s="175">
        <f t="shared" si="0"/>
        <v>169410</v>
      </c>
      <c r="H20" s="105"/>
    </row>
    <row r="21" spans="1:8" ht="30">
      <c r="A21" s="170">
        <v>12</v>
      </c>
      <c r="B21" s="572" t="s">
        <v>3364</v>
      </c>
      <c r="C21" s="170">
        <v>0</v>
      </c>
      <c r="D21" s="576">
        <v>163200</v>
      </c>
      <c r="E21" s="174" t="s">
        <v>221</v>
      </c>
      <c r="F21" s="174" t="s">
        <v>5336</v>
      </c>
      <c r="G21" s="175">
        <f t="shared" si="0"/>
        <v>6210</v>
      </c>
      <c r="H21" s="105"/>
    </row>
    <row r="22" spans="1:8" ht="15.75">
      <c r="A22" s="170">
        <v>13</v>
      </c>
      <c r="B22" s="577">
        <v>42411</v>
      </c>
      <c r="C22" s="170">
        <v>880</v>
      </c>
      <c r="D22" s="576"/>
      <c r="E22" s="174" t="s">
        <v>221</v>
      </c>
      <c r="F22" s="174" t="s">
        <v>5337</v>
      </c>
      <c r="G22" s="175">
        <f t="shared" si="0"/>
        <v>7090</v>
      </c>
      <c r="H22" s="105"/>
    </row>
    <row r="23" spans="1:8" ht="15.75">
      <c r="A23" s="170">
        <v>14</v>
      </c>
      <c r="B23" s="577">
        <v>42411</v>
      </c>
      <c r="C23" s="170"/>
      <c r="D23" s="576">
        <v>5480</v>
      </c>
      <c r="E23" s="174" t="s">
        <v>221</v>
      </c>
      <c r="F23" s="174" t="s">
        <v>59</v>
      </c>
      <c r="G23" s="175">
        <f t="shared" si="0"/>
        <v>1610</v>
      </c>
      <c r="H23" s="105"/>
    </row>
    <row r="24" spans="1:8" ht="15.75">
      <c r="A24" s="170">
        <v>15</v>
      </c>
      <c r="B24" s="577">
        <v>42624</v>
      </c>
      <c r="C24" s="579">
        <v>180520</v>
      </c>
      <c r="D24" s="579"/>
      <c r="E24" s="580" t="s">
        <v>221</v>
      </c>
      <c r="F24" s="174" t="s">
        <v>5335</v>
      </c>
      <c r="G24" s="175">
        <f t="shared" si="0"/>
        <v>182130</v>
      </c>
      <c r="H24" s="105"/>
    </row>
    <row r="25" spans="1:8" ht="30">
      <c r="A25" s="170">
        <v>16</v>
      </c>
      <c r="B25" s="577">
        <v>42685</v>
      </c>
      <c r="C25" s="568"/>
      <c r="D25" s="582">
        <v>180520</v>
      </c>
      <c r="E25" s="580" t="s">
        <v>221</v>
      </c>
      <c r="F25" s="174" t="s">
        <v>5336</v>
      </c>
      <c r="G25" s="175">
        <f t="shared" si="0"/>
        <v>1610</v>
      </c>
      <c r="H25" s="105"/>
    </row>
    <row r="26" spans="1:8" ht="15.75">
      <c r="A26" s="170">
        <v>17</v>
      </c>
      <c r="B26" s="577">
        <v>42654</v>
      </c>
      <c r="C26" s="583">
        <v>80</v>
      </c>
      <c r="D26" s="584"/>
      <c r="E26" s="580" t="s">
        <v>221</v>
      </c>
      <c r="F26" s="174" t="s">
        <v>5337</v>
      </c>
      <c r="G26" s="175">
        <f t="shared" si="0"/>
        <v>1690</v>
      </c>
      <c r="H26" s="105"/>
    </row>
    <row r="27" spans="1:8" ht="30">
      <c r="A27" s="170">
        <v>18</v>
      </c>
      <c r="B27" s="577">
        <v>42715</v>
      </c>
      <c r="C27" s="170">
        <v>40</v>
      </c>
      <c r="D27" s="576"/>
      <c r="E27" s="174" t="s">
        <v>221</v>
      </c>
      <c r="F27" s="174" t="s">
        <v>5336</v>
      </c>
      <c r="G27" s="175">
        <f t="shared" si="0"/>
        <v>1730</v>
      </c>
      <c r="H27" s="105"/>
    </row>
    <row r="28" spans="1:8" ht="15.75">
      <c r="A28" s="170">
        <v>19</v>
      </c>
      <c r="B28" s="577" t="s">
        <v>5338</v>
      </c>
      <c r="C28" s="170">
        <v>40</v>
      </c>
      <c r="D28" s="576"/>
      <c r="E28" s="174" t="s">
        <v>221</v>
      </c>
      <c r="F28" s="174" t="s">
        <v>5337</v>
      </c>
      <c r="G28" s="175">
        <f t="shared" si="0"/>
        <v>1770</v>
      </c>
      <c r="H28" s="105"/>
    </row>
    <row r="29" spans="1:8" ht="15.75">
      <c r="A29" s="170">
        <v>20</v>
      </c>
      <c r="B29" s="577" t="s">
        <v>5339</v>
      </c>
      <c r="C29" s="170">
        <v>680</v>
      </c>
      <c r="D29" s="576"/>
      <c r="E29" s="174" t="s">
        <v>221</v>
      </c>
      <c r="F29" s="174" t="s">
        <v>5337</v>
      </c>
      <c r="G29" s="175">
        <f t="shared" si="0"/>
        <v>2450</v>
      </c>
      <c r="H29" s="105"/>
    </row>
    <row r="30" spans="1:8" ht="15.75">
      <c r="A30" s="170">
        <v>21</v>
      </c>
      <c r="B30" s="572" t="s">
        <v>5340</v>
      </c>
      <c r="C30" s="170">
        <v>10760</v>
      </c>
      <c r="D30" s="576"/>
      <c r="E30" s="174" t="s">
        <v>5321</v>
      </c>
      <c r="F30" s="174" t="s">
        <v>5335</v>
      </c>
      <c r="G30" s="175">
        <f t="shared" si="0"/>
        <v>13210</v>
      </c>
      <c r="H30" s="105"/>
    </row>
    <row r="31" spans="1:8" ht="30">
      <c r="A31" s="170">
        <v>22</v>
      </c>
      <c r="B31" s="572" t="s">
        <v>5340</v>
      </c>
      <c r="C31" s="170"/>
      <c r="D31" s="576">
        <v>10760</v>
      </c>
      <c r="E31" s="174" t="s">
        <v>5321</v>
      </c>
      <c r="F31" s="174" t="s">
        <v>5336</v>
      </c>
      <c r="G31" s="175">
        <f t="shared" si="0"/>
        <v>2450</v>
      </c>
      <c r="H31" s="105"/>
    </row>
    <row r="32" spans="1:8" ht="15.75">
      <c r="A32" s="170">
        <v>23</v>
      </c>
      <c r="B32" s="577">
        <v>42625</v>
      </c>
      <c r="C32" s="170">
        <v>120</v>
      </c>
      <c r="D32" s="576"/>
      <c r="E32" s="174" t="s">
        <v>5321</v>
      </c>
      <c r="F32" s="174" t="s">
        <v>5337</v>
      </c>
      <c r="G32" s="175">
        <f t="shared" si="0"/>
        <v>2570</v>
      </c>
      <c r="H32" s="105"/>
    </row>
    <row r="33" spans="1:10" ht="15.75">
      <c r="A33" s="170">
        <v>24</v>
      </c>
      <c r="B33" s="577" t="s">
        <v>3682</v>
      </c>
      <c r="C33" s="170"/>
      <c r="D33" s="576">
        <v>2570</v>
      </c>
      <c r="E33" s="174" t="s">
        <v>5321</v>
      </c>
      <c r="F33" s="174" t="s">
        <v>5341</v>
      </c>
      <c r="G33" s="175">
        <f t="shared" si="0"/>
        <v>0</v>
      </c>
      <c r="H33" s="105"/>
    </row>
    <row r="34" spans="1:10" ht="15.75">
      <c r="A34" s="170">
        <v>25</v>
      </c>
      <c r="B34" s="157"/>
      <c r="C34" s="749"/>
      <c r="D34" s="750"/>
      <c r="E34" s="177"/>
      <c r="F34" s="177"/>
      <c r="G34" s="175" t="str">
        <f t="shared" si="0"/>
        <v/>
      </c>
      <c r="H34" s="105"/>
    </row>
    <row r="35" spans="1:10" ht="15.75">
      <c r="A35" s="170" t="s">
        <v>278</v>
      </c>
      <c r="B35" s="157"/>
      <c r="C35" s="176"/>
      <c r="D35" s="177"/>
      <c r="E35" s="177"/>
      <c r="F35" s="177"/>
      <c r="G35" s="175" t="str">
        <f>IF(ISBLANK(B35),"",#REF!+C35-D35)</f>
        <v/>
      </c>
      <c r="H35" s="105"/>
    </row>
    <row r="36" spans="1:10">
      <c r="A36" s="178" t="s">
        <v>316</v>
      </c>
      <c r="B36" s="179"/>
      <c r="C36" s="180"/>
      <c r="D36" s="181"/>
      <c r="E36" s="181"/>
      <c r="F36" s="182"/>
      <c r="G36" s="183">
        <v>0</v>
      </c>
      <c r="H36" s="105"/>
    </row>
    <row r="40" spans="1:10">
      <c r="B40" s="186" t="s">
        <v>107</v>
      </c>
      <c r="F40" s="187"/>
    </row>
    <row r="41" spans="1:10">
      <c r="F41" s="185"/>
      <c r="G41" s="185"/>
      <c r="H41" s="185"/>
      <c r="I41" s="185"/>
      <c r="J41" s="185"/>
    </row>
    <row r="42" spans="1:10">
      <c r="C42" s="188"/>
      <c r="F42" s="188"/>
      <c r="G42" s="189"/>
      <c r="H42" s="185"/>
      <c r="I42" s="185"/>
      <c r="J42" s="185"/>
    </row>
    <row r="43" spans="1:10">
      <c r="A43" s="185"/>
      <c r="C43" s="190" t="s">
        <v>268</v>
      </c>
      <c r="F43" s="191" t="s">
        <v>273</v>
      </c>
      <c r="G43" s="189"/>
      <c r="H43" s="185"/>
      <c r="I43" s="185"/>
      <c r="J43" s="185"/>
    </row>
    <row r="44" spans="1:10">
      <c r="A44" s="185"/>
      <c r="C44" s="192" t="s">
        <v>139</v>
      </c>
      <c r="F44" s="184" t="s">
        <v>269</v>
      </c>
      <c r="G44" s="185"/>
      <c r="H44" s="185"/>
      <c r="I44" s="185"/>
      <c r="J44" s="185"/>
    </row>
    <row r="45" spans="1:10" s="185" customFormat="1">
      <c r="B45" s="184"/>
    </row>
    <row r="46" spans="1:10" s="185" customFormat="1" ht="12.75"/>
    <row r="47" spans="1:10" s="185" customFormat="1" ht="12.75"/>
    <row r="48" spans="1:10" s="185" customFormat="1" ht="12.75"/>
    <row r="49" s="185" customFormat="1" ht="12.75"/>
  </sheetData>
  <mergeCells count="1">
    <mergeCell ref="G2:I2"/>
  </mergeCells>
  <dataValidations count="1">
    <dataValidation allowBlank="1" showInputMessage="1" showErrorMessage="1" prompt="თვე/დღე/წელი" sqref="B10:B17 B19:B23 B25:B35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H27" sqref="H27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7" width="11.85546875" style="25" customWidth="1"/>
    <col min="8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304</v>
      </c>
      <c r="B1" s="138"/>
      <c r="C1" s="138"/>
      <c r="D1" s="138"/>
      <c r="E1" s="138"/>
      <c r="F1" s="78"/>
      <c r="G1" s="78"/>
      <c r="H1" s="78"/>
      <c r="I1" s="773" t="s">
        <v>109</v>
      </c>
      <c r="J1" s="773"/>
      <c r="K1" s="144"/>
    </row>
    <row r="2" spans="1:12" s="23" customFormat="1" ht="15">
      <c r="A2" s="105" t="s">
        <v>140</v>
      </c>
      <c r="B2" s="138"/>
      <c r="C2" s="138"/>
      <c r="D2" s="138"/>
      <c r="E2" s="138"/>
      <c r="F2" s="139"/>
      <c r="G2" s="140"/>
      <c r="H2" s="140"/>
      <c r="I2" s="775" t="s">
        <v>515</v>
      </c>
      <c r="J2" s="775"/>
      <c r="K2" s="776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'ფორმა N1'!D4</f>
        <v>მ.პ.გ. ქართული ოცნება - დემოკრატიული საქართველო</v>
      </c>
      <c r="B5" s="120"/>
      <c r="C5" s="120"/>
      <c r="D5" s="120"/>
      <c r="E5" s="120"/>
      <c r="F5" s="59"/>
      <c r="G5" s="59"/>
      <c r="H5" s="59"/>
      <c r="I5" s="132"/>
      <c r="J5" s="59"/>
      <c r="K5" s="105"/>
    </row>
    <row r="6" spans="1:12" s="23" customFormat="1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777" t="s">
        <v>220</v>
      </c>
      <c r="C7" s="777"/>
      <c r="D7" s="777" t="s">
        <v>292</v>
      </c>
      <c r="E7" s="777"/>
      <c r="F7" s="777" t="s">
        <v>293</v>
      </c>
      <c r="G7" s="777"/>
      <c r="H7" s="156" t="s">
        <v>279</v>
      </c>
      <c r="I7" s="777" t="s">
        <v>223</v>
      </c>
      <c r="J7" s="777"/>
      <c r="K7" s="145"/>
    </row>
    <row r="8" spans="1:12" ht="15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">
      <c r="A9" s="60" t="s">
        <v>116</v>
      </c>
      <c r="B9" s="82">
        <f>SUM(B10,B14,B17)</f>
        <v>1660</v>
      </c>
      <c r="C9" s="82">
        <f>SUM(C10,C14,C17)</f>
        <v>85366.05</v>
      </c>
      <c r="D9" s="82">
        <f t="shared" ref="D9:J9" si="0">SUM(D10,D14,D17)</f>
        <v>1913</v>
      </c>
      <c r="E9" s="82">
        <f>SUM(E10,E14,E17)</f>
        <v>308540.78999999998</v>
      </c>
      <c r="F9" s="82">
        <f t="shared" si="0"/>
        <v>0</v>
      </c>
      <c r="G9" s="82">
        <f>SUM(G10,G14,G17)</f>
        <v>0</v>
      </c>
      <c r="H9" s="82">
        <f>SUM(H10,H14,H17)</f>
        <v>73002.009999999995</v>
      </c>
      <c r="I9" s="82">
        <f>SUM(I10,I14,I17)</f>
        <v>3573</v>
      </c>
      <c r="J9" s="82">
        <f t="shared" si="0"/>
        <v>320904.82999999996</v>
      </c>
      <c r="K9" s="145"/>
    </row>
    <row r="10" spans="1:12" ht="15">
      <c r="A10" s="61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1" t="s">
        <v>121</v>
      </c>
      <c r="B14" s="133">
        <f>SUM(B15:B16)</f>
        <v>1659</v>
      </c>
      <c r="C14" s="133">
        <f>SUM(C15:C16)</f>
        <v>84425.47</v>
      </c>
      <c r="D14" s="133">
        <f t="shared" ref="D14:J14" si="2">SUM(D15:D16)</f>
        <v>1913</v>
      </c>
      <c r="E14" s="133">
        <f>SUM(E15:E16)</f>
        <v>308540.78999999998</v>
      </c>
      <c r="F14" s="133">
        <f t="shared" si="2"/>
        <v>0</v>
      </c>
      <c r="G14" s="133">
        <f>SUM(G15:G16)</f>
        <v>0</v>
      </c>
      <c r="H14" s="133">
        <f>SUM(H15:H16)</f>
        <v>72531.59</v>
      </c>
      <c r="I14" s="133">
        <f>SUM(I15:I16)</f>
        <v>3572</v>
      </c>
      <c r="J14" s="133">
        <f t="shared" si="2"/>
        <v>320434.67</v>
      </c>
      <c r="K14" s="145"/>
    </row>
    <row r="15" spans="1:12" ht="15">
      <c r="A15" s="61" t="s">
        <v>122</v>
      </c>
      <c r="B15" s="26">
        <v>1</v>
      </c>
      <c r="C15" s="26">
        <v>26426.77</v>
      </c>
      <c r="D15" s="26">
        <f>4+6</f>
        <v>10</v>
      </c>
      <c r="E15" s="26">
        <f>99499.84+141010</f>
        <v>240509.84</v>
      </c>
      <c r="F15" s="26"/>
      <c r="G15" s="26"/>
      <c r="H15" s="26">
        <v>41272.67</v>
      </c>
      <c r="I15" s="26">
        <f>B15+D15-F15</f>
        <v>11</v>
      </c>
      <c r="J15" s="26">
        <f>C15+E15-G15-H15</f>
        <v>225663.94</v>
      </c>
      <c r="K15" s="145"/>
    </row>
    <row r="16" spans="1:12" ht="15">
      <c r="A16" s="61" t="s">
        <v>123</v>
      </c>
      <c r="B16" s="26">
        <v>1658</v>
      </c>
      <c r="C16" s="26">
        <v>57998.7</v>
      </c>
      <c r="D16" s="26">
        <f>5+1452+446</f>
        <v>1903</v>
      </c>
      <c r="E16" s="26">
        <f>3392+14167.55+50471.4</f>
        <v>68030.95</v>
      </c>
      <c r="F16" s="26"/>
      <c r="G16" s="26"/>
      <c r="H16" s="26">
        <v>31258.92</v>
      </c>
      <c r="I16" s="26">
        <f>B16+D16-F16</f>
        <v>3561</v>
      </c>
      <c r="J16" s="26">
        <f>C16+E16-G16-H16</f>
        <v>94770.73</v>
      </c>
      <c r="K16" s="145"/>
    </row>
    <row r="17" spans="1:11" ht="15">
      <c r="A17" s="61" t="s">
        <v>124</v>
      </c>
      <c r="B17" s="133">
        <f>SUM(B18:B19,B22,B23)</f>
        <v>1</v>
      </c>
      <c r="C17" s="133">
        <f>SUM(C18:C19,C22,C23)</f>
        <v>940.58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470.42</v>
      </c>
      <c r="I17" s="133">
        <f>SUM(I18:I19,I22,I23)</f>
        <v>1</v>
      </c>
      <c r="J17" s="133">
        <f t="shared" si="3"/>
        <v>470.16</v>
      </c>
      <c r="K17" s="145"/>
    </row>
    <row r="18" spans="1:11" ht="15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1" t="s">
        <v>126</v>
      </c>
      <c r="B19" s="133">
        <f>SUM(B20:B21)</f>
        <v>1</v>
      </c>
      <c r="C19" s="133">
        <f>SUM(C20:C21)</f>
        <v>940.58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470.42</v>
      </c>
      <c r="I19" s="133">
        <f>SUM(I20:I21)</f>
        <v>1</v>
      </c>
      <c r="J19" s="133">
        <f t="shared" si="4"/>
        <v>470.16</v>
      </c>
      <c r="K19" s="145"/>
    </row>
    <row r="20" spans="1:11" ht="15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1" t="s">
        <v>128</v>
      </c>
      <c r="B21" s="26">
        <v>1</v>
      </c>
      <c r="C21" s="26">
        <v>940.58</v>
      </c>
      <c r="D21" s="26"/>
      <c r="E21" s="26"/>
      <c r="F21" s="26"/>
      <c r="G21" s="26"/>
      <c r="H21" s="26">
        <v>470.42</v>
      </c>
      <c r="I21" s="26">
        <f>B21+D21-F21</f>
        <v>1</v>
      </c>
      <c r="J21" s="26">
        <f>C21+E21-G21-H21</f>
        <v>470.16</v>
      </c>
      <c r="K21" s="145"/>
    </row>
    <row r="22" spans="1:11" ht="15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0" t="s">
        <v>131</v>
      </c>
      <c r="B24" s="82">
        <f>SUM(B25:B31)</f>
        <v>2248</v>
      </c>
      <c r="C24" s="82">
        <f t="shared" ref="C24:J24" si="5">SUM(C25:C31)</f>
        <v>4613.3500000000004</v>
      </c>
      <c r="D24" s="82">
        <f t="shared" si="5"/>
        <v>860887</v>
      </c>
      <c r="E24" s="82">
        <f t="shared" si="5"/>
        <v>1175737</v>
      </c>
      <c r="F24" s="82">
        <f t="shared" si="5"/>
        <v>842675</v>
      </c>
      <c r="G24" s="82">
        <f t="shared" si="5"/>
        <v>1149008</v>
      </c>
      <c r="H24" s="82">
        <f t="shared" si="5"/>
        <v>0</v>
      </c>
      <c r="I24" s="82">
        <f t="shared" si="5"/>
        <v>20460</v>
      </c>
      <c r="J24" s="82">
        <f t="shared" si="5"/>
        <v>31342.350000000093</v>
      </c>
      <c r="K24" s="145"/>
    </row>
    <row r="25" spans="1:11" ht="15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1" t="s">
        <v>264</v>
      </c>
      <c r="B31" s="26">
        <v>2248</v>
      </c>
      <c r="C31" s="26">
        <v>4613.3500000000004</v>
      </c>
      <c r="D31" s="26">
        <f>18600+2000+840287</f>
        <v>860887</v>
      </c>
      <c r="E31" s="26">
        <f>46507+2860+1126370</f>
        <v>1175737</v>
      </c>
      <c r="F31" s="26">
        <f>18600+824075</f>
        <v>842675</v>
      </c>
      <c r="G31" s="26">
        <f>46507+1102501</f>
        <v>1149008</v>
      </c>
      <c r="H31" s="26"/>
      <c r="I31" s="26">
        <f>B31+D31-F31-H31</f>
        <v>20460</v>
      </c>
      <c r="J31" s="585">
        <f>C31+E31-G31-H31</f>
        <v>31342.350000000093</v>
      </c>
      <c r="K31" s="145"/>
    </row>
    <row r="32" spans="1:11" ht="15">
      <c r="A32" s="60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0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1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268</v>
      </c>
      <c r="F49" s="12" t="s">
        <v>273</v>
      </c>
      <c r="G49" s="72"/>
      <c r="I49"/>
      <c r="J49"/>
    </row>
    <row r="50" spans="1:10" s="2" customFormat="1" ht="15">
      <c r="B50" s="66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K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topLeftCell="A4" zoomScale="80" zoomScaleNormal="100" zoomScaleSheetLayoutView="80" workbookViewId="0">
      <selection activeCell="H2" sqref="H2:J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7" t="s">
        <v>305</v>
      </c>
      <c r="B1" s="138"/>
      <c r="C1" s="138"/>
      <c r="D1" s="138"/>
      <c r="E1" s="138"/>
      <c r="F1" s="138"/>
      <c r="G1" s="144"/>
      <c r="H1" s="100" t="s">
        <v>198</v>
      </c>
      <c r="I1" s="144"/>
      <c r="J1" s="67"/>
      <c r="K1" s="67"/>
      <c r="L1" s="67"/>
    </row>
    <row r="2" spans="1:12" s="23" customFormat="1" ht="15">
      <c r="A2" s="105" t="s">
        <v>140</v>
      </c>
      <c r="B2" s="138"/>
      <c r="C2" s="138"/>
      <c r="D2" s="138"/>
      <c r="E2" s="138"/>
      <c r="F2" s="138"/>
      <c r="G2" s="146"/>
      <c r="H2" s="775" t="s">
        <v>515</v>
      </c>
      <c r="I2" s="775"/>
      <c r="J2" s="776"/>
      <c r="K2" s="67"/>
      <c r="L2" s="67"/>
    </row>
    <row r="3" spans="1:12" s="23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8"/>
      <c r="F4" s="138"/>
      <c r="G4" s="138"/>
      <c r="H4" s="138"/>
      <c r="I4" s="144"/>
      <c r="J4" s="64"/>
      <c r="K4" s="64"/>
      <c r="L4" s="23"/>
    </row>
    <row r="5" spans="1:12" s="2" customFormat="1" ht="15">
      <c r="A5" s="119" t="str">
        <f>'ფორმა N1'!D4</f>
        <v>მ.პ.გ. ქართული ოცნება - დემოკრატიული საქართველო</v>
      </c>
      <c r="B5" s="120"/>
      <c r="C5" s="120"/>
      <c r="D5" s="120"/>
      <c r="E5" s="148"/>
      <c r="F5" s="149"/>
      <c r="G5" s="149"/>
      <c r="H5" s="149"/>
      <c r="I5" s="144"/>
      <c r="J5" s="64"/>
      <c r="K5" s="64"/>
      <c r="L5" s="12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379</v>
      </c>
      <c r="C7" s="136" t="s">
        <v>380</v>
      </c>
      <c r="D7" s="136" t="s">
        <v>235</v>
      </c>
      <c r="E7" s="136" t="s">
        <v>240</v>
      </c>
      <c r="F7" s="136" t="s">
        <v>241</v>
      </c>
      <c r="G7" s="136" t="s">
        <v>242</v>
      </c>
      <c r="H7" s="136" t="s">
        <v>243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 ht="15">
      <c r="A27" s="68" t="s">
        <v>278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1" t="s">
        <v>107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9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48"/>
  <sheetViews>
    <sheetView showGridLines="0" view="pageBreakPreview" zoomScale="80" zoomScaleNormal="100" zoomScaleSheetLayoutView="80" workbookViewId="0">
      <selection activeCell="C20" sqref="C20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7" t="s">
        <v>306</v>
      </c>
      <c r="B1" s="138"/>
      <c r="C1" s="138"/>
      <c r="D1" s="138"/>
      <c r="E1" s="138"/>
      <c r="F1" s="138"/>
      <c r="G1" s="138"/>
      <c r="H1" s="144"/>
      <c r="I1" s="372" t="s">
        <v>198</v>
      </c>
      <c r="J1" s="151"/>
    </row>
    <row r="2" spans="1:12" s="23" customFormat="1" ht="15">
      <c r="A2" s="105" t="s">
        <v>140</v>
      </c>
      <c r="B2" s="138"/>
      <c r="C2" s="138"/>
      <c r="D2" s="138"/>
      <c r="E2" s="138"/>
      <c r="F2" s="138"/>
      <c r="G2" s="138"/>
      <c r="H2" s="144"/>
      <c r="I2" s="775" t="s">
        <v>515</v>
      </c>
      <c r="J2" s="775"/>
      <c r="K2" s="776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47"/>
      <c r="J4" s="104"/>
      <c r="L4" s="23"/>
    </row>
    <row r="5" spans="1:12" s="2" customFormat="1" ht="15">
      <c r="A5" s="119" t="str">
        <f>'ფორმა N1'!D4</f>
        <v>მ.პ.გ. ქართული ოცნება - დემოკრატიული საქართველო</v>
      </c>
      <c r="B5" s="120"/>
      <c r="C5" s="120"/>
      <c r="D5" s="120"/>
      <c r="E5" s="148"/>
      <c r="F5" s="149"/>
      <c r="G5" s="149"/>
      <c r="H5" s="149"/>
      <c r="I5" s="148"/>
      <c r="J5" s="104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246</v>
      </c>
      <c r="F7" s="136" t="s">
        <v>247</v>
      </c>
      <c r="G7" s="136" t="s">
        <v>241</v>
      </c>
      <c r="H7" s="136" t="s">
        <v>242</v>
      </c>
      <c r="I7" s="136" t="s">
        <v>243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28.5">
      <c r="A9" s="68">
        <v>1</v>
      </c>
      <c r="B9" s="586" t="s">
        <v>5342</v>
      </c>
      <c r="C9" s="587" t="s">
        <v>5343</v>
      </c>
      <c r="D9" s="588" t="s">
        <v>5344</v>
      </c>
      <c r="E9" s="588">
        <v>2012</v>
      </c>
      <c r="F9" s="588" t="s">
        <v>5345</v>
      </c>
      <c r="G9" s="588">
        <v>66066.13</v>
      </c>
      <c r="H9" s="589" t="s">
        <v>5346</v>
      </c>
      <c r="I9" s="26"/>
      <c r="J9" s="152"/>
    </row>
    <row r="10" spans="1:12" ht="15">
      <c r="A10" s="68">
        <v>2</v>
      </c>
      <c r="B10" s="590" t="s">
        <v>5347</v>
      </c>
      <c r="C10" s="590" t="s">
        <v>5348</v>
      </c>
      <c r="D10" s="591" t="s">
        <v>5349</v>
      </c>
      <c r="E10" s="591">
        <v>2016</v>
      </c>
      <c r="F10" s="591" t="s">
        <v>5350</v>
      </c>
      <c r="G10" s="591">
        <v>24874.959999999999</v>
      </c>
      <c r="H10" s="573">
        <v>42406</v>
      </c>
      <c r="I10" s="26"/>
      <c r="J10" s="152"/>
    </row>
    <row r="11" spans="1:12" ht="15">
      <c r="A11" s="68">
        <v>3</v>
      </c>
      <c r="B11" s="590" t="s">
        <v>5347</v>
      </c>
      <c r="C11" s="590" t="s">
        <v>5348</v>
      </c>
      <c r="D11" s="591" t="s">
        <v>5349</v>
      </c>
      <c r="E11" s="591">
        <v>2016</v>
      </c>
      <c r="F11" s="591" t="s">
        <v>5351</v>
      </c>
      <c r="G11" s="591">
        <v>24874.959999999999</v>
      </c>
      <c r="H11" s="573">
        <v>42406</v>
      </c>
      <c r="I11" s="26"/>
      <c r="J11" s="152"/>
    </row>
    <row r="12" spans="1:12" ht="15">
      <c r="A12" s="68">
        <v>4</v>
      </c>
      <c r="B12" s="590" t="s">
        <v>5347</v>
      </c>
      <c r="C12" s="590" t="s">
        <v>5348</v>
      </c>
      <c r="D12" s="591" t="s">
        <v>5349</v>
      </c>
      <c r="E12" s="591">
        <v>2016</v>
      </c>
      <c r="F12" s="591" t="s">
        <v>5352</v>
      </c>
      <c r="G12" s="591">
        <v>24874.959999999999</v>
      </c>
      <c r="H12" s="573">
        <v>42406</v>
      </c>
      <c r="I12" s="26"/>
      <c r="J12" s="152"/>
    </row>
    <row r="13" spans="1:12" ht="15">
      <c r="A13" s="68">
        <v>5</v>
      </c>
      <c r="B13" s="590" t="s">
        <v>5347</v>
      </c>
      <c r="C13" s="590" t="s">
        <v>5348</v>
      </c>
      <c r="D13" s="591" t="s">
        <v>5349</v>
      </c>
      <c r="E13" s="591">
        <v>2016</v>
      </c>
      <c r="F13" s="591" t="s">
        <v>5353</v>
      </c>
      <c r="G13" s="591">
        <v>24874.959999999999</v>
      </c>
      <c r="H13" s="573">
        <v>42406</v>
      </c>
      <c r="I13" s="26"/>
      <c r="J13" s="152"/>
    </row>
    <row r="14" spans="1:12" ht="15">
      <c r="A14" s="68">
        <v>6</v>
      </c>
      <c r="B14" s="587" t="s">
        <v>5347</v>
      </c>
      <c r="C14" s="587" t="s">
        <v>5348</v>
      </c>
      <c r="D14" s="592" t="s">
        <v>5349</v>
      </c>
      <c r="E14" s="592">
        <v>2016</v>
      </c>
      <c r="F14" s="592" t="s">
        <v>5354</v>
      </c>
      <c r="G14" s="592">
        <v>23250.45</v>
      </c>
      <c r="H14" s="593">
        <v>42649</v>
      </c>
      <c r="I14" s="26"/>
      <c r="J14" s="152"/>
    </row>
    <row r="15" spans="1:12" s="23" customFormat="1" ht="15">
      <c r="A15" s="68">
        <v>7</v>
      </c>
      <c r="B15" s="587" t="s">
        <v>5347</v>
      </c>
      <c r="C15" s="587" t="s">
        <v>5348</v>
      </c>
      <c r="D15" s="592" t="s">
        <v>5349</v>
      </c>
      <c r="E15" s="592">
        <v>2016</v>
      </c>
      <c r="F15" s="592" t="s">
        <v>5355</v>
      </c>
      <c r="G15" s="592">
        <v>23250.45</v>
      </c>
      <c r="H15" s="593">
        <v>42649</v>
      </c>
      <c r="I15" s="26"/>
      <c r="J15" s="146"/>
    </row>
    <row r="16" spans="1:12" s="23" customFormat="1" ht="15">
      <c r="A16" s="68">
        <v>8</v>
      </c>
      <c r="B16" s="587" t="s">
        <v>5347</v>
      </c>
      <c r="C16" s="587" t="s">
        <v>5348</v>
      </c>
      <c r="D16" s="592" t="s">
        <v>5349</v>
      </c>
      <c r="E16" s="592">
        <v>2016</v>
      </c>
      <c r="F16" s="592" t="s">
        <v>5356</v>
      </c>
      <c r="G16" s="592">
        <v>23250.45</v>
      </c>
      <c r="H16" s="593">
        <v>42649</v>
      </c>
      <c r="I16" s="26"/>
      <c r="J16" s="146"/>
    </row>
    <row r="17" spans="1:10" s="23" customFormat="1" ht="15">
      <c r="A17" s="68">
        <v>9</v>
      </c>
      <c r="B17" s="587" t="s">
        <v>5347</v>
      </c>
      <c r="C17" s="587" t="s">
        <v>5348</v>
      </c>
      <c r="D17" s="592" t="s">
        <v>5349</v>
      </c>
      <c r="E17" s="592">
        <v>2016</v>
      </c>
      <c r="F17" s="592" t="s">
        <v>5357</v>
      </c>
      <c r="G17" s="592">
        <v>23250.45</v>
      </c>
      <c r="H17" s="593">
        <v>42649</v>
      </c>
      <c r="I17" s="26"/>
      <c r="J17" s="146"/>
    </row>
    <row r="18" spans="1:10" s="23" customFormat="1" ht="15">
      <c r="A18" s="68">
        <v>10</v>
      </c>
      <c r="B18" s="587" t="s">
        <v>5347</v>
      </c>
      <c r="C18" s="587" t="s">
        <v>5348</v>
      </c>
      <c r="D18" s="592" t="s">
        <v>5349</v>
      </c>
      <c r="E18" s="592">
        <v>2016</v>
      </c>
      <c r="F18" s="592" t="s">
        <v>5358</v>
      </c>
      <c r="G18" s="592">
        <v>23250.45</v>
      </c>
      <c r="H18" s="593">
        <v>42649</v>
      </c>
      <c r="I18" s="26"/>
      <c r="J18" s="146"/>
    </row>
    <row r="19" spans="1:10" s="23" customFormat="1" ht="15">
      <c r="A19" s="68">
        <v>11</v>
      </c>
      <c r="B19" s="587" t="s">
        <v>5347</v>
      </c>
      <c r="C19" s="587" t="s">
        <v>5348</v>
      </c>
      <c r="D19" s="592" t="s">
        <v>5349</v>
      </c>
      <c r="E19" s="592">
        <v>2016</v>
      </c>
      <c r="F19" s="592" t="s">
        <v>5359</v>
      </c>
      <c r="G19" s="592">
        <v>24757.46</v>
      </c>
      <c r="H19" s="593">
        <v>42649</v>
      </c>
      <c r="I19" s="26"/>
      <c r="J19" s="146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>
      <c r="A21" s="68" t="s">
        <v>278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>
      <c r="J22" s="64"/>
    </row>
    <row r="23" spans="1:10" s="23" customFormat="1"/>
    <row r="24" spans="1:10" s="23" customFormat="1">
      <c r="A24" s="25"/>
    </row>
    <row r="25" spans="1:10" s="2" customFormat="1" ht="15">
      <c r="B25" s="71" t="s">
        <v>107</v>
      </c>
      <c r="E25" s="5"/>
    </row>
    <row r="26" spans="1:10" s="2" customFormat="1" ht="15">
      <c r="C26" s="70"/>
      <c r="E26" s="70"/>
      <c r="F26" s="73"/>
      <c r="G26" s="73"/>
      <c r="H26"/>
      <c r="I26"/>
    </row>
    <row r="27" spans="1:10" s="2" customFormat="1" ht="15">
      <c r="A27"/>
      <c r="C27" s="69" t="s">
        <v>268</v>
      </c>
      <c r="E27" s="12" t="s">
        <v>273</v>
      </c>
      <c r="F27" s="72"/>
      <c r="G27"/>
      <c r="H27"/>
      <c r="I27"/>
    </row>
    <row r="28" spans="1:10" s="2" customFormat="1" ht="15">
      <c r="A28"/>
      <c r="C28" s="66" t="s">
        <v>139</v>
      </c>
      <c r="E28" s="2" t="s">
        <v>269</v>
      </c>
      <c r="F28"/>
      <c r="G28"/>
      <c r="H28"/>
      <c r="I28"/>
    </row>
    <row r="29" spans="1:10" customFormat="1" ht="15">
      <c r="B29" s="2"/>
      <c r="C29" s="25"/>
    </row>
    <row r="30" spans="1:10" customFormat="1"/>
    <row r="31" spans="1:10" s="23" customFormat="1">
      <c r="J31" s="64"/>
    </row>
    <row r="32" spans="1:10" s="23" customFormat="1">
      <c r="J32" s="64"/>
    </row>
    <row r="33" spans="10:10" s="23" customFormat="1">
      <c r="J33" s="64"/>
    </row>
    <row r="34" spans="10:10" s="23" customFormat="1">
      <c r="J34" s="64"/>
    </row>
    <row r="35" spans="10:10" s="23" customFormat="1">
      <c r="J35" s="64"/>
    </row>
    <row r="36" spans="10:10" s="23" customFormat="1">
      <c r="J36" s="64"/>
    </row>
    <row r="37" spans="10:10" s="23" customFormat="1">
      <c r="J37" s="64"/>
    </row>
    <row r="38" spans="10:10" s="23" customFormat="1">
      <c r="J38" s="64"/>
    </row>
    <row r="39" spans="10:10" s="23" customFormat="1">
      <c r="J39" s="64"/>
    </row>
    <row r="40" spans="10:10" s="23" customFormat="1">
      <c r="J40" s="64"/>
    </row>
    <row r="41" spans="10:10" s="23" customFormat="1">
      <c r="J41" s="64"/>
    </row>
    <row r="42" spans="10:10" s="23" customFormat="1">
      <c r="J42" s="64"/>
    </row>
    <row r="43" spans="10:10" s="23" customFormat="1">
      <c r="J43" s="64"/>
    </row>
    <row r="44" spans="10:10" s="23" customFormat="1">
      <c r="J44" s="64"/>
    </row>
    <row r="45" spans="10:10" s="23" customFormat="1">
      <c r="J45" s="64"/>
    </row>
    <row r="46" spans="10:10" s="23" customFormat="1">
      <c r="J46" s="64"/>
    </row>
    <row r="47" spans="10:10" s="23" customFormat="1">
      <c r="J47" s="64"/>
    </row>
    <row r="48" spans="10:10" s="23" customFormat="1">
      <c r="J48" s="64"/>
    </row>
  </sheetData>
  <mergeCells count="1">
    <mergeCell ref="I2:K2"/>
  </mergeCells>
  <dataValidations count="1">
    <dataValidation allowBlank="1" showInputMessage="1" showErrorMessage="1" error="თვე/დღე/წელი" prompt="თვე/დღე/წელი" sqref="H9:H21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I2"/>
    </sheetView>
  </sheetViews>
  <sheetFormatPr defaultRowHeight="12.75"/>
  <cols>
    <col min="1" max="1" width="4.85546875" style="212" customWidth="1"/>
    <col min="2" max="2" width="37.42578125" style="212" customWidth="1"/>
    <col min="3" max="3" width="21.5703125" style="212" customWidth="1"/>
    <col min="4" max="4" width="20" style="212" customWidth="1"/>
    <col min="5" max="5" width="18.7109375" style="212" customWidth="1"/>
    <col min="6" max="6" width="24.140625" style="212" customWidth="1"/>
    <col min="7" max="7" width="27.140625" style="212" customWidth="1"/>
    <col min="8" max="8" width="0.7109375" style="212" customWidth="1"/>
    <col min="9" max="16384" width="9.140625" style="212"/>
  </cols>
  <sheetData>
    <row r="1" spans="1:9" s="196" customFormat="1" ht="15">
      <c r="A1" s="193" t="s">
        <v>326</v>
      </c>
      <c r="B1" s="194"/>
      <c r="C1" s="194"/>
      <c r="D1" s="194"/>
      <c r="E1" s="194"/>
      <c r="F1" s="78"/>
      <c r="G1" s="78" t="s">
        <v>109</v>
      </c>
      <c r="H1" s="197"/>
    </row>
    <row r="2" spans="1:9" s="196" customFormat="1" ht="15">
      <c r="A2" s="197" t="s">
        <v>317</v>
      </c>
      <c r="B2" s="194"/>
      <c r="C2" s="194"/>
      <c r="D2" s="194"/>
      <c r="E2" s="195"/>
      <c r="F2" s="195"/>
      <c r="G2" s="775" t="s">
        <v>515</v>
      </c>
      <c r="H2" s="775"/>
      <c r="I2" s="776"/>
    </row>
    <row r="3" spans="1:9" s="196" customFormat="1">
      <c r="A3" s="197"/>
      <c r="B3" s="194"/>
      <c r="C3" s="194"/>
      <c r="D3" s="194"/>
      <c r="E3" s="195"/>
      <c r="F3" s="195"/>
      <c r="G3" s="195"/>
      <c r="H3" s="197"/>
    </row>
    <row r="4" spans="1:9" s="196" customFormat="1" ht="15">
      <c r="A4" s="114" t="s">
        <v>274</v>
      </c>
      <c r="B4" s="194"/>
      <c r="C4" s="194"/>
      <c r="D4" s="194"/>
      <c r="E4" s="198"/>
      <c r="F4" s="198"/>
      <c r="G4" s="195"/>
      <c r="H4" s="197"/>
    </row>
    <row r="5" spans="1:9" s="196" customFormat="1">
      <c r="A5" s="199" t="str">
        <f>'ფორმა N1'!D4</f>
        <v>მ.პ.გ. ქართული ოცნება - დემოკრატიული საქართველო</v>
      </c>
      <c r="B5" s="199"/>
      <c r="C5" s="199"/>
      <c r="D5" s="199"/>
      <c r="E5" s="199"/>
      <c r="F5" s="199"/>
      <c r="G5" s="200"/>
      <c r="H5" s="197"/>
    </row>
    <row r="6" spans="1:9" s="213" customFormat="1">
      <c r="A6" s="201"/>
      <c r="B6" s="201"/>
      <c r="C6" s="201"/>
      <c r="D6" s="201"/>
      <c r="E6" s="201"/>
      <c r="F6" s="201"/>
      <c r="G6" s="201"/>
      <c r="H6" s="198"/>
    </row>
    <row r="7" spans="1:9" s="196" customFormat="1" ht="51">
      <c r="A7" s="229" t="s">
        <v>64</v>
      </c>
      <c r="B7" s="204" t="s">
        <v>321</v>
      </c>
      <c r="C7" s="204" t="s">
        <v>322</v>
      </c>
      <c r="D7" s="204" t="s">
        <v>323</v>
      </c>
      <c r="E7" s="204" t="s">
        <v>324</v>
      </c>
      <c r="F7" s="204" t="s">
        <v>325</v>
      </c>
      <c r="G7" s="204" t="s">
        <v>318</v>
      </c>
      <c r="H7" s="197"/>
    </row>
    <row r="8" spans="1:9" s="196" customFormat="1">
      <c r="A8" s="202">
        <v>1</v>
      </c>
      <c r="B8" s="203">
        <v>2</v>
      </c>
      <c r="C8" s="203">
        <v>3</v>
      </c>
      <c r="D8" s="203">
        <v>4</v>
      </c>
      <c r="E8" s="204">
        <v>5</v>
      </c>
      <c r="F8" s="204">
        <v>6</v>
      </c>
      <c r="G8" s="204">
        <v>7</v>
      </c>
      <c r="H8" s="197"/>
    </row>
    <row r="9" spans="1:9" s="196" customFormat="1">
      <c r="A9" s="214">
        <v>1</v>
      </c>
      <c r="B9" s="205"/>
      <c r="C9" s="205"/>
      <c r="D9" s="206"/>
      <c r="E9" s="205"/>
      <c r="F9" s="205"/>
      <c r="G9" s="205"/>
      <c r="H9" s="197"/>
    </row>
    <row r="10" spans="1:9" s="196" customFormat="1">
      <c r="A10" s="214">
        <v>2</v>
      </c>
      <c r="B10" s="205"/>
      <c r="C10" s="205"/>
      <c r="D10" s="206"/>
      <c r="E10" s="205"/>
      <c r="F10" s="205"/>
      <c r="G10" s="205"/>
      <c r="H10" s="197"/>
    </row>
    <row r="11" spans="1:9" s="196" customFormat="1">
      <c r="A11" s="214">
        <v>3</v>
      </c>
      <c r="B11" s="205"/>
      <c r="C11" s="205"/>
      <c r="D11" s="206"/>
      <c r="E11" s="205"/>
      <c r="F11" s="205"/>
      <c r="G11" s="205"/>
      <c r="H11" s="197"/>
    </row>
    <row r="12" spans="1:9" s="196" customFormat="1">
      <c r="A12" s="214">
        <v>4</v>
      </c>
      <c r="B12" s="205"/>
      <c r="C12" s="205"/>
      <c r="D12" s="206"/>
      <c r="E12" s="205"/>
      <c r="F12" s="205"/>
      <c r="G12" s="205"/>
      <c r="H12" s="197"/>
    </row>
    <row r="13" spans="1:9" s="196" customFormat="1">
      <c r="A13" s="214">
        <v>5</v>
      </c>
      <c r="B13" s="205"/>
      <c r="C13" s="205"/>
      <c r="D13" s="206"/>
      <c r="E13" s="205"/>
      <c r="F13" s="205"/>
      <c r="G13" s="205"/>
      <c r="H13" s="197"/>
    </row>
    <row r="14" spans="1:9" s="196" customFormat="1">
      <c r="A14" s="214">
        <v>6</v>
      </c>
      <c r="B14" s="205"/>
      <c r="C14" s="205"/>
      <c r="D14" s="206"/>
      <c r="E14" s="205"/>
      <c r="F14" s="205"/>
      <c r="G14" s="205"/>
      <c r="H14" s="197"/>
    </row>
    <row r="15" spans="1:9" s="196" customFormat="1">
      <c r="A15" s="214">
        <v>7</v>
      </c>
      <c r="B15" s="205"/>
      <c r="C15" s="205"/>
      <c r="D15" s="206"/>
      <c r="E15" s="205"/>
      <c r="F15" s="205"/>
      <c r="G15" s="205"/>
      <c r="H15" s="197"/>
    </row>
    <row r="16" spans="1:9" s="196" customFormat="1">
      <c r="A16" s="214">
        <v>8</v>
      </c>
      <c r="B16" s="205"/>
      <c r="C16" s="205"/>
      <c r="D16" s="206"/>
      <c r="E16" s="205"/>
      <c r="F16" s="205"/>
      <c r="G16" s="205"/>
      <c r="H16" s="197"/>
    </row>
    <row r="17" spans="1:11" s="196" customFormat="1">
      <c r="A17" s="214">
        <v>9</v>
      </c>
      <c r="B17" s="205"/>
      <c r="C17" s="205"/>
      <c r="D17" s="206"/>
      <c r="E17" s="205"/>
      <c r="F17" s="205"/>
      <c r="G17" s="205"/>
      <c r="H17" s="197"/>
    </row>
    <row r="18" spans="1:11" s="196" customFormat="1">
      <c r="A18" s="214">
        <v>10</v>
      </c>
      <c r="B18" s="205"/>
      <c r="C18" s="205"/>
      <c r="D18" s="206"/>
      <c r="E18" s="205"/>
      <c r="F18" s="205"/>
      <c r="G18" s="205"/>
      <c r="H18" s="197"/>
    </row>
    <row r="19" spans="1:11" s="196" customFormat="1">
      <c r="A19" s="214" t="s">
        <v>276</v>
      </c>
      <c r="B19" s="205"/>
      <c r="C19" s="205"/>
      <c r="D19" s="206"/>
      <c r="E19" s="205"/>
      <c r="F19" s="205"/>
      <c r="G19" s="205"/>
      <c r="H19" s="197"/>
    </row>
    <row r="22" spans="1:11" s="196" customFormat="1"/>
    <row r="23" spans="1:11" s="196" customFormat="1"/>
    <row r="24" spans="1:11" s="21" customFormat="1" ht="15">
      <c r="B24" s="207" t="s">
        <v>107</v>
      </c>
      <c r="C24" s="207"/>
    </row>
    <row r="25" spans="1:11" s="21" customFormat="1" ht="15">
      <c r="B25" s="207"/>
      <c r="C25" s="207"/>
    </row>
    <row r="26" spans="1:11" s="21" customFormat="1" ht="15">
      <c r="C26" s="209"/>
      <c r="F26" s="209"/>
      <c r="G26" s="209"/>
      <c r="H26" s="208"/>
    </row>
    <row r="27" spans="1:11" s="21" customFormat="1" ht="15">
      <c r="C27" s="210" t="s">
        <v>268</v>
      </c>
      <c r="F27" s="207" t="s">
        <v>319</v>
      </c>
      <c r="J27" s="208"/>
      <c r="K27" s="208"/>
    </row>
    <row r="28" spans="1:11" s="21" customFormat="1" ht="15">
      <c r="C28" s="210" t="s">
        <v>139</v>
      </c>
      <c r="F28" s="211" t="s">
        <v>269</v>
      </c>
      <c r="J28" s="208"/>
      <c r="K28" s="208"/>
    </row>
    <row r="29" spans="1:11" s="196" customFormat="1" ht="15">
      <c r="C29" s="210"/>
      <c r="J29" s="213"/>
      <c r="K29" s="213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66"/>
  <sheetViews>
    <sheetView view="pageBreakPreview" zoomScale="80" zoomScaleNormal="80" zoomScaleSheetLayoutView="80" workbookViewId="0">
      <selection activeCell="G621" sqref="G621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3" ht="15">
      <c r="A1" s="691" t="s">
        <v>461</v>
      </c>
      <c r="B1" s="149"/>
      <c r="C1" s="149"/>
      <c r="D1" s="149"/>
      <c r="E1" s="149"/>
      <c r="F1" s="149"/>
      <c r="G1" s="149"/>
      <c r="H1" s="149"/>
      <c r="I1" s="149"/>
      <c r="J1" s="149"/>
      <c r="K1" s="692" t="s">
        <v>109</v>
      </c>
      <c r="L1" s="110"/>
      <c r="M1" s="110"/>
    </row>
    <row r="2" spans="1:13" ht="15">
      <c r="A2" s="27" t="s">
        <v>140</v>
      </c>
      <c r="B2" s="149"/>
      <c r="C2" s="149"/>
      <c r="D2" s="149"/>
      <c r="E2" s="149"/>
      <c r="F2" s="149"/>
      <c r="G2" s="149"/>
      <c r="H2" s="149"/>
      <c r="I2" s="149"/>
      <c r="J2" s="149"/>
      <c r="K2" s="787" t="s">
        <v>515</v>
      </c>
      <c r="L2" s="787"/>
      <c r="M2" s="788"/>
    </row>
    <row r="3" spans="1:13" ht="1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693"/>
      <c r="L3" s="110"/>
      <c r="M3" s="110"/>
    </row>
    <row r="4" spans="1:13" ht="15">
      <c r="A4" s="59" t="str">
        <f>'ფორმა N2'!A4</f>
        <v>ანგარიშვალდებული პირის დასახელება:</v>
      </c>
      <c r="B4" s="59"/>
      <c r="C4" s="59"/>
      <c r="D4" s="120"/>
      <c r="E4" s="148"/>
      <c r="F4" s="149"/>
      <c r="G4" s="149"/>
      <c r="H4" s="149"/>
      <c r="I4" s="149"/>
      <c r="J4" s="149"/>
      <c r="K4" s="148"/>
      <c r="L4" s="110"/>
      <c r="M4" s="110"/>
    </row>
    <row r="5" spans="1:13" s="185" customFormat="1" ht="15">
      <c r="A5" s="119" t="str">
        <f>'ფორმა N1'!D4</f>
        <v>მ.პ.გ. ქართული ოცნება - დემოკრატიული საქართველო</v>
      </c>
      <c r="B5" s="120"/>
      <c r="C5" s="120"/>
      <c r="D5" s="120"/>
      <c r="E5" s="148"/>
      <c r="F5" s="149"/>
      <c r="G5" s="149"/>
      <c r="H5" s="149"/>
      <c r="I5" s="149"/>
      <c r="J5" s="149"/>
      <c r="K5" s="148"/>
      <c r="L5" s="110"/>
      <c r="M5" s="110"/>
    </row>
    <row r="6" spans="1:13">
      <c r="A6" s="694"/>
      <c r="B6" s="695"/>
      <c r="C6" s="695"/>
      <c r="D6" s="695"/>
      <c r="E6" s="149"/>
      <c r="F6" s="149"/>
      <c r="G6" s="149"/>
      <c r="H6" s="149"/>
      <c r="I6" s="149"/>
      <c r="J6" s="149"/>
      <c r="K6" s="149"/>
      <c r="L6" s="110"/>
      <c r="M6" s="110"/>
    </row>
    <row r="7" spans="1:13" ht="60">
      <c r="A7" s="696" t="s">
        <v>64</v>
      </c>
      <c r="B7" s="697" t="s">
        <v>381</v>
      </c>
      <c r="C7" s="697" t="s">
        <v>382</v>
      </c>
      <c r="D7" s="697" t="s">
        <v>384</v>
      </c>
      <c r="E7" s="697" t="s">
        <v>383</v>
      </c>
      <c r="F7" s="697" t="s">
        <v>392</v>
      </c>
      <c r="G7" s="697" t="s">
        <v>393</v>
      </c>
      <c r="H7" s="697" t="s">
        <v>387</v>
      </c>
      <c r="I7" s="697" t="s">
        <v>388</v>
      </c>
      <c r="J7" s="697" t="s">
        <v>400</v>
      </c>
      <c r="K7" s="697" t="s">
        <v>389</v>
      </c>
      <c r="L7" s="110"/>
      <c r="M7" s="110"/>
    </row>
    <row r="8" spans="1:13" ht="15">
      <c r="A8" s="698">
        <v>1</v>
      </c>
      <c r="B8" s="698">
        <v>2</v>
      </c>
      <c r="C8" s="697">
        <v>3</v>
      </c>
      <c r="D8" s="698">
        <v>4</v>
      </c>
      <c r="E8" s="697">
        <v>5</v>
      </c>
      <c r="F8" s="698">
        <v>6</v>
      </c>
      <c r="G8" s="697">
        <v>7</v>
      </c>
      <c r="H8" s="698">
        <v>8</v>
      </c>
      <c r="I8" s="697">
        <v>9</v>
      </c>
      <c r="J8" s="698">
        <v>10</v>
      </c>
      <c r="K8" s="697">
        <v>11</v>
      </c>
      <c r="L8" s="110"/>
      <c r="M8" s="110"/>
    </row>
    <row r="9" spans="1:13" ht="30">
      <c r="A9" s="689">
        <v>1</v>
      </c>
      <c r="B9" s="631" t="s">
        <v>7580</v>
      </c>
      <c r="C9" s="631" t="s">
        <v>7581</v>
      </c>
      <c r="D9" s="702" t="s">
        <v>7582</v>
      </c>
      <c r="E9" s="703" t="s">
        <v>7583</v>
      </c>
      <c r="F9" s="690">
        <v>5131.8937500000002</v>
      </c>
      <c r="G9" s="704"/>
      <c r="H9" s="705"/>
      <c r="I9" s="613"/>
      <c r="J9" s="637" t="s">
        <v>7584</v>
      </c>
      <c r="K9" s="611" t="s">
        <v>7585</v>
      </c>
      <c r="L9" s="110"/>
      <c r="M9" s="110"/>
    </row>
    <row r="10" spans="1:13" ht="30">
      <c r="A10" s="689">
        <v>2</v>
      </c>
      <c r="B10" s="706" t="s">
        <v>7586</v>
      </c>
      <c r="C10" s="631" t="s">
        <v>7581</v>
      </c>
      <c r="D10" s="631" t="s">
        <v>7587</v>
      </c>
      <c r="E10" s="631">
        <v>156.80000000000001</v>
      </c>
      <c r="F10" s="631">
        <v>800</v>
      </c>
      <c r="G10" s="631"/>
      <c r="H10" s="706"/>
      <c r="I10" s="706"/>
      <c r="J10" s="631" t="s">
        <v>7588</v>
      </c>
      <c r="K10" s="706" t="s">
        <v>7589</v>
      </c>
      <c r="L10" s="110"/>
      <c r="M10" s="110"/>
    </row>
    <row r="11" spans="1:13" ht="30">
      <c r="A11" s="689">
        <v>3</v>
      </c>
      <c r="B11" s="706" t="s">
        <v>7590</v>
      </c>
      <c r="C11" s="631" t="s">
        <v>7581</v>
      </c>
      <c r="D11" s="631" t="s">
        <v>7591</v>
      </c>
      <c r="E11" s="703">
        <v>88.89</v>
      </c>
      <c r="F11" s="703">
        <v>1115.9000000000001</v>
      </c>
      <c r="G11" s="703"/>
      <c r="H11" s="707"/>
      <c r="I11" s="706"/>
      <c r="J11" s="616" t="s">
        <v>7592</v>
      </c>
      <c r="K11" s="706" t="s">
        <v>7593</v>
      </c>
      <c r="L11" s="110"/>
      <c r="M11" s="110"/>
    </row>
    <row r="12" spans="1:13" ht="30">
      <c r="A12" s="689">
        <v>4</v>
      </c>
      <c r="B12" s="631" t="s">
        <v>7594</v>
      </c>
      <c r="C12" s="631" t="s">
        <v>7581</v>
      </c>
      <c r="D12" s="702" t="s">
        <v>7595</v>
      </c>
      <c r="E12" s="703">
        <v>200</v>
      </c>
      <c r="F12" s="703">
        <v>3400</v>
      </c>
      <c r="G12" s="704"/>
      <c r="H12" s="705"/>
      <c r="I12" s="613"/>
      <c r="J12" s="637" t="s">
        <v>7596</v>
      </c>
      <c r="K12" s="611" t="s">
        <v>7597</v>
      </c>
      <c r="L12" s="110"/>
      <c r="M12" s="110"/>
    </row>
    <row r="13" spans="1:13" ht="30">
      <c r="A13" s="689">
        <v>5</v>
      </c>
      <c r="B13" s="706" t="s">
        <v>7598</v>
      </c>
      <c r="C13" s="631" t="s">
        <v>7581</v>
      </c>
      <c r="D13" s="631" t="s">
        <v>7599</v>
      </c>
      <c r="E13" s="703">
        <v>70</v>
      </c>
      <c r="F13" s="703">
        <v>1200</v>
      </c>
      <c r="G13" s="703"/>
      <c r="H13" s="707"/>
      <c r="I13" s="706"/>
      <c r="J13" s="616" t="s">
        <v>7596</v>
      </c>
      <c r="K13" s="706" t="s">
        <v>7597</v>
      </c>
      <c r="L13" s="110"/>
      <c r="M13" s="110"/>
    </row>
    <row r="14" spans="1:13" ht="30">
      <c r="A14" s="689">
        <v>6</v>
      </c>
      <c r="B14" s="706" t="s">
        <v>7598</v>
      </c>
      <c r="C14" s="631" t="s">
        <v>7581</v>
      </c>
      <c r="D14" s="631" t="s">
        <v>7600</v>
      </c>
      <c r="E14" s="703">
        <v>126</v>
      </c>
      <c r="F14" s="703">
        <v>1500</v>
      </c>
      <c r="G14" s="703"/>
      <c r="H14" s="707"/>
      <c r="I14" s="706"/>
      <c r="J14" s="616" t="s">
        <v>7596</v>
      </c>
      <c r="K14" s="706" t="s">
        <v>7597</v>
      </c>
      <c r="L14" s="110"/>
      <c r="M14" s="110"/>
    </row>
    <row r="15" spans="1:13" ht="45">
      <c r="A15" s="689">
        <v>7</v>
      </c>
      <c r="B15" s="631" t="s">
        <v>7601</v>
      </c>
      <c r="C15" s="631" t="s">
        <v>7581</v>
      </c>
      <c r="D15" s="702" t="s">
        <v>7582</v>
      </c>
      <c r="E15" s="703">
        <v>106</v>
      </c>
      <c r="F15" s="703">
        <v>800</v>
      </c>
      <c r="G15" s="704"/>
      <c r="H15" s="705"/>
      <c r="I15" s="613"/>
      <c r="J15" s="637" t="s">
        <v>7602</v>
      </c>
      <c r="K15" s="611" t="s">
        <v>7603</v>
      </c>
      <c r="L15" s="110"/>
      <c r="M15" s="110"/>
    </row>
    <row r="16" spans="1:13" ht="30">
      <c r="A16" s="689">
        <v>8</v>
      </c>
      <c r="B16" s="631" t="s">
        <v>7604</v>
      </c>
      <c r="C16" s="631" t="s">
        <v>7581</v>
      </c>
      <c r="D16" s="702" t="s">
        <v>7582</v>
      </c>
      <c r="E16" s="703">
        <v>135.69999999999999</v>
      </c>
      <c r="F16" s="703">
        <v>625</v>
      </c>
      <c r="G16" s="704"/>
      <c r="H16" s="705"/>
      <c r="I16" s="613"/>
      <c r="J16" s="637">
        <v>26001002376</v>
      </c>
      <c r="K16" s="611" t="s">
        <v>7605</v>
      </c>
      <c r="L16" s="110"/>
      <c r="M16" s="110"/>
    </row>
    <row r="17" spans="1:13" ht="30">
      <c r="A17" s="689">
        <v>9</v>
      </c>
      <c r="B17" s="631" t="s">
        <v>7606</v>
      </c>
      <c r="C17" s="631" t="s">
        <v>7581</v>
      </c>
      <c r="D17" s="702" t="s">
        <v>7582</v>
      </c>
      <c r="E17" s="703">
        <v>219</v>
      </c>
      <c r="F17" s="703">
        <v>800</v>
      </c>
      <c r="G17" s="704"/>
      <c r="H17" s="705"/>
      <c r="I17" s="613"/>
      <c r="J17" s="637" t="s">
        <v>7607</v>
      </c>
      <c r="K17" s="611" t="s">
        <v>7608</v>
      </c>
      <c r="L17" s="110"/>
      <c r="M17" s="110"/>
    </row>
    <row r="18" spans="1:13" ht="30">
      <c r="A18" s="689">
        <v>10</v>
      </c>
      <c r="B18" s="631" t="s">
        <v>7609</v>
      </c>
      <c r="C18" s="631" t="s">
        <v>7581</v>
      </c>
      <c r="D18" s="702" t="s">
        <v>7582</v>
      </c>
      <c r="E18" s="703">
        <v>100.2</v>
      </c>
      <c r="F18" s="703">
        <v>625</v>
      </c>
      <c r="G18" s="704"/>
      <c r="H18" s="705"/>
      <c r="I18" s="613"/>
      <c r="J18" s="637" t="s">
        <v>7610</v>
      </c>
      <c r="K18" s="611" t="s">
        <v>7611</v>
      </c>
      <c r="L18" s="110"/>
      <c r="M18" s="110"/>
    </row>
    <row r="19" spans="1:13" ht="15">
      <c r="A19" s="780">
        <v>11</v>
      </c>
      <c r="B19" s="782" t="s">
        <v>7612</v>
      </c>
      <c r="C19" s="782" t="s">
        <v>7581</v>
      </c>
      <c r="D19" s="784" t="s">
        <v>7582</v>
      </c>
      <c r="E19" s="778">
        <v>87.1</v>
      </c>
      <c r="F19" s="703">
        <v>400</v>
      </c>
      <c r="G19" s="704"/>
      <c r="H19" s="705"/>
      <c r="I19" s="613"/>
      <c r="J19" s="637" t="s">
        <v>7613</v>
      </c>
      <c r="K19" s="611" t="s">
        <v>7614</v>
      </c>
      <c r="L19" s="110"/>
      <c r="M19" s="110"/>
    </row>
    <row r="20" spans="1:13" ht="15">
      <c r="A20" s="781"/>
      <c r="B20" s="783"/>
      <c r="C20" s="783"/>
      <c r="D20" s="785"/>
      <c r="E20" s="779"/>
      <c r="F20" s="703">
        <v>400</v>
      </c>
      <c r="G20" s="704"/>
      <c r="H20" s="705"/>
      <c r="I20" s="613"/>
      <c r="J20" s="637" t="s">
        <v>7615</v>
      </c>
      <c r="K20" s="611" t="s">
        <v>7616</v>
      </c>
      <c r="L20" s="110"/>
      <c r="M20" s="110"/>
    </row>
    <row r="21" spans="1:13" ht="45">
      <c r="A21" s="689">
        <v>12</v>
      </c>
      <c r="B21" s="631" t="s">
        <v>7617</v>
      </c>
      <c r="C21" s="631" t="s">
        <v>7581</v>
      </c>
      <c r="D21" s="702" t="s">
        <v>7582</v>
      </c>
      <c r="E21" s="703">
        <v>110</v>
      </c>
      <c r="F21" s="703">
        <v>800</v>
      </c>
      <c r="G21" s="704"/>
      <c r="H21" s="705"/>
      <c r="I21" s="613"/>
      <c r="J21" s="637">
        <v>47001000294</v>
      </c>
      <c r="K21" s="611" t="s">
        <v>7618</v>
      </c>
      <c r="L21" s="110"/>
      <c r="M21" s="110"/>
    </row>
    <row r="22" spans="1:13" ht="15">
      <c r="A22" s="780">
        <v>13</v>
      </c>
      <c r="B22" s="782" t="s">
        <v>7619</v>
      </c>
      <c r="C22" s="782" t="s">
        <v>7581</v>
      </c>
      <c r="D22" s="784" t="s">
        <v>7582</v>
      </c>
      <c r="E22" s="778">
        <v>140.9</v>
      </c>
      <c r="F22" s="703">
        <v>250</v>
      </c>
      <c r="G22" s="704"/>
      <c r="H22" s="705"/>
      <c r="I22" s="613"/>
      <c r="J22" s="637">
        <v>62007000585</v>
      </c>
      <c r="K22" s="611" t="s">
        <v>7620</v>
      </c>
      <c r="L22" s="110"/>
      <c r="M22" s="110"/>
    </row>
    <row r="23" spans="1:13" ht="15">
      <c r="A23" s="781"/>
      <c r="B23" s="783"/>
      <c r="C23" s="783"/>
      <c r="D23" s="785"/>
      <c r="E23" s="779"/>
      <c r="F23" s="703">
        <v>250</v>
      </c>
      <c r="G23" s="704"/>
      <c r="H23" s="705"/>
      <c r="I23" s="613"/>
      <c r="J23" s="637" t="s">
        <v>7621</v>
      </c>
      <c r="K23" s="611" t="s">
        <v>7622</v>
      </c>
      <c r="L23" s="110"/>
      <c r="M23" s="110"/>
    </row>
    <row r="24" spans="1:13" ht="30">
      <c r="A24" s="688">
        <v>14</v>
      </c>
      <c r="B24" s="706" t="s">
        <v>7623</v>
      </c>
      <c r="C24" s="631" t="s">
        <v>7581</v>
      </c>
      <c r="D24" s="631" t="s">
        <v>7624</v>
      </c>
      <c r="E24" s="703">
        <v>100</v>
      </c>
      <c r="F24" s="703">
        <v>625</v>
      </c>
      <c r="G24" s="703"/>
      <c r="H24" s="707"/>
      <c r="I24" s="706"/>
      <c r="J24" s="703">
        <v>230030613</v>
      </c>
      <c r="K24" s="706" t="s">
        <v>7625</v>
      </c>
      <c r="L24" s="110"/>
      <c r="M24" s="110"/>
    </row>
    <row r="25" spans="1:13" ht="30">
      <c r="A25" s="689">
        <v>15</v>
      </c>
      <c r="B25" s="631" t="s">
        <v>7626</v>
      </c>
      <c r="C25" s="631" t="s">
        <v>7581</v>
      </c>
      <c r="D25" s="702" t="s">
        <v>7582</v>
      </c>
      <c r="E25" s="703">
        <v>46</v>
      </c>
      <c r="F25" s="703">
        <v>375</v>
      </c>
      <c r="G25" s="704"/>
      <c r="H25" s="705"/>
      <c r="I25" s="613"/>
      <c r="J25" s="637" t="s">
        <v>7627</v>
      </c>
      <c r="K25" s="611" t="s">
        <v>7628</v>
      </c>
      <c r="L25" s="110"/>
      <c r="M25" s="110"/>
    </row>
    <row r="26" spans="1:13" ht="30">
      <c r="A26" s="689">
        <v>16</v>
      </c>
      <c r="B26" s="631" t="s">
        <v>7629</v>
      </c>
      <c r="C26" s="631" t="s">
        <v>7581</v>
      </c>
      <c r="D26" s="702" t="s">
        <v>7582</v>
      </c>
      <c r="E26" s="703">
        <v>90</v>
      </c>
      <c r="F26" s="703">
        <v>500</v>
      </c>
      <c r="G26" s="704"/>
      <c r="H26" s="705"/>
      <c r="I26" s="613"/>
      <c r="J26" s="637">
        <v>53001007238</v>
      </c>
      <c r="K26" s="611" t="s">
        <v>7630</v>
      </c>
      <c r="L26" s="110"/>
      <c r="M26" s="110"/>
    </row>
    <row r="27" spans="1:13" ht="30">
      <c r="A27" s="688">
        <v>17</v>
      </c>
      <c r="B27" s="706" t="s">
        <v>7631</v>
      </c>
      <c r="C27" s="631" t="s">
        <v>7581</v>
      </c>
      <c r="D27" s="631" t="s">
        <v>7632</v>
      </c>
      <c r="E27" s="703">
        <v>200.5</v>
      </c>
      <c r="F27" s="703">
        <v>550</v>
      </c>
      <c r="G27" s="703"/>
      <c r="H27" s="707"/>
      <c r="I27" s="706"/>
      <c r="J27" s="616" t="s">
        <v>7633</v>
      </c>
      <c r="K27" s="706" t="s">
        <v>7634</v>
      </c>
      <c r="L27" s="110"/>
      <c r="M27" s="110"/>
    </row>
    <row r="28" spans="1:13" ht="30">
      <c r="A28" s="689">
        <v>18</v>
      </c>
      <c r="B28" s="631" t="s">
        <v>7635</v>
      </c>
      <c r="C28" s="631" t="s">
        <v>7581</v>
      </c>
      <c r="D28" s="702" t="s">
        <v>7582</v>
      </c>
      <c r="E28" s="703">
        <v>161</v>
      </c>
      <c r="F28" s="703">
        <v>625</v>
      </c>
      <c r="G28" s="704"/>
      <c r="H28" s="705"/>
      <c r="I28" s="613"/>
      <c r="J28" s="637" t="s">
        <v>7636</v>
      </c>
      <c r="K28" s="611" t="s">
        <v>7637</v>
      </c>
      <c r="L28" s="110"/>
      <c r="M28" s="110"/>
    </row>
    <row r="29" spans="1:13" ht="30">
      <c r="A29" s="689">
        <v>19</v>
      </c>
      <c r="B29" s="631" t="s">
        <v>7638</v>
      </c>
      <c r="C29" s="631" t="s">
        <v>7581</v>
      </c>
      <c r="D29" s="702" t="s">
        <v>7639</v>
      </c>
      <c r="E29" s="703">
        <v>72</v>
      </c>
      <c r="F29" s="703">
        <v>1250</v>
      </c>
      <c r="G29" s="704"/>
      <c r="H29" s="705"/>
      <c r="I29" s="613"/>
      <c r="J29" s="637" t="s">
        <v>7640</v>
      </c>
      <c r="K29" s="611" t="s">
        <v>7641</v>
      </c>
      <c r="L29" s="110"/>
      <c r="M29" s="110"/>
    </row>
    <row r="30" spans="1:13" ht="30">
      <c r="A30" s="688">
        <v>20</v>
      </c>
      <c r="B30" s="706" t="s">
        <v>7638</v>
      </c>
      <c r="C30" s="631" t="s">
        <v>7581</v>
      </c>
      <c r="D30" s="631" t="s">
        <v>7632</v>
      </c>
      <c r="E30" s="703">
        <v>72</v>
      </c>
      <c r="F30" s="703">
        <v>625</v>
      </c>
      <c r="G30" s="703"/>
      <c r="H30" s="707"/>
      <c r="I30" s="706"/>
      <c r="J30" s="616" t="s">
        <v>7640</v>
      </c>
      <c r="K30" s="706" t="s">
        <v>7641</v>
      </c>
      <c r="L30" s="110"/>
      <c r="M30" s="110"/>
    </row>
    <row r="31" spans="1:13" ht="30">
      <c r="A31" s="689">
        <v>21</v>
      </c>
      <c r="B31" s="706" t="s">
        <v>7642</v>
      </c>
      <c r="C31" s="631" t="s">
        <v>7581</v>
      </c>
      <c r="D31" s="631" t="s">
        <v>7632</v>
      </c>
      <c r="E31" s="703">
        <v>109.86</v>
      </c>
      <c r="F31" s="703">
        <v>2231.8000000000002</v>
      </c>
      <c r="G31" s="704" t="s">
        <v>7643</v>
      </c>
      <c r="H31" s="707" t="s">
        <v>3895</v>
      </c>
      <c r="I31" s="706" t="s">
        <v>7644</v>
      </c>
      <c r="J31" s="708"/>
      <c r="K31" s="706"/>
      <c r="L31" s="110"/>
      <c r="M31" s="110"/>
    </row>
    <row r="32" spans="1:13" ht="30">
      <c r="A32" s="689">
        <v>22</v>
      </c>
      <c r="B32" s="631" t="s">
        <v>7645</v>
      </c>
      <c r="C32" s="631" t="s">
        <v>7581</v>
      </c>
      <c r="D32" s="702" t="s">
        <v>7646</v>
      </c>
      <c r="E32" s="703">
        <v>60</v>
      </c>
      <c r="F32" s="703">
        <v>800</v>
      </c>
      <c r="G32" s="704"/>
      <c r="H32" s="705"/>
      <c r="I32" s="613"/>
      <c r="J32" s="637" t="s">
        <v>7647</v>
      </c>
      <c r="K32" s="611" t="s">
        <v>7648</v>
      </c>
      <c r="L32" s="110"/>
      <c r="M32" s="110"/>
    </row>
    <row r="33" spans="1:13" ht="30">
      <c r="A33" s="688">
        <v>23</v>
      </c>
      <c r="B33" s="706" t="s">
        <v>7645</v>
      </c>
      <c r="C33" s="631" t="s">
        <v>7581</v>
      </c>
      <c r="D33" s="631" t="s">
        <v>7591</v>
      </c>
      <c r="E33" s="703">
        <v>60</v>
      </c>
      <c r="F33" s="703">
        <v>625</v>
      </c>
      <c r="G33" s="703"/>
      <c r="H33" s="707"/>
      <c r="I33" s="706"/>
      <c r="J33" s="704" t="s">
        <v>7647</v>
      </c>
      <c r="K33" s="706" t="s">
        <v>7648</v>
      </c>
      <c r="L33" s="110"/>
      <c r="M33" s="110"/>
    </row>
    <row r="34" spans="1:13" ht="30">
      <c r="A34" s="688">
        <v>24</v>
      </c>
      <c r="B34" s="631" t="s">
        <v>7649</v>
      </c>
      <c r="C34" s="631" t="s">
        <v>7581</v>
      </c>
      <c r="D34" s="702" t="s">
        <v>7595</v>
      </c>
      <c r="E34" s="703">
        <v>1000</v>
      </c>
      <c r="F34" s="703">
        <v>34792.5</v>
      </c>
      <c r="G34" s="704"/>
      <c r="H34" s="705"/>
      <c r="I34" s="613"/>
      <c r="J34" s="637" t="s">
        <v>7650</v>
      </c>
      <c r="K34" s="611" t="s">
        <v>7651</v>
      </c>
      <c r="L34" s="110"/>
      <c r="M34" s="110"/>
    </row>
    <row r="35" spans="1:13" ht="30">
      <c r="A35" s="689">
        <v>25</v>
      </c>
      <c r="B35" s="706" t="s">
        <v>7649</v>
      </c>
      <c r="C35" s="631" t="s">
        <v>7581</v>
      </c>
      <c r="D35" s="631" t="s">
        <v>7595</v>
      </c>
      <c r="E35" s="703">
        <v>190</v>
      </c>
      <c r="F35" s="703">
        <v>6360.63</v>
      </c>
      <c r="G35" s="703"/>
      <c r="H35" s="707"/>
      <c r="I35" s="706"/>
      <c r="J35" s="704" t="s">
        <v>7650</v>
      </c>
      <c r="K35" s="706" t="s">
        <v>7651</v>
      </c>
      <c r="L35" s="110"/>
      <c r="M35" s="110"/>
    </row>
    <row r="36" spans="1:13" ht="30">
      <c r="A36" s="689">
        <v>26</v>
      </c>
      <c r="B36" s="631" t="s">
        <v>7652</v>
      </c>
      <c r="C36" s="631" t="s">
        <v>7581</v>
      </c>
      <c r="D36" s="702" t="s">
        <v>7653</v>
      </c>
      <c r="E36" s="703">
        <v>90</v>
      </c>
      <c r="F36" s="703">
        <v>625</v>
      </c>
      <c r="G36" s="704"/>
      <c r="H36" s="705"/>
      <c r="I36" s="613"/>
      <c r="J36" s="637" t="s">
        <v>7654</v>
      </c>
      <c r="K36" s="611" t="s">
        <v>7655</v>
      </c>
      <c r="L36" s="110"/>
      <c r="M36" s="110"/>
    </row>
    <row r="37" spans="1:13" ht="30">
      <c r="A37" s="688">
        <v>27</v>
      </c>
      <c r="B37" s="706" t="s">
        <v>7652</v>
      </c>
      <c r="C37" s="631" t="s">
        <v>7581</v>
      </c>
      <c r="D37" s="631" t="s">
        <v>7656</v>
      </c>
      <c r="E37" s="703">
        <v>50</v>
      </c>
      <c r="F37" s="703">
        <v>300</v>
      </c>
      <c r="G37" s="703"/>
      <c r="H37" s="707"/>
      <c r="I37" s="706"/>
      <c r="J37" s="704" t="s">
        <v>7654</v>
      </c>
      <c r="K37" s="706" t="s">
        <v>7655</v>
      </c>
      <c r="L37" s="110"/>
      <c r="M37" s="110"/>
    </row>
    <row r="38" spans="1:13" ht="30">
      <c r="A38" s="689">
        <v>28</v>
      </c>
      <c r="B38" s="706" t="s">
        <v>7657</v>
      </c>
      <c r="C38" s="631" t="s">
        <v>7581</v>
      </c>
      <c r="D38" s="631" t="s">
        <v>7591</v>
      </c>
      <c r="E38" s="631">
        <v>93.1</v>
      </c>
      <c r="F38" s="631">
        <v>500</v>
      </c>
      <c r="G38" s="631">
        <v>36001032382</v>
      </c>
      <c r="H38" s="707" t="s">
        <v>7658</v>
      </c>
      <c r="I38" s="706" t="s">
        <v>7659</v>
      </c>
      <c r="J38" s="709"/>
      <c r="K38" s="706"/>
      <c r="L38" s="110"/>
      <c r="M38" s="110"/>
    </row>
    <row r="39" spans="1:13" ht="30">
      <c r="A39" s="689">
        <v>29</v>
      </c>
      <c r="B39" s="631" t="s">
        <v>7660</v>
      </c>
      <c r="C39" s="631" t="s">
        <v>7581</v>
      </c>
      <c r="D39" s="702" t="s">
        <v>7582</v>
      </c>
      <c r="E39" s="703">
        <v>150</v>
      </c>
      <c r="F39" s="703">
        <v>300</v>
      </c>
      <c r="G39" s="704"/>
      <c r="H39" s="705"/>
      <c r="I39" s="613"/>
      <c r="J39" s="637" t="s">
        <v>7661</v>
      </c>
      <c r="K39" s="611" t="s">
        <v>7662</v>
      </c>
      <c r="L39" s="110"/>
      <c r="M39" s="110"/>
    </row>
    <row r="40" spans="1:13" ht="30">
      <c r="A40" s="688">
        <v>30</v>
      </c>
      <c r="B40" s="706" t="s">
        <v>7663</v>
      </c>
      <c r="C40" s="631" t="s">
        <v>7581</v>
      </c>
      <c r="D40" s="631" t="s">
        <v>7599</v>
      </c>
      <c r="E40" s="631">
        <v>45</v>
      </c>
      <c r="F40" s="631">
        <v>625</v>
      </c>
      <c r="G40" s="631"/>
      <c r="H40" s="706"/>
      <c r="I40" s="706"/>
      <c r="J40" s="631" t="s">
        <v>7664</v>
      </c>
      <c r="K40" s="706" t="s">
        <v>7665</v>
      </c>
      <c r="L40" s="110"/>
      <c r="M40" s="110"/>
    </row>
    <row r="41" spans="1:13" ht="30">
      <c r="A41" s="689">
        <v>31</v>
      </c>
      <c r="B41" s="706" t="s">
        <v>7666</v>
      </c>
      <c r="C41" s="631" t="s">
        <v>7581</v>
      </c>
      <c r="D41" s="631" t="s">
        <v>7656</v>
      </c>
      <c r="E41" s="703">
        <v>188.9</v>
      </c>
      <c r="F41" s="703">
        <v>1000</v>
      </c>
      <c r="G41" s="703"/>
      <c r="H41" s="707"/>
      <c r="I41" s="706"/>
      <c r="J41" s="704" t="s">
        <v>7667</v>
      </c>
      <c r="K41" s="706" t="s">
        <v>7668</v>
      </c>
      <c r="L41" s="110"/>
      <c r="M41" s="110"/>
    </row>
    <row r="42" spans="1:13" ht="30">
      <c r="A42" s="689">
        <v>32</v>
      </c>
      <c r="B42" s="631" t="s">
        <v>7669</v>
      </c>
      <c r="C42" s="631" t="s">
        <v>7581</v>
      </c>
      <c r="D42" s="702" t="s">
        <v>7582</v>
      </c>
      <c r="E42" s="703">
        <v>95</v>
      </c>
      <c r="F42" s="703">
        <v>550</v>
      </c>
      <c r="G42" s="704"/>
      <c r="H42" s="705"/>
      <c r="I42" s="613"/>
      <c r="J42" s="637" t="s">
        <v>7670</v>
      </c>
      <c r="K42" s="611" t="s">
        <v>7671</v>
      </c>
      <c r="L42" s="110"/>
      <c r="M42" s="110"/>
    </row>
    <row r="43" spans="1:13" ht="45">
      <c r="A43" s="688">
        <v>33</v>
      </c>
      <c r="B43" s="631" t="s">
        <v>7672</v>
      </c>
      <c r="C43" s="631" t="s">
        <v>7581</v>
      </c>
      <c r="D43" s="702" t="s">
        <v>7639</v>
      </c>
      <c r="E43" s="703">
        <v>289.39999999999998</v>
      </c>
      <c r="F43" s="703">
        <v>2000</v>
      </c>
      <c r="G43" s="704"/>
      <c r="H43" s="705"/>
      <c r="I43" s="613"/>
      <c r="J43" s="637" t="s">
        <v>3141</v>
      </c>
      <c r="K43" s="611" t="s">
        <v>7673</v>
      </c>
      <c r="L43" s="110"/>
      <c r="M43" s="110"/>
    </row>
    <row r="44" spans="1:13" ht="45">
      <c r="A44" s="688">
        <v>34</v>
      </c>
      <c r="B44" s="631" t="s">
        <v>7672</v>
      </c>
      <c r="C44" s="631" t="s">
        <v>7581</v>
      </c>
      <c r="D44" s="702" t="s">
        <v>7632</v>
      </c>
      <c r="E44" s="703">
        <v>570.20000000000005</v>
      </c>
      <c r="F44" s="703">
        <v>2500</v>
      </c>
      <c r="G44" s="704"/>
      <c r="H44" s="705"/>
      <c r="I44" s="613"/>
      <c r="J44" s="637" t="s">
        <v>3141</v>
      </c>
      <c r="K44" s="611" t="s">
        <v>7673</v>
      </c>
      <c r="L44" s="110"/>
      <c r="M44" s="110"/>
    </row>
    <row r="45" spans="1:13" ht="30">
      <c r="A45" s="689">
        <v>35</v>
      </c>
      <c r="B45" s="631" t="s">
        <v>7674</v>
      </c>
      <c r="C45" s="631" t="s">
        <v>7581</v>
      </c>
      <c r="D45" s="702" t="s">
        <v>7582</v>
      </c>
      <c r="E45" s="703">
        <v>119.8</v>
      </c>
      <c r="F45" s="703">
        <v>800</v>
      </c>
      <c r="G45" s="704"/>
      <c r="H45" s="705"/>
      <c r="I45" s="613"/>
      <c r="J45" s="637" t="s">
        <v>7675</v>
      </c>
      <c r="K45" s="611" t="s">
        <v>7676</v>
      </c>
      <c r="L45" s="110"/>
      <c r="M45" s="110"/>
    </row>
    <row r="46" spans="1:13" ht="30">
      <c r="A46" s="689">
        <v>36</v>
      </c>
      <c r="B46" s="631" t="s">
        <v>7677</v>
      </c>
      <c r="C46" s="631" t="s">
        <v>7581</v>
      </c>
      <c r="D46" s="702" t="s">
        <v>7678</v>
      </c>
      <c r="E46" s="703">
        <v>91</v>
      </c>
      <c r="F46" s="703">
        <v>1250</v>
      </c>
      <c r="G46" s="704"/>
      <c r="H46" s="705"/>
      <c r="I46" s="613"/>
      <c r="J46" s="637" t="s">
        <v>7679</v>
      </c>
      <c r="K46" s="611" t="s">
        <v>7680</v>
      </c>
      <c r="L46" s="110"/>
      <c r="M46" s="110"/>
    </row>
    <row r="47" spans="1:13" ht="45">
      <c r="A47" s="688">
        <v>37</v>
      </c>
      <c r="B47" s="706" t="s">
        <v>7681</v>
      </c>
      <c r="C47" s="631" t="s">
        <v>7581</v>
      </c>
      <c r="D47" s="631" t="s">
        <v>7632</v>
      </c>
      <c r="E47" s="631">
        <v>88.21</v>
      </c>
      <c r="F47" s="631">
        <v>1000</v>
      </c>
      <c r="G47" s="704"/>
      <c r="H47" s="710"/>
      <c r="I47" s="705"/>
      <c r="J47" s="688">
        <v>61004018088</v>
      </c>
      <c r="K47" s="711" t="s">
        <v>7682</v>
      </c>
      <c r="L47" s="110"/>
      <c r="M47" s="110"/>
    </row>
    <row r="48" spans="1:13" ht="45">
      <c r="A48" s="689">
        <v>38</v>
      </c>
      <c r="B48" s="631" t="s">
        <v>7683</v>
      </c>
      <c r="C48" s="631" t="s">
        <v>7581</v>
      </c>
      <c r="D48" s="702" t="s">
        <v>7639</v>
      </c>
      <c r="E48" s="703">
        <v>120</v>
      </c>
      <c r="F48" s="703">
        <v>875</v>
      </c>
      <c r="G48" s="704"/>
      <c r="H48" s="705"/>
      <c r="I48" s="613"/>
      <c r="J48" s="637" t="s">
        <v>7684</v>
      </c>
      <c r="K48" s="611" t="s">
        <v>7685</v>
      </c>
      <c r="L48" s="110"/>
      <c r="M48" s="110"/>
    </row>
    <row r="49" spans="1:13" ht="30">
      <c r="A49" s="689">
        <v>39</v>
      </c>
      <c r="B49" s="631" t="s">
        <v>7686</v>
      </c>
      <c r="C49" s="631" t="s">
        <v>7581</v>
      </c>
      <c r="D49" s="702" t="s">
        <v>7653</v>
      </c>
      <c r="E49" s="703">
        <v>650</v>
      </c>
      <c r="F49" s="703">
        <v>1875</v>
      </c>
      <c r="G49" s="704"/>
      <c r="H49" s="705"/>
      <c r="I49" s="613"/>
      <c r="J49" s="637" t="s">
        <v>7687</v>
      </c>
      <c r="K49" s="611" t="s">
        <v>7688</v>
      </c>
      <c r="L49" s="110"/>
      <c r="M49" s="110"/>
    </row>
    <row r="50" spans="1:13" ht="15">
      <c r="A50" s="780">
        <v>40</v>
      </c>
      <c r="B50" s="782" t="s">
        <v>7689</v>
      </c>
      <c r="C50" s="782" t="s">
        <v>7581</v>
      </c>
      <c r="D50" s="784" t="s">
        <v>7639</v>
      </c>
      <c r="E50" s="778">
        <v>331.82</v>
      </c>
      <c r="F50" s="703">
        <v>1779.18</v>
      </c>
      <c r="G50" s="704"/>
      <c r="H50" s="705"/>
      <c r="I50" s="613"/>
      <c r="J50" s="637" t="s">
        <v>7690</v>
      </c>
      <c r="K50" s="611" t="s">
        <v>7691</v>
      </c>
      <c r="L50" s="110"/>
      <c r="M50" s="110"/>
    </row>
    <row r="51" spans="1:13" ht="15">
      <c r="A51" s="781"/>
      <c r="B51" s="783"/>
      <c r="C51" s="783"/>
      <c r="D51" s="785"/>
      <c r="E51" s="779"/>
      <c r="F51" s="703">
        <v>1779.18</v>
      </c>
      <c r="G51" s="704"/>
      <c r="H51" s="705"/>
      <c r="I51" s="613"/>
      <c r="J51" s="637" t="s">
        <v>7692</v>
      </c>
      <c r="K51" s="611" t="s">
        <v>7693</v>
      </c>
      <c r="L51" s="110"/>
      <c r="M51" s="110"/>
    </row>
    <row r="52" spans="1:13" ht="30">
      <c r="A52" s="689">
        <v>41</v>
      </c>
      <c r="B52" s="631" t="s">
        <v>7694</v>
      </c>
      <c r="C52" s="631" t="s">
        <v>7581</v>
      </c>
      <c r="D52" s="702" t="s">
        <v>7624</v>
      </c>
      <c r="E52" s="703">
        <v>327.14999999999998</v>
      </c>
      <c r="F52" s="703">
        <v>2000</v>
      </c>
      <c r="G52" s="704"/>
      <c r="H52" s="705"/>
      <c r="I52" s="613"/>
      <c r="J52" s="637" t="s">
        <v>7695</v>
      </c>
      <c r="K52" s="611" t="s">
        <v>7696</v>
      </c>
      <c r="L52" s="110"/>
      <c r="M52" s="110"/>
    </row>
    <row r="53" spans="1:13" ht="30">
      <c r="A53" s="689">
        <v>42</v>
      </c>
      <c r="B53" s="706" t="s">
        <v>7697</v>
      </c>
      <c r="C53" s="631" t="s">
        <v>7581</v>
      </c>
      <c r="D53" s="631" t="s">
        <v>7698</v>
      </c>
      <c r="E53" s="703">
        <v>22.08</v>
      </c>
      <c r="F53" s="703">
        <v>375</v>
      </c>
      <c r="G53" s="703"/>
      <c r="H53" s="710"/>
      <c r="I53" s="705"/>
      <c r="J53" s="708" t="s">
        <v>7699</v>
      </c>
      <c r="K53" s="706" t="s">
        <v>7700</v>
      </c>
      <c r="L53" s="110"/>
      <c r="M53" s="110"/>
    </row>
    <row r="54" spans="1:13" ht="30">
      <c r="A54" s="689">
        <v>43</v>
      </c>
      <c r="B54" s="631" t="s">
        <v>7701</v>
      </c>
      <c r="C54" s="631" t="s">
        <v>7581</v>
      </c>
      <c r="D54" s="702" t="s">
        <v>7653</v>
      </c>
      <c r="E54" s="703">
        <v>218.1</v>
      </c>
      <c r="F54" s="690">
        <v>4105.5150000000003</v>
      </c>
      <c r="G54" s="704"/>
      <c r="H54" s="705"/>
      <c r="I54" s="613"/>
      <c r="J54" s="637" t="s">
        <v>7702</v>
      </c>
      <c r="K54" s="611" t="s">
        <v>7703</v>
      </c>
      <c r="L54" s="110"/>
      <c r="M54" s="110"/>
    </row>
    <row r="55" spans="1:13" ht="30">
      <c r="A55" s="689">
        <v>44</v>
      </c>
      <c r="B55" s="631" t="s">
        <v>7704</v>
      </c>
      <c r="C55" s="631" t="s">
        <v>7581</v>
      </c>
      <c r="D55" s="702" t="s">
        <v>7632</v>
      </c>
      <c r="E55" s="703">
        <v>122</v>
      </c>
      <c r="F55" s="703">
        <v>750</v>
      </c>
      <c r="G55" s="704"/>
      <c r="H55" s="705"/>
      <c r="I55" s="613"/>
      <c r="J55" s="637">
        <v>225063123</v>
      </c>
      <c r="K55" s="611" t="s">
        <v>7705</v>
      </c>
      <c r="L55" s="110"/>
      <c r="M55" s="110"/>
    </row>
    <row r="56" spans="1:13" ht="30">
      <c r="A56" s="689">
        <v>45</v>
      </c>
      <c r="B56" s="706" t="s">
        <v>7704</v>
      </c>
      <c r="C56" s="631" t="s">
        <v>7581</v>
      </c>
      <c r="D56" s="631" t="s">
        <v>7595</v>
      </c>
      <c r="E56" s="703">
        <v>70</v>
      </c>
      <c r="F56" s="703">
        <v>500</v>
      </c>
      <c r="G56" s="703"/>
      <c r="H56" s="707"/>
      <c r="I56" s="706"/>
      <c r="J56" s="703">
        <v>225063123</v>
      </c>
      <c r="K56" s="706" t="s">
        <v>7705</v>
      </c>
      <c r="L56" s="110"/>
      <c r="M56" s="110"/>
    </row>
    <row r="57" spans="1:13" ht="45">
      <c r="A57" s="689">
        <v>46</v>
      </c>
      <c r="B57" s="631" t="s">
        <v>7706</v>
      </c>
      <c r="C57" s="631" t="s">
        <v>7581</v>
      </c>
      <c r="D57" s="702" t="s">
        <v>7595</v>
      </c>
      <c r="E57" s="703">
        <v>91</v>
      </c>
      <c r="F57" s="703">
        <v>1250</v>
      </c>
      <c r="G57" s="704"/>
      <c r="H57" s="705"/>
      <c r="I57" s="613"/>
      <c r="J57" s="637" t="s">
        <v>7707</v>
      </c>
      <c r="K57" s="611" t="s">
        <v>7708</v>
      </c>
      <c r="L57" s="110"/>
      <c r="M57" s="110"/>
    </row>
    <row r="58" spans="1:13" ht="30">
      <c r="A58" s="689">
        <v>47</v>
      </c>
      <c r="B58" s="631" t="s">
        <v>7649</v>
      </c>
      <c r="C58" s="631" t="s">
        <v>7581</v>
      </c>
      <c r="D58" s="702" t="s">
        <v>7599</v>
      </c>
      <c r="E58" s="703">
        <v>200</v>
      </c>
      <c r="F58" s="703">
        <v>6958.5</v>
      </c>
      <c r="G58" s="704"/>
      <c r="H58" s="705"/>
      <c r="I58" s="613"/>
      <c r="J58" s="637" t="s">
        <v>7709</v>
      </c>
      <c r="K58" s="611" t="s">
        <v>7710</v>
      </c>
      <c r="L58" s="110"/>
      <c r="M58" s="110"/>
    </row>
    <row r="59" spans="1:13" ht="45">
      <c r="A59" s="689">
        <v>48</v>
      </c>
      <c r="B59" s="631" t="s">
        <v>7711</v>
      </c>
      <c r="C59" s="631" t="s">
        <v>7581</v>
      </c>
      <c r="D59" s="702" t="s">
        <v>7595</v>
      </c>
      <c r="E59" s="703">
        <v>206.94</v>
      </c>
      <c r="F59" s="703">
        <v>1875</v>
      </c>
      <c r="G59" s="704"/>
      <c r="H59" s="705"/>
      <c r="I59" s="613"/>
      <c r="J59" s="637" t="s">
        <v>7712</v>
      </c>
      <c r="K59" s="611" t="s">
        <v>7713</v>
      </c>
      <c r="L59" s="110"/>
      <c r="M59" s="110"/>
    </row>
    <row r="60" spans="1:13" ht="30">
      <c r="A60" s="689">
        <v>49</v>
      </c>
      <c r="B60" s="631" t="s">
        <v>7714</v>
      </c>
      <c r="C60" s="631" t="s">
        <v>7581</v>
      </c>
      <c r="D60" s="702" t="s">
        <v>7624</v>
      </c>
      <c r="E60" s="703">
        <v>150.21</v>
      </c>
      <c r="F60" s="703">
        <v>1500</v>
      </c>
      <c r="G60" s="704"/>
      <c r="H60" s="705"/>
      <c r="I60" s="613"/>
      <c r="J60" s="637" t="s">
        <v>7715</v>
      </c>
      <c r="K60" s="611" t="s">
        <v>7716</v>
      </c>
      <c r="L60" s="110"/>
      <c r="M60" s="110"/>
    </row>
    <row r="61" spans="1:13" ht="45">
      <c r="A61" s="689">
        <v>50</v>
      </c>
      <c r="B61" s="631" t="s">
        <v>7717</v>
      </c>
      <c r="C61" s="631" t="s">
        <v>7581</v>
      </c>
      <c r="D61" s="702" t="s">
        <v>7595</v>
      </c>
      <c r="E61" s="703">
        <v>364.1</v>
      </c>
      <c r="F61" s="703">
        <v>5334.85</v>
      </c>
      <c r="G61" s="704"/>
      <c r="H61" s="705"/>
      <c r="I61" s="613"/>
      <c r="J61" s="637" t="s">
        <v>7718</v>
      </c>
      <c r="K61" s="611" t="s">
        <v>7719</v>
      </c>
      <c r="L61" s="110"/>
      <c r="M61" s="110"/>
    </row>
    <row r="62" spans="1:13" ht="30">
      <c r="A62" s="689">
        <v>51</v>
      </c>
      <c r="B62" s="631" t="s">
        <v>7720</v>
      </c>
      <c r="C62" s="631" t="s">
        <v>7581</v>
      </c>
      <c r="D62" s="702" t="s">
        <v>7595</v>
      </c>
      <c r="E62" s="703">
        <v>184</v>
      </c>
      <c r="F62" s="703">
        <v>1800</v>
      </c>
      <c r="G62" s="704"/>
      <c r="H62" s="705"/>
      <c r="I62" s="613"/>
      <c r="J62" s="637" t="s">
        <v>7721</v>
      </c>
      <c r="K62" s="611" t="s">
        <v>7722</v>
      </c>
      <c r="L62" s="110"/>
      <c r="M62" s="110"/>
    </row>
    <row r="63" spans="1:13" ht="30">
      <c r="A63" s="689">
        <v>52</v>
      </c>
      <c r="B63" s="631" t="s">
        <v>7723</v>
      </c>
      <c r="C63" s="631" t="s">
        <v>7581</v>
      </c>
      <c r="D63" s="702" t="s">
        <v>7724</v>
      </c>
      <c r="E63" s="703">
        <v>200</v>
      </c>
      <c r="F63" s="703">
        <v>2000</v>
      </c>
      <c r="G63" s="704"/>
      <c r="H63" s="705"/>
      <c r="I63" s="613"/>
      <c r="J63" s="637" t="s">
        <v>7725</v>
      </c>
      <c r="K63" s="611" t="s">
        <v>7726</v>
      </c>
      <c r="L63" s="110"/>
      <c r="M63" s="110"/>
    </row>
    <row r="64" spans="1:13" ht="30">
      <c r="A64" s="689">
        <v>53</v>
      </c>
      <c r="B64" s="631" t="s">
        <v>7727</v>
      </c>
      <c r="C64" s="631" t="s">
        <v>7581</v>
      </c>
      <c r="D64" s="702" t="s">
        <v>7591</v>
      </c>
      <c r="E64" s="703">
        <v>20</v>
      </c>
      <c r="F64" s="703">
        <v>550</v>
      </c>
      <c r="G64" s="704"/>
      <c r="H64" s="705"/>
      <c r="I64" s="613"/>
      <c r="J64" s="637" t="s">
        <v>7728</v>
      </c>
      <c r="K64" s="611" t="s">
        <v>7729</v>
      </c>
      <c r="L64" s="110"/>
      <c r="M64" s="110"/>
    </row>
    <row r="65" spans="1:13" ht="60">
      <c r="A65" s="689">
        <v>54</v>
      </c>
      <c r="B65" s="631" t="s">
        <v>7730</v>
      </c>
      <c r="C65" s="631" t="s">
        <v>7581</v>
      </c>
      <c r="D65" s="702" t="s">
        <v>7724</v>
      </c>
      <c r="E65" s="703">
        <v>110.72</v>
      </c>
      <c r="F65" s="703">
        <v>2850</v>
      </c>
      <c r="G65" s="704"/>
      <c r="H65" s="705"/>
      <c r="I65" s="613"/>
      <c r="J65" s="637" t="s">
        <v>7731</v>
      </c>
      <c r="K65" s="611" t="s">
        <v>7732</v>
      </c>
      <c r="L65" s="110"/>
      <c r="M65" s="110"/>
    </row>
    <row r="66" spans="1:13" ht="30">
      <c r="A66" s="689">
        <v>55</v>
      </c>
      <c r="B66" s="631" t="s">
        <v>7733</v>
      </c>
      <c r="C66" s="631" t="s">
        <v>7581</v>
      </c>
      <c r="D66" s="702" t="s">
        <v>7734</v>
      </c>
      <c r="E66" s="703">
        <v>62.37</v>
      </c>
      <c r="F66" s="703">
        <v>475</v>
      </c>
      <c r="G66" s="704"/>
      <c r="H66" s="705"/>
      <c r="I66" s="613"/>
      <c r="J66" s="637" t="s">
        <v>7735</v>
      </c>
      <c r="K66" s="611" t="s">
        <v>7736</v>
      </c>
      <c r="L66" s="110"/>
      <c r="M66" s="110"/>
    </row>
    <row r="67" spans="1:13" ht="30">
      <c r="A67" s="689">
        <v>56</v>
      </c>
      <c r="B67" s="631" t="s">
        <v>7737</v>
      </c>
      <c r="C67" s="631" t="s">
        <v>7581</v>
      </c>
      <c r="D67" s="702" t="s">
        <v>7734</v>
      </c>
      <c r="E67" s="703">
        <v>464.66</v>
      </c>
      <c r="F67" s="703">
        <v>1875</v>
      </c>
      <c r="G67" s="704"/>
      <c r="H67" s="705"/>
      <c r="I67" s="613"/>
      <c r="J67" s="637" t="s">
        <v>7738</v>
      </c>
      <c r="K67" s="611" t="s">
        <v>7739</v>
      </c>
      <c r="L67" s="110"/>
      <c r="M67" s="110"/>
    </row>
    <row r="68" spans="1:13" ht="30">
      <c r="A68" s="689">
        <v>57</v>
      </c>
      <c r="B68" s="631" t="s">
        <v>7740</v>
      </c>
      <c r="C68" s="631" t="s">
        <v>7581</v>
      </c>
      <c r="D68" s="702" t="s">
        <v>7734</v>
      </c>
      <c r="E68" s="703">
        <v>35</v>
      </c>
      <c r="F68" s="703">
        <v>500</v>
      </c>
      <c r="G68" s="704"/>
      <c r="H68" s="705"/>
      <c r="I68" s="613"/>
      <c r="J68" s="637" t="s">
        <v>7741</v>
      </c>
      <c r="K68" s="611" t="s">
        <v>7742</v>
      </c>
      <c r="L68" s="110"/>
      <c r="M68" s="110"/>
    </row>
    <row r="69" spans="1:13" ht="30">
      <c r="A69" s="689">
        <v>58</v>
      </c>
      <c r="B69" s="631" t="s">
        <v>7743</v>
      </c>
      <c r="C69" s="631" t="s">
        <v>7581</v>
      </c>
      <c r="D69" s="702" t="s">
        <v>7734</v>
      </c>
      <c r="E69" s="703">
        <v>45.37</v>
      </c>
      <c r="F69" s="703">
        <v>200</v>
      </c>
      <c r="G69" s="704"/>
      <c r="H69" s="705"/>
      <c r="I69" s="613"/>
      <c r="J69" s="637" t="s">
        <v>7744</v>
      </c>
      <c r="K69" s="611" t="s">
        <v>7745</v>
      </c>
      <c r="L69" s="110"/>
      <c r="M69" s="110"/>
    </row>
    <row r="70" spans="1:13" ht="30">
      <c r="A70" s="689">
        <v>59</v>
      </c>
      <c r="B70" s="631" t="s">
        <v>7746</v>
      </c>
      <c r="C70" s="631" t="s">
        <v>7581</v>
      </c>
      <c r="D70" s="702" t="s">
        <v>7734</v>
      </c>
      <c r="E70" s="703">
        <v>43.37</v>
      </c>
      <c r="F70" s="703">
        <v>562.5</v>
      </c>
      <c r="G70" s="704"/>
      <c r="H70" s="705"/>
      <c r="I70" s="613"/>
      <c r="J70" s="637" t="s">
        <v>7747</v>
      </c>
      <c r="K70" s="611" t="s">
        <v>7748</v>
      </c>
      <c r="L70" s="110"/>
      <c r="M70" s="110"/>
    </row>
    <row r="71" spans="1:13" ht="60">
      <c r="A71" s="689">
        <v>60</v>
      </c>
      <c r="B71" s="631" t="s">
        <v>7749</v>
      </c>
      <c r="C71" s="631" t="s">
        <v>7581</v>
      </c>
      <c r="D71" s="702" t="s">
        <v>7734</v>
      </c>
      <c r="E71" s="703">
        <v>48.92</v>
      </c>
      <c r="F71" s="703">
        <v>437.5</v>
      </c>
      <c r="G71" s="704"/>
      <c r="H71" s="705"/>
      <c r="I71" s="613"/>
      <c r="J71" s="637" t="s">
        <v>7750</v>
      </c>
      <c r="K71" s="611" t="s">
        <v>7751</v>
      </c>
      <c r="L71" s="110"/>
      <c r="M71" s="110"/>
    </row>
    <row r="72" spans="1:13" ht="45">
      <c r="A72" s="689">
        <v>61</v>
      </c>
      <c r="B72" s="631" t="s">
        <v>7752</v>
      </c>
      <c r="C72" s="631" t="s">
        <v>7581</v>
      </c>
      <c r="D72" s="702" t="s">
        <v>7734</v>
      </c>
      <c r="E72" s="703">
        <v>71.069999999999993</v>
      </c>
      <c r="F72" s="703">
        <v>625</v>
      </c>
      <c r="G72" s="704"/>
      <c r="H72" s="705"/>
      <c r="I72" s="613"/>
      <c r="J72" s="637" t="s">
        <v>7753</v>
      </c>
      <c r="K72" s="611" t="s">
        <v>7754</v>
      </c>
      <c r="L72" s="110"/>
      <c r="M72" s="110"/>
    </row>
    <row r="73" spans="1:13" ht="30">
      <c r="A73" s="689">
        <v>62</v>
      </c>
      <c r="B73" s="624" t="s">
        <v>7755</v>
      </c>
      <c r="C73" s="624" t="s">
        <v>7581</v>
      </c>
      <c r="D73" s="712" t="s">
        <v>7734</v>
      </c>
      <c r="E73" s="713">
        <v>70</v>
      </c>
      <c r="F73" s="713">
        <v>625</v>
      </c>
      <c r="G73" s="704"/>
      <c r="H73" s="714"/>
      <c r="I73" s="715"/>
      <c r="J73" s="716" t="s">
        <v>7756</v>
      </c>
      <c r="K73" s="717" t="s">
        <v>7757</v>
      </c>
      <c r="L73" s="110"/>
      <c r="M73" s="110"/>
    </row>
    <row r="74" spans="1:13" ht="30">
      <c r="A74" s="689">
        <v>63</v>
      </c>
      <c r="B74" s="631" t="s">
        <v>7758</v>
      </c>
      <c r="C74" s="631" t="s">
        <v>7581</v>
      </c>
      <c r="D74" s="702" t="s">
        <v>7734</v>
      </c>
      <c r="E74" s="703">
        <v>83.33</v>
      </c>
      <c r="F74" s="703">
        <v>1000</v>
      </c>
      <c r="G74" s="704"/>
      <c r="H74" s="705"/>
      <c r="I74" s="613"/>
      <c r="J74" s="637" t="s">
        <v>7759</v>
      </c>
      <c r="K74" s="611" t="s">
        <v>7760</v>
      </c>
      <c r="L74" s="110"/>
      <c r="M74" s="110"/>
    </row>
    <row r="75" spans="1:13" ht="30">
      <c r="A75" s="689">
        <v>64</v>
      </c>
      <c r="B75" s="631" t="s">
        <v>7761</v>
      </c>
      <c r="C75" s="631" t="s">
        <v>7581</v>
      </c>
      <c r="D75" s="702" t="s">
        <v>7632</v>
      </c>
      <c r="E75" s="703">
        <v>68.900000000000006</v>
      </c>
      <c r="F75" s="703">
        <v>590</v>
      </c>
      <c r="G75" s="704"/>
      <c r="H75" s="705"/>
      <c r="I75" s="613"/>
      <c r="J75" s="637" t="s">
        <v>7762</v>
      </c>
      <c r="K75" s="611" t="s">
        <v>7763</v>
      </c>
      <c r="L75" s="110"/>
      <c r="M75" s="110"/>
    </row>
    <row r="76" spans="1:13" ht="60">
      <c r="A76" s="689">
        <v>65</v>
      </c>
      <c r="B76" s="631" t="s">
        <v>7764</v>
      </c>
      <c r="C76" s="631" t="s">
        <v>7581</v>
      </c>
      <c r="D76" s="702" t="s">
        <v>7765</v>
      </c>
      <c r="E76" s="703">
        <v>30</v>
      </c>
      <c r="F76" s="703">
        <v>400</v>
      </c>
      <c r="G76" s="704"/>
      <c r="H76" s="705"/>
      <c r="I76" s="613"/>
      <c r="J76" s="637" t="s">
        <v>7766</v>
      </c>
      <c r="K76" s="611" t="s">
        <v>7767</v>
      </c>
      <c r="L76" s="110"/>
      <c r="M76" s="110"/>
    </row>
    <row r="77" spans="1:13" ht="30">
      <c r="A77" s="689">
        <v>66</v>
      </c>
      <c r="B77" s="631" t="s">
        <v>7768</v>
      </c>
      <c r="C77" s="631" t="s">
        <v>7581</v>
      </c>
      <c r="D77" s="702" t="s">
        <v>7591</v>
      </c>
      <c r="E77" s="703">
        <v>120</v>
      </c>
      <c r="F77" s="703">
        <v>250</v>
      </c>
      <c r="G77" s="704"/>
      <c r="H77" s="705"/>
      <c r="I77" s="613"/>
      <c r="J77" s="637" t="s">
        <v>7769</v>
      </c>
      <c r="K77" s="611" t="s">
        <v>7770</v>
      </c>
      <c r="L77" s="110"/>
      <c r="M77" s="110"/>
    </row>
    <row r="78" spans="1:13" ht="30">
      <c r="A78" s="689">
        <v>67</v>
      </c>
      <c r="B78" s="631" t="s">
        <v>7771</v>
      </c>
      <c r="C78" s="631" t="s">
        <v>7581</v>
      </c>
      <c r="D78" s="702" t="s">
        <v>7772</v>
      </c>
      <c r="E78" s="703">
        <v>121</v>
      </c>
      <c r="F78" s="690">
        <v>3576.6690000000003</v>
      </c>
      <c r="G78" s="704"/>
      <c r="H78" s="705"/>
      <c r="I78" s="613"/>
      <c r="J78" s="637" t="s">
        <v>7773</v>
      </c>
      <c r="K78" s="611" t="s">
        <v>7774</v>
      </c>
      <c r="L78" s="110"/>
      <c r="M78" s="110"/>
    </row>
    <row r="79" spans="1:13" ht="30">
      <c r="A79" s="689">
        <v>68</v>
      </c>
      <c r="B79" s="631" t="s">
        <v>7775</v>
      </c>
      <c r="C79" s="631" t="s">
        <v>7581</v>
      </c>
      <c r="D79" s="702" t="s">
        <v>7591</v>
      </c>
      <c r="E79" s="703">
        <v>49</v>
      </c>
      <c r="F79" s="703">
        <v>800</v>
      </c>
      <c r="G79" s="704"/>
      <c r="H79" s="705"/>
      <c r="I79" s="613"/>
      <c r="J79" s="637" t="s">
        <v>7776</v>
      </c>
      <c r="K79" s="611" t="s">
        <v>7777</v>
      </c>
      <c r="L79" s="110"/>
      <c r="M79" s="110"/>
    </row>
    <row r="80" spans="1:13" ht="30">
      <c r="A80" s="689">
        <v>69</v>
      </c>
      <c r="B80" s="631" t="s">
        <v>7778</v>
      </c>
      <c r="C80" s="631" t="s">
        <v>7581</v>
      </c>
      <c r="D80" s="702" t="s">
        <v>7591</v>
      </c>
      <c r="E80" s="703">
        <v>88.7</v>
      </c>
      <c r="F80" s="703">
        <v>500</v>
      </c>
      <c r="G80" s="704"/>
      <c r="H80" s="705"/>
      <c r="I80" s="613"/>
      <c r="J80" s="637" t="s">
        <v>7779</v>
      </c>
      <c r="K80" s="611" t="s">
        <v>7780</v>
      </c>
      <c r="L80" s="110"/>
      <c r="M80" s="110"/>
    </row>
    <row r="81" spans="1:13" ht="30">
      <c r="A81" s="689">
        <v>70</v>
      </c>
      <c r="B81" s="631" t="s">
        <v>7781</v>
      </c>
      <c r="C81" s="631" t="s">
        <v>7581</v>
      </c>
      <c r="D81" s="702" t="s">
        <v>7591</v>
      </c>
      <c r="E81" s="703">
        <v>121.8</v>
      </c>
      <c r="F81" s="703">
        <v>1200</v>
      </c>
      <c r="G81" s="704"/>
      <c r="H81" s="705"/>
      <c r="I81" s="613"/>
      <c r="J81" s="637" t="s">
        <v>7782</v>
      </c>
      <c r="K81" s="611" t="s">
        <v>7783</v>
      </c>
      <c r="L81" s="110"/>
      <c r="M81" s="110"/>
    </row>
    <row r="82" spans="1:13" ht="60">
      <c r="A82" s="689">
        <v>71</v>
      </c>
      <c r="B82" s="631" t="s">
        <v>7784</v>
      </c>
      <c r="C82" s="631" t="s">
        <v>7581</v>
      </c>
      <c r="D82" s="702" t="s">
        <v>7591</v>
      </c>
      <c r="E82" s="703">
        <v>314.10000000000002</v>
      </c>
      <c r="F82" s="703">
        <v>800</v>
      </c>
      <c r="G82" s="704"/>
      <c r="H82" s="705"/>
      <c r="I82" s="613"/>
      <c r="J82" s="637" t="s">
        <v>7785</v>
      </c>
      <c r="K82" s="611" t="s">
        <v>7786</v>
      </c>
      <c r="L82" s="110"/>
      <c r="M82" s="110"/>
    </row>
    <row r="83" spans="1:13" ht="45">
      <c r="A83" s="689">
        <v>72</v>
      </c>
      <c r="B83" s="631" t="s">
        <v>7787</v>
      </c>
      <c r="C83" s="631" t="s">
        <v>7581</v>
      </c>
      <c r="D83" s="702" t="s">
        <v>7591</v>
      </c>
      <c r="E83" s="703">
        <v>70.5</v>
      </c>
      <c r="F83" s="703">
        <v>500</v>
      </c>
      <c r="G83" s="704"/>
      <c r="H83" s="705"/>
      <c r="I83" s="613"/>
      <c r="J83" s="637" t="s">
        <v>7788</v>
      </c>
      <c r="K83" s="611" t="s">
        <v>7789</v>
      </c>
      <c r="L83" s="110"/>
      <c r="M83" s="110"/>
    </row>
    <row r="84" spans="1:13" ht="45">
      <c r="A84" s="689">
        <v>73</v>
      </c>
      <c r="B84" s="631" t="s">
        <v>7790</v>
      </c>
      <c r="C84" s="631" t="s">
        <v>7581</v>
      </c>
      <c r="D84" s="702" t="s">
        <v>7734</v>
      </c>
      <c r="E84" s="703">
        <v>15.76</v>
      </c>
      <c r="F84" s="703">
        <v>300</v>
      </c>
      <c r="G84" s="704"/>
      <c r="H84" s="705"/>
      <c r="I84" s="613"/>
      <c r="J84" s="637" t="s">
        <v>7791</v>
      </c>
      <c r="K84" s="611" t="s">
        <v>7792</v>
      </c>
      <c r="L84" s="110"/>
      <c r="M84" s="110"/>
    </row>
    <row r="85" spans="1:13" ht="30">
      <c r="A85" s="689">
        <v>74</v>
      </c>
      <c r="B85" s="631" t="s">
        <v>7793</v>
      </c>
      <c r="C85" s="631" t="s">
        <v>7581</v>
      </c>
      <c r="D85" s="702" t="s">
        <v>7734</v>
      </c>
      <c r="E85" s="703">
        <v>290</v>
      </c>
      <c r="F85" s="703">
        <v>1300</v>
      </c>
      <c r="G85" s="704"/>
      <c r="H85" s="705"/>
      <c r="I85" s="613"/>
      <c r="J85" s="637" t="s">
        <v>7794</v>
      </c>
      <c r="K85" s="611" t="s">
        <v>7795</v>
      </c>
      <c r="L85" s="110"/>
      <c r="M85" s="110"/>
    </row>
    <row r="86" spans="1:13" ht="30">
      <c r="A86" s="689">
        <v>75</v>
      </c>
      <c r="B86" s="631" t="s">
        <v>7793</v>
      </c>
      <c r="C86" s="631" t="s">
        <v>7581</v>
      </c>
      <c r="D86" s="702" t="s">
        <v>7591</v>
      </c>
      <c r="E86" s="703">
        <v>120</v>
      </c>
      <c r="F86" s="703">
        <v>800</v>
      </c>
      <c r="G86" s="704"/>
      <c r="H86" s="705"/>
      <c r="I86" s="613"/>
      <c r="J86" s="637" t="s">
        <v>7794</v>
      </c>
      <c r="K86" s="611" t="s">
        <v>7795</v>
      </c>
      <c r="L86" s="110"/>
      <c r="M86" s="110"/>
    </row>
    <row r="87" spans="1:13" ht="45">
      <c r="A87" s="689">
        <v>76</v>
      </c>
      <c r="B87" s="631" t="s">
        <v>7796</v>
      </c>
      <c r="C87" s="631" t="s">
        <v>7581</v>
      </c>
      <c r="D87" s="702" t="s">
        <v>7797</v>
      </c>
      <c r="E87" s="703">
        <v>136.80000000000001</v>
      </c>
      <c r="F87" s="703">
        <v>1391.7</v>
      </c>
      <c r="G87" s="704"/>
      <c r="H87" s="705"/>
      <c r="I87" s="613"/>
      <c r="J87" s="637" t="s">
        <v>7798</v>
      </c>
      <c r="K87" s="611" t="s">
        <v>7799</v>
      </c>
      <c r="L87" s="110"/>
      <c r="M87" s="110"/>
    </row>
    <row r="88" spans="1:13" ht="30">
      <c r="A88" s="689">
        <v>77</v>
      </c>
      <c r="B88" s="631" t="s">
        <v>7800</v>
      </c>
      <c r="C88" s="631" t="s">
        <v>7581</v>
      </c>
      <c r="D88" s="702" t="s">
        <v>7797</v>
      </c>
      <c r="E88" s="703">
        <v>200</v>
      </c>
      <c r="F88" s="703">
        <v>700</v>
      </c>
      <c r="G88" s="704"/>
      <c r="H88" s="705"/>
      <c r="I88" s="613"/>
      <c r="J88" s="637" t="s">
        <v>7801</v>
      </c>
      <c r="K88" s="611" t="s">
        <v>7802</v>
      </c>
      <c r="L88" s="110"/>
      <c r="M88" s="110"/>
    </row>
    <row r="89" spans="1:13" ht="45">
      <c r="A89" s="689">
        <v>78</v>
      </c>
      <c r="B89" s="631" t="s">
        <v>7803</v>
      </c>
      <c r="C89" s="631" t="s">
        <v>7581</v>
      </c>
      <c r="D89" s="702" t="s">
        <v>7797</v>
      </c>
      <c r="E89" s="703">
        <v>35</v>
      </c>
      <c r="F89" s="703">
        <v>500</v>
      </c>
      <c r="G89" s="704"/>
      <c r="H89" s="705"/>
      <c r="I89" s="613"/>
      <c r="J89" s="637" t="s">
        <v>7804</v>
      </c>
      <c r="K89" s="611" t="s">
        <v>7805</v>
      </c>
      <c r="L89" s="110"/>
      <c r="M89" s="110"/>
    </row>
    <row r="90" spans="1:13" ht="45">
      <c r="A90" s="689">
        <v>79</v>
      </c>
      <c r="B90" s="631" t="s">
        <v>7806</v>
      </c>
      <c r="C90" s="631" t="s">
        <v>7581</v>
      </c>
      <c r="D90" s="702" t="s">
        <v>7724</v>
      </c>
      <c r="E90" s="703">
        <v>176.42</v>
      </c>
      <c r="F90" s="703">
        <v>1200</v>
      </c>
      <c r="G90" s="704"/>
      <c r="H90" s="705"/>
      <c r="I90" s="613"/>
      <c r="J90" s="637" t="s">
        <v>7807</v>
      </c>
      <c r="K90" s="611" t="s">
        <v>7808</v>
      </c>
      <c r="L90" s="110"/>
      <c r="M90" s="110"/>
    </row>
    <row r="91" spans="1:13" ht="30">
      <c r="A91" s="689">
        <v>80</v>
      </c>
      <c r="B91" s="631" t="s">
        <v>7809</v>
      </c>
      <c r="C91" s="631" t="s">
        <v>7581</v>
      </c>
      <c r="D91" s="702" t="s">
        <v>7810</v>
      </c>
      <c r="E91" s="703">
        <v>72</v>
      </c>
      <c r="F91" s="703">
        <v>1159.75</v>
      </c>
      <c r="G91" s="704"/>
      <c r="H91" s="705"/>
      <c r="I91" s="613"/>
      <c r="J91" s="637" t="s">
        <v>7811</v>
      </c>
      <c r="K91" s="611" t="s">
        <v>7812</v>
      </c>
      <c r="L91" s="110"/>
      <c r="M91" s="110"/>
    </row>
    <row r="92" spans="1:13" ht="45">
      <c r="A92" s="689">
        <v>81</v>
      </c>
      <c r="B92" s="631" t="s">
        <v>7813</v>
      </c>
      <c r="C92" s="631" t="s">
        <v>7581</v>
      </c>
      <c r="D92" s="702" t="s">
        <v>7724</v>
      </c>
      <c r="E92" s="703">
        <v>70</v>
      </c>
      <c r="F92" s="703">
        <v>3896.76</v>
      </c>
      <c r="G92" s="704"/>
      <c r="H92" s="705"/>
      <c r="I92" s="613"/>
      <c r="J92" s="637" t="s">
        <v>7814</v>
      </c>
      <c r="K92" s="611" t="s">
        <v>7815</v>
      </c>
      <c r="L92" s="110"/>
      <c r="M92" s="110"/>
    </row>
    <row r="93" spans="1:13" ht="60">
      <c r="A93" s="689">
        <v>82</v>
      </c>
      <c r="B93" s="631" t="s">
        <v>7816</v>
      </c>
      <c r="C93" s="631" t="s">
        <v>7581</v>
      </c>
      <c r="D93" s="702" t="s">
        <v>7817</v>
      </c>
      <c r="E93" s="703">
        <v>120</v>
      </c>
      <c r="F93" s="703">
        <v>1250</v>
      </c>
      <c r="G93" s="704"/>
      <c r="H93" s="705"/>
      <c r="I93" s="613"/>
      <c r="J93" s="637" t="s">
        <v>7818</v>
      </c>
      <c r="K93" s="611" t="s">
        <v>7819</v>
      </c>
      <c r="L93" s="110"/>
      <c r="M93" s="110"/>
    </row>
    <row r="94" spans="1:13" ht="30">
      <c r="A94" s="689">
        <v>83</v>
      </c>
      <c r="B94" s="631" t="s">
        <v>7820</v>
      </c>
      <c r="C94" s="631" t="s">
        <v>7581</v>
      </c>
      <c r="D94" s="702" t="s">
        <v>7734</v>
      </c>
      <c r="E94" s="703">
        <v>144</v>
      </c>
      <c r="F94" s="703">
        <v>800</v>
      </c>
      <c r="G94" s="704"/>
      <c r="H94" s="705"/>
      <c r="I94" s="613"/>
      <c r="J94" s="637" t="s">
        <v>7821</v>
      </c>
      <c r="K94" s="611" t="s">
        <v>7822</v>
      </c>
      <c r="L94" s="110"/>
      <c r="M94" s="110"/>
    </row>
    <row r="95" spans="1:13" ht="45">
      <c r="A95" s="689">
        <v>84</v>
      </c>
      <c r="B95" s="631" t="s">
        <v>7823</v>
      </c>
      <c r="C95" s="631" t="s">
        <v>7581</v>
      </c>
      <c r="D95" s="702" t="s">
        <v>7724</v>
      </c>
      <c r="E95" s="703">
        <v>50</v>
      </c>
      <c r="F95" s="703">
        <v>375</v>
      </c>
      <c r="G95" s="704"/>
      <c r="H95" s="705"/>
      <c r="I95" s="613"/>
      <c r="J95" s="637" t="s">
        <v>7824</v>
      </c>
      <c r="K95" s="611" t="s">
        <v>7825</v>
      </c>
      <c r="L95" s="110"/>
      <c r="M95" s="110"/>
    </row>
    <row r="96" spans="1:13" ht="30">
      <c r="A96" s="689">
        <v>85</v>
      </c>
      <c r="B96" s="631" t="s">
        <v>7826</v>
      </c>
      <c r="C96" s="631" t="s">
        <v>7581</v>
      </c>
      <c r="D96" s="702" t="s">
        <v>7827</v>
      </c>
      <c r="E96" s="703">
        <v>36</v>
      </c>
      <c r="F96" s="703">
        <v>460</v>
      </c>
      <c r="G96" s="704"/>
      <c r="H96" s="705"/>
      <c r="I96" s="613"/>
      <c r="J96" s="637" t="s">
        <v>7828</v>
      </c>
      <c r="K96" s="611" t="s">
        <v>7829</v>
      </c>
      <c r="L96" s="110"/>
      <c r="M96" s="110"/>
    </row>
    <row r="97" spans="1:13" ht="60">
      <c r="A97" s="689">
        <v>86</v>
      </c>
      <c r="B97" s="631" t="s">
        <v>7830</v>
      </c>
      <c r="C97" s="631" t="s">
        <v>7581</v>
      </c>
      <c r="D97" s="702" t="s">
        <v>7831</v>
      </c>
      <c r="E97" s="703">
        <v>24.3</v>
      </c>
      <c r="F97" s="703">
        <v>180</v>
      </c>
      <c r="G97" s="704"/>
      <c r="H97" s="705"/>
      <c r="I97" s="613"/>
      <c r="J97" s="637" t="s">
        <v>7832</v>
      </c>
      <c r="K97" s="611" t="s">
        <v>7833</v>
      </c>
      <c r="L97" s="110"/>
      <c r="M97" s="110"/>
    </row>
    <row r="98" spans="1:13" ht="30">
      <c r="A98" s="689">
        <v>87</v>
      </c>
      <c r="B98" s="631" t="s">
        <v>7834</v>
      </c>
      <c r="C98" s="631" t="s">
        <v>7581</v>
      </c>
      <c r="D98" s="702" t="s">
        <v>7591</v>
      </c>
      <c r="E98" s="703">
        <v>70</v>
      </c>
      <c r="F98" s="703">
        <v>250</v>
      </c>
      <c r="G98" s="704"/>
      <c r="H98" s="705"/>
      <c r="I98" s="613"/>
      <c r="J98" s="637" t="s">
        <v>7835</v>
      </c>
      <c r="K98" s="611" t="s">
        <v>7836</v>
      </c>
      <c r="L98" s="110"/>
      <c r="M98" s="110"/>
    </row>
    <row r="99" spans="1:13" ht="45">
      <c r="A99" s="689">
        <v>88</v>
      </c>
      <c r="B99" s="631" t="s">
        <v>7837</v>
      </c>
      <c r="C99" s="631" t="s">
        <v>7581</v>
      </c>
      <c r="D99" s="702" t="s">
        <v>7591</v>
      </c>
      <c r="E99" s="703">
        <v>36</v>
      </c>
      <c r="F99" s="703">
        <v>187.5</v>
      </c>
      <c r="G99" s="704"/>
      <c r="H99" s="705"/>
      <c r="I99" s="613"/>
      <c r="J99" s="637" t="s">
        <v>7838</v>
      </c>
      <c r="K99" s="611" t="s">
        <v>7839</v>
      </c>
      <c r="L99" s="110"/>
      <c r="M99" s="110"/>
    </row>
    <row r="100" spans="1:13" ht="30">
      <c r="A100" s="689">
        <v>89</v>
      </c>
      <c r="B100" s="631" t="s">
        <v>7840</v>
      </c>
      <c r="C100" s="631" t="s">
        <v>7581</v>
      </c>
      <c r="D100" s="702" t="s">
        <v>7591</v>
      </c>
      <c r="E100" s="703">
        <v>50</v>
      </c>
      <c r="F100" s="703">
        <v>187.5</v>
      </c>
      <c r="G100" s="704"/>
      <c r="H100" s="705"/>
      <c r="I100" s="613"/>
      <c r="J100" s="637" t="s">
        <v>7841</v>
      </c>
      <c r="K100" s="611" t="s">
        <v>7842</v>
      </c>
      <c r="L100" s="110"/>
      <c r="M100" s="110"/>
    </row>
    <row r="101" spans="1:13" ht="75">
      <c r="A101" s="689">
        <v>90</v>
      </c>
      <c r="B101" s="631" t="s">
        <v>7843</v>
      </c>
      <c r="C101" s="631" t="s">
        <v>7581</v>
      </c>
      <c r="D101" s="702" t="s">
        <v>7591</v>
      </c>
      <c r="E101" s="703">
        <v>127.5</v>
      </c>
      <c r="F101" s="703">
        <v>650</v>
      </c>
      <c r="G101" s="704"/>
      <c r="H101" s="705"/>
      <c r="I101" s="613"/>
      <c r="J101" s="637" t="s">
        <v>7844</v>
      </c>
      <c r="K101" s="611" t="s">
        <v>7845</v>
      </c>
      <c r="L101" s="110"/>
      <c r="M101" s="110"/>
    </row>
    <row r="102" spans="1:13" ht="30">
      <c r="A102" s="689">
        <v>91</v>
      </c>
      <c r="B102" s="631" t="s">
        <v>7846</v>
      </c>
      <c r="C102" s="631" t="s">
        <v>7581</v>
      </c>
      <c r="D102" s="702" t="s">
        <v>7591</v>
      </c>
      <c r="E102" s="703">
        <v>65</v>
      </c>
      <c r="F102" s="703">
        <v>312.5</v>
      </c>
      <c r="G102" s="704"/>
      <c r="H102" s="705"/>
      <c r="I102" s="613"/>
      <c r="J102" s="637" t="s">
        <v>7847</v>
      </c>
      <c r="K102" s="611" t="s">
        <v>7848</v>
      </c>
      <c r="L102" s="110"/>
      <c r="M102" s="110"/>
    </row>
    <row r="103" spans="1:13" ht="30">
      <c r="A103" s="689">
        <v>92</v>
      </c>
      <c r="B103" s="631" t="s">
        <v>7849</v>
      </c>
      <c r="C103" s="631" t="s">
        <v>7581</v>
      </c>
      <c r="D103" s="702" t="s">
        <v>7850</v>
      </c>
      <c r="E103" s="703">
        <v>25</v>
      </c>
      <c r="F103" s="703">
        <v>500</v>
      </c>
      <c r="G103" s="704"/>
      <c r="H103" s="705"/>
      <c r="I103" s="613"/>
      <c r="J103" s="637" t="s">
        <v>7851</v>
      </c>
      <c r="K103" s="611" t="s">
        <v>7852</v>
      </c>
      <c r="L103" s="110"/>
      <c r="M103" s="110"/>
    </row>
    <row r="104" spans="1:13" ht="30">
      <c r="A104" s="689">
        <v>93</v>
      </c>
      <c r="B104" s="631" t="s">
        <v>7853</v>
      </c>
      <c r="C104" s="631" t="s">
        <v>7581</v>
      </c>
      <c r="D104" s="702" t="s">
        <v>7591</v>
      </c>
      <c r="E104" s="703">
        <v>95</v>
      </c>
      <c r="F104" s="703">
        <v>375</v>
      </c>
      <c r="G104" s="704"/>
      <c r="H104" s="705"/>
      <c r="I104" s="613"/>
      <c r="J104" s="637" t="s">
        <v>7854</v>
      </c>
      <c r="K104" s="611" t="s">
        <v>7855</v>
      </c>
      <c r="L104" s="110"/>
      <c r="M104" s="110"/>
    </row>
    <row r="105" spans="1:13" ht="30">
      <c r="A105" s="689">
        <v>94</v>
      </c>
      <c r="B105" s="631" t="s">
        <v>7856</v>
      </c>
      <c r="C105" s="631" t="s">
        <v>7581</v>
      </c>
      <c r="D105" s="702" t="s">
        <v>7591</v>
      </c>
      <c r="E105" s="703">
        <v>165</v>
      </c>
      <c r="F105" s="690">
        <v>1739.625</v>
      </c>
      <c r="G105" s="704"/>
      <c r="H105" s="705"/>
      <c r="I105" s="613"/>
      <c r="J105" s="637" t="s">
        <v>7857</v>
      </c>
      <c r="K105" s="611" t="s">
        <v>7858</v>
      </c>
      <c r="L105" s="110"/>
      <c r="M105" s="110"/>
    </row>
    <row r="106" spans="1:13" ht="45">
      <c r="A106" s="689">
        <v>95</v>
      </c>
      <c r="B106" s="631" t="s">
        <v>7859</v>
      </c>
      <c r="C106" s="631" t="s">
        <v>7581</v>
      </c>
      <c r="D106" s="702" t="s">
        <v>7591</v>
      </c>
      <c r="E106" s="703">
        <v>200</v>
      </c>
      <c r="F106" s="703">
        <v>600</v>
      </c>
      <c r="G106" s="704"/>
      <c r="H106" s="705"/>
      <c r="I106" s="613"/>
      <c r="J106" s="637" t="s">
        <v>7860</v>
      </c>
      <c r="K106" s="611" t="s">
        <v>7861</v>
      </c>
      <c r="L106" s="110"/>
      <c r="M106" s="110"/>
    </row>
    <row r="107" spans="1:13" ht="30">
      <c r="A107" s="689">
        <v>96</v>
      </c>
      <c r="B107" s="631" t="s">
        <v>7862</v>
      </c>
      <c r="C107" s="631" t="s">
        <v>7581</v>
      </c>
      <c r="D107" s="702" t="s">
        <v>7850</v>
      </c>
      <c r="E107" s="703">
        <v>289.8</v>
      </c>
      <c r="F107" s="690">
        <v>2147.857</v>
      </c>
      <c r="G107" s="704"/>
      <c r="H107" s="705"/>
      <c r="I107" s="613"/>
      <c r="J107" s="637" t="s">
        <v>7863</v>
      </c>
      <c r="K107" s="611" t="s">
        <v>7864</v>
      </c>
      <c r="L107" s="110"/>
      <c r="M107" s="110"/>
    </row>
    <row r="108" spans="1:13" ht="30">
      <c r="A108" s="689">
        <v>97</v>
      </c>
      <c r="B108" s="631" t="s">
        <v>7865</v>
      </c>
      <c r="C108" s="631" t="s">
        <v>7581</v>
      </c>
      <c r="D108" s="702" t="s">
        <v>7698</v>
      </c>
      <c r="E108" s="703">
        <v>80</v>
      </c>
      <c r="F108" s="703">
        <v>312.5</v>
      </c>
      <c r="G108" s="704"/>
      <c r="H108" s="705"/>
      <c r="I108" s="613"/>
      <c r="J108" s="637" t="s">
        <v>7866</v>
      </c>
      <c r="K108" s="611" t="s">
        <v>7867</v>
      </c>
      <c r="L108" s="110"/>
      <c r="M108" s="110"/>
    </row>
    <row r="109" spans="1:13" ht="45">
      <c r="A109" s="689">
        <v>98</v>
      </c>
      <c r="B109" s="631" t="s">
        <v>7868</v>
      </c>
      <c r="C109" s="631" t="s">
        <v>7581</v>
      </c>
      <c r="D109" s="702" t="s">
        <v>7850</v>
      </c>
      <c r="E109" s="703">
        <v>100</v>
      </c>
      <c r="F109" s="703">
        <v>300</v>
      </c>
      <c r="G109" s="704"/>
      <c r="H109" s="705"/>
      <c r="I109" s="613"/>
      <c r="J109" s="637" t="s">
        <v>7869</v>
      </c>
      <c r="K109" s="611" t="s">
        <v>7870</v>
      </c>
      <c r="L109" s="110"/>
      <c r="M109" s="110"/>
    </row>
    <row r="110" spans="1:13" ht="30">
      <c r="A110" s="689">
        <v>99</v>
      </c>
      <c r="B110" s="631" t="s">
        <v>7871</v>
      </c>
      <c r="C110" s="631" t="s">
        <v>7581</v>
      </c>
      <c r="D110" s="702" t="s">
        <v>7591</v>
      </c>
      <c r="E110" s="703">
        <v>32</v>
      </c>
      <c r="F110" s="703">
        <v>300</v>
      </c>
      <c r="G110" s="704"/>
      <c r="H110" s="705"/>
      <c r="I110" s="613"/>
      <c r="J110" s="637" t="s">
        <v>7872</v>
      </c>
      <c r="K110" s="611" t="s">
        <v>7873</v>
      </c>
      <c r="L110" s="110"/>
      <c r="M110" s="110"/>
    </row>
    <row r="111" spans="1:13" ht="30">
      <c r="A111" s="689">
        <v>100</v>
      </c>
      <c r="B111" s="631" t="s">
        <v>7874</v>
      </c>
      <c r="C111" s="631" t="s">
        <v>7581</v>
      </c>
      <c r="D111" s="702" t="s">
        <v>7591</v>
      </c>
      <c r="E111" s="703">
        <v>32</v>
      </c>
      <c r="F111" s="703">
        <v>880</v>
      </c>
      <c r="G111" s="704"/>
      <c r="H111" s="705"/>
      <c r="I111" s="613"/>
      <c r="J111" s="637" t="s">
        <v>7875</v>
      </c>
      <c r="K111" s="611" t="s">
        <v>7876</v>
      </c>
      <c r="L111" s="110"/>
      <c r="M111" s="110"/>
    </row>
    <row r="112" spans="1:13" ht="30">
      <c r="A112" s="689">
        <v>101</v>
      </c>
      <c r="B112" s="631" t="s">
        <v>7877</v>
      </c>
      <c r="C112" s="631" t="s">
        <v>7581</v>
      </c>
      <c r="D112" s="702" t="s">
        <v>7646</v>
      </c>
      <c r="E112" s="703" t="s">
        <v>7878</v>
      </c>
      <c r="F112" s="703">
        <v>1000</v>
      </c>
      <c r="G112" s="704">
        <v>36001011819</v>
      </c>
      <c r="H112" s="705" t="s">
        <v>7879</v>
      </c>
      <c r="I112" s="613" t="s">
        <v>7880</v>
      </c>
      <c r="J112" s="637"/>
      <c r="K112" s="611"/>
      <c r="L112" s="110"/>
      <c r="M112" s="110"/>
    </row>
    <row r="113" spans="1:13" ht="15">
      <c r="A113" s="780">
        <v>102</v>
      </c>
      <c r="B113" s="782" t="s">
        <v>7881</v>
      </c>
      <c r="C113" s="782" t="s">
        <v>7581</v>
      </c>
      <c r="D113" s="784" t="s">
        <v>7582</v>
      </c>
      <c r="E113" s="778">
        <v>130</v>
      </c>
      <c r="F113" s="703">
        <v>4175.1000000000004</v>
      </c>
      <c r="G113" s="704" t="s">
        <v>7882</v>
      </c>
      <c r="H113" s="705" t="s">
        <v>7883</v>
      </c>
      <c r="I113" s="613" t="s">
        <v>7884</v>
      </c>
      <c r="J113" s="637"/>
      <c r="K113" s="611"/>
      <c r="L113" s="110"/>
      <c r="M113" s="110"/>
    </row>
    <row r="114" spans="1:13" ht="15">
      <c r="A114" s="781"/>
      <c r="B114" s="783"/>
      <c r="C114" s="783"/>
      <c r="D114" s="785"/>
      <c r="E114" s="779"/>
      <c r="F114" s="703">
        <v>927.80000000000007</v>
      </c>
      <c r="G114" s="704" t="s">
        <v>7885</v>
      </c>
      <c r="H114" s="705" t="s">
        <v>7886</v>
      </c>
      <c r="I114" s="613" t="s">
        <v>7884</v>
      </c>
      <c r="J114" s="637"/>
      <c r="K114" s="611"/>
      <c r="L114" s="110"/>
      <c r="M114" s="110"/>
    </row>
    <row r="115" spans="1:13" ht="45">
      <c r="A115" s="689">
        <v>103</v>
      </c>
      <c r="B115" s="631" t="s">
        <v>7887</v>
      </c>
      <c r="C115" s="631" t="s">
        <v>7581</v>
      </c>
      <c r="D115" s="702" t="s">
        <v>7582</v>
      </c>
      <c r="E115" s="703" t="s">
        <v>7888</v>
      </c>
      <c r="F115" s="703">
        <v>375</v>
      </c>
      <c r="G115" s="704" t="s">
        <v>7889</v>
      </c>
      <c r="H115" s="705" t="s">
        <v>7890</v>
      </c>
      <c r="I115" s="613" t="s">
        <v>7217</v>
      </c>
      <c r="J115" s="637"/>
      <c r="K115" s="611"/>
      <c r="L115" s="110"/>
      <c r="M115" s="110"/>
    </row>
    <row r="116" spans="1:13" ht="30">
      <c r="A116" s="689">
        <v>104</v>
      </c>
      <c r="B116" s="631" t="s">
        <v>7891</v>
      </c>
      <c r="C116" s="631" t="s">
        <v>7581</v>
      </c>
      <c r="D116" s="702" t="s">
        <v>7582</v>
      </c>
      <c r="E116" s="703">
        <v>65</v>
      </c>
      <c r="F116" s="703">
        <v>1000</v>
      </c>
      <c r="G116" s="704" t="s">
        <v>7892</v>
      </c>
      <c r="H116" s="705" t="s">
        <v>7893</v>
      </c>
      <c r="I116" s="613" t="s">
        <v>7894</v>
      </c>
      <c r="J116" s="637"/>
      <c r="K116" s="611"/>
      <c r="L116" s="110"/>
      <c r="M116" s="110"/>
    </row>
    <row r="117" spans="1:13" ht="30">
      <c r="A117" s="689">
        <v>105</v>
      </c>
      <c r="B117" s="631" t="s">
        <v>7895</v>
      </c>
      <c r="C117" s="631" t="s">
        <v>7581</v>
      </c>
      <c r="D117" s="702" t="s">
        <v>7582</v>
      </c>
      <c r="E117" s="703" t="s">
        <v>7896</v>
      </c>
      <c r="F117" s="703">
        <v>500</v>
      </c>
      <c r="G117" s="704">
        <v>24001004130</v>
      </c>
      <c r="H117" s="705" t="s">
        <v>7897</v>
      </c>
      <c r="I117" s="613" t="s">
        <v>7898</v>
      </c>
      <c r="J117" s="637"/>
      <c r="K117" s="611"/>
      <c r="L117" s="110"/>
      <c r="M117" s="110"/>
    </row>
    <row r="118" spans="1:13" ht="30">
      <c r="A118" s="689">
        <v>106</v>
      </c>
      <c r="B118" s="706" t="s">
        <v>7899</v>
      </c>
      <c r="C118" s="631" t="s">
        <v>7581</v>
      </c>
      <c r="D118" s="631" t="s">
        <v>7656</v>
      </c>
      <c r="E118" s="703">
        <v>75.48</v>
      </c>
      <c r="F118" s="631">
        <v>500</v>
      </c>
      <c r="G118" s="616" t="s">
        <v>7900</v>
      </c>
      <c r="H118" s="707" t="s">
        <v>7901</v>
      </c>
      <c r="I118" s="706" t="s">
        <v>7902</v>
      </c>
      <c r="J118" s="637"/>
      <c r="K118" s="611"/>
      <c r="L118" s="110"/>
      <c r="M118" s="110"/>
    </row>
    <row r="119" spans="1:13" ht="45">
      <c r="A119" s="689">
        <v>107</v>
      </c>
      <c r="B119" s="631" t="s">
        <v>7903</v>
      </c>
      <c r="C119" s="631" t="s">
        <v>7581</v>
      </c>
      <c r="D119" s="702" t="s">
        <v>7582</v>
      </c>
      <c r="E119" s="703" t="s">
        <v>7904</v>
      </c>
      <c r="F119" s="703">
        <v>375</v>
      </c>
      <c r="G119" s="704" t="s">
        <v>7905</v>
      </c>
      <c r="H119" s="705" t="s">
        <v>7906</v>
      </c>
      <c r="I119" s="613" t="s">
        <v>7907</v>
      </c>
      <c r="J119" s="637"/>
      <c r="K119" s="611"/>
      <c r="L119" s="110"/>
      <c r="M119" s="110"/>
    </row>
    <row r="120" spans="1:13" ht="30">
      <c r="A120" s="689">
        <v>108</v>
      </c>
      <c r="B120" s="631" t="s">
        <v>7908</v>
      </c>
      <c r="C120" s="631" t="s">
        <v>7581</v>
      </c>
      <c r="D120" s="702" t="s">
        <v>7624</v>
      </c>
      <c r="E120" s="703">
        <v>107</v>
      </c>
      <c r="F120" s="703">
        <v>750</v>
      </c>
      <c r="G120" s="704" t="s">
        <v>7909</v>
      </c>
      <c r="H120" s="705" t="s">
        <v>7910</v>
      </c>
      <c r="I120" s="613" t="s">
        <v>7911</v>
      </c>
      <c r="J120" s="637"/>
      <c r="K120" s="611"/>
      <c r="L120" s="110"/>
      <c r="M120" s="110"/>
    </row>
    <row r="121" spans="1:13" ht="30">
      <c r="A121" s="689">
        <v>109</v>
      </c>
      <c r="B121" s="631" t="s">
        <v>7912</v>
      </c>
      <c r="C121" s="631" t="s">
        <v>7581</v>
      </c>
      <c r="D121" s="702" t="s">
        <v>7582</v>
      </c>
      <c r="E121" s="703" t="s">
        <v>7913</v>
      </c>
      <c r="F121" s="703">
        <v>3479.25</v>
      </c>
      <c r="G121" s="704" t="s">
        <v>7914</v>
      </c>
      <c r="H121" s="705" t="s">
        <v>7915</v>
      </c>
      <c r="I121" s="613" t="s">
        <v>7916</v>
      </c>
      <c r="J121" s="637"/>
      <c r="K121" s="611"/>
      <c r="L121" s="110"/>
      <c r="M121" s="110"/>
    </row>
    <row r="122" spans="1:13" ht="30">
      <c r="A122" s="689">
        <v>110</v>
      </c>
      <c r="B122" s="706" t="s">
        <v>7917</v>
      </c>
      <c r="C122" s="631" t="s">
        <v>7581</v>
      </c>
      <c r="D122" s="631" t="s">
        <v>7632</v>
      </c>
      <c r="E122" s="703">
        <v>84</v>
      </c>
      <c r="F122" s="631">
        <v>875</v>
      </c>
      <c r="G122" s="616" t="s">
        <v>7918</v>
      </c>
      <c r="H122" s="707" t="s">
        <v>7919</v>
      </c>
      <c r="I122" s="706" t="s">
        <v>7920</v>
      </c>
      <c r="J122" s="637"/>
      <c r="K122" s="611"/>
      <c r="L122" s="110"/>
      <c r="M122" s="110"/>
    </row>
    <row r="123" spans="1:13" ht="30">
      <c r="A123" s="689">
        <v>111</v>
      </c>
      <c r="B123" s="631" t="s">
        <v>7921</v>
      </c>
      <c r="C123" s="631" t="s">
        <v>7581</v>
      </c>
      <c r="D123" s="702" t="s">
        <v>7582</v>
      </c>
      <c r="E123" s="703">
        <v>223</v>
      </c>
      <c r="F123" s="703">
        <v>450</v>
      </c>
      <c r="G123" s="704" t="s">
        <v>7922</v>
      </c>
      <c r="H123" s="705" t="s">
        <v>7923</v>
      </c>
      <c r="I123" s="613" t="s">
        <v>7924</v>
      </c>
      <c r="J123" s="637"/>
      <c r="K123" s="611"/>
      <c r="L123" s="110"/>
      <c r="M123" s="110"/>
    </row>
    <row r="124" spans="1:13" ht="30">
      <c r="A124" s="689">
        <v>112</v>
      </c>
      <c r="B124" s="631" t="s">
        <v>7925</v>
      </c>
      <c r="C124" s="631" t="s">
        <v>7581</v>
      </c>
      <c r="D124" s="702" t="s">
        <v>7582</v>
      </c>
      <c r="E124" s="703">
        <v>90</v>
      </c>
      <c r="F124" s="703" t="s">
        <v>7926</v>
      </c>
      <c r="G124" s="704" t="s">
        <v>7927</v>
      </c>
      <c r="H124" s="705" t="s">
        <v>3863</v>
      </c>
      <c r="I124" s="613" t="s">
        <v>7928</v>
      </c>
      <c r="J124" s="637"/>
      <c r="K124" s="611"/>
      <c r="L124" s="110"/>
      <c r="M124" s="110"/>
    </row>
    <row r="125" spans="1:13" ht="30">
      <c r="A125" s="689">
        <v>113</v>
      </c>
      <c r="B125" s="631" t="s">
        <v>7929</v>
      </c>
      <c r="C125" s="631" t="s">
        <v>7581</v>
      </c>
      <c r="D125" s="702" t="s">
        <v>7595</v>
      </c>
      <c r="E125" s="703">
        <v>155</v>
      </c>
      <c r="F125" s="703">
        <v>550</v>
      </c>
      <c r="G125" s="704">
        <v>25001049879</v>
      </c>
      <c r="H125" s="705" t="s">
        <v>7893</v>
      </c>
      <c r="I125" s="613" t="s">
        <v>7930</v>
      </c>
      <c r="J125" s="637"/>
      <c r="K125" s="611"/>
      <c r="L125" s="110"/>
      <c r="M125" s="110"/>
    </row>
    <row r="126" spans="1:13" ht="30">
      <c r="A126" s="689">
        <v>114</v>
      </c>
      <c r="B126" s="706" t="s">
        <v>7931</v>
      </c>
      <c r="C126" s="631" t="s">
        <v>7581</v>
      </c>
      <c r="D126" s="631" t="s">
        <v>7595</v>
      </c>
      <c r="E126" s="703">
        <v>155</v>
      </c>
      <c r="F126" s="631">
        <v>350</v>
      </c>
      <c r="G126" s="703">
        <v>25001049879</v>
      </c>
      <c r="H126" s="707" t="s">
        <v>7893</v>
      </c>
      <c r="I126" s="706" t="s">
        <v>7930</v>
      </c>
      <c r="J126" s="637"/>
      <c r="K126" s="611"/>
      <c r="L126" s="110"/>
      <c r="M126" s="110"/>
    </row>
    <row r="127" spans="1:13" ht="45">
      <c r="A127" s="689">
        <v>115</v>
      </c>
      <c r="B127" s="631" t="s">
        <v>7932</v>
      </c>
      <c r="C127" s="631" t="s">
        <v>7581</v>
      </c>
      <c r="D127" s="702" t="s">
        <v>7582</v>
      </c>
      <c r="E127" s="703" t="s">
        <v>7933</v>
      </c>
      <c r="F127" s="703">
        <v>625</v>
      </c>
      <c r="G127" s="704">
        <v>61002004053</v>
      </c>
      <c r="H127" s="705" t="s">
        <v>3856</v>
      </c>
      <c r="I127" s="613" t="s">
        <v>7934</v>
      </c>
      <c r="J127" s="637"/>
      <c r="K127" s="611"/>
      <c r="L127" s="110"/>
      <c r="M127" s="110"/>
    </row>
    <row r="128" spans="1:13" ht="30">
      <c r="A128" s="689">
        <v>116</v>
      </c>
      <c r="B128" s="631" t="s">
        <v>7935</v>
      </c>
      <c r="C128" s="631" t="s">
        <v>7581</v>
      </c>
      <c r="D128" s="702" t="s">
        <v>7582</v>
      </c>
      <c r="E128" s="703">
        <v>55</v>
      </c>
      <c r="F128" s="703">
        <v>400</v>
      </c>
      <c r="G128" s="704">
        <v>47001003904</v>
      </c>
      <c r="H128" s="705" t="s">
        <v>7936</v>
      </c>
      <c r="I128" s="613" t="s">
        <v>7937</v>
      </c>
      <c r="J128" s="637"/>
      <c r="K128" s="611"/>
      <c r="L128" s="110"/>
      <c r="M128" s="110"/>
    </row>
    <row r="129" spans="1:13" ht="30">
      <c r="A129" s="689">
        <v>117</v>
      </c>
      <c r="B129" s="631" t="s">
        <v>7938</v>
      </c>
      <c r="C129" s="631" t="s">
        <v>7581</v>
      </c>
      <c r="D129" s="702" t="s">
        <v>7646</v>
      </c>
      <c r="E129" s="703">
        <v>60</v>
      </c>
      <c r="F129" s="703">
        <v>250</v>
      </c>
      <c r="G129" s="704">
        <v>14001022774</v>
      </c>
      <c r="H129" s="705" t="s">
        <v>7939</v>
      </c>
      <c r="I129" s="613" t="s">
        <v>7940</v>
      </c>
      <c r="J129" s="637"/>
      <c r="K129" s="611"/>
      <c r="L129" s="110"/>
      <c r="M129" s="110"/>
    </row>
    <row r="130" spans="1:13" ht="30">
      <c r="A130" s="689">
        <v>118</v>
      </c>
      <c r="B130" s="631" t="s">
        <v>7941</v>
      </c>
      <c r="C130" s="631" t="s">
        <v>7581</v>
      </c>
      <c r="D130" s="702" t="s">
        <v>7582</v>
      </c>
      <c r="E130" s="703">
        <v>136</v>
      </c>
      <c r="F130" s="703">
        <v>525</v>
      </c>
      <c r="G130" s="704">
        <v>38001047179</v>
      </c>
      <c r="H130" s="705" t="s">
        <v>3939</v>
      </c>
      <c r="I130" s="613" t="s">
        <v>7942</v>
      </c>
      <c r="J130" s="637"/>
      <c r="K130" s="611"/>
      <c r="L130" s="110"/>
      <c r="M130" s="110"/>
    </row>
    <row r="131" spans="1:13" ht="30">
      <c r="A131" s="689">
        <v>119</v>
      </c>
      <c r="B131" s="631" t="s">
        <v>7943</v>
      </c>
      <c r="C131" s="631" t="s">
        <v>7581</v>
      </c>
      <c r="D131" s="702" t="s">
        <v>7582</v>
      </c>
      <c r="E131" s="703" t="s">
        <v>7944</v>
      </c>
      <c r="F131" s="703">
        <v>500</v>
      </c>
      <c r="G131" s="704">
        <v>54001031206</v>
      </c>
      <c r="H131" s="705" t="s">
        <v>7945</v>
      </c>
      <c r="I131" s="613" t="s">
        <v>3906</v>
      </c>
      <c r="J131" s="637"/>
      <c r="K131" s="611"/>
      <c r="L131" s="110"/>
      <c r="M131" s="110"/>
    </row>
    <row r="132" spans="1:13" ht="30">
      <c r="A132" s="689">
        <v>120</v>
      </c>
      <c r="B132" s="631" t="s">
        <v>7946</v>
      </c>
      <c r="C132" s="631" t="s">
        <v>7581</v>
      </c>
      <c r="D132" s="702" t="s">
        <v>7582</v>
      </c>
      <c r="E132" s="703" t="s">
        <v>7947</v>
      </c>
      <c r="F132" s="703">
        <v>625</v>
      </c>
      <c r="G132" s="704" t="s">
        <v>7948</v>
      </c>
      <c r="H132" s="705" t="s">
        <v>3901</v>
      </c>
      <c r="I132" s="613" t="s">
        <v>7314</v>
      </c>
      <c r="J132" s="637"/>
      <c r="K132" s="611"/>
      <c r="L132" s="110"/>
      <c r="M132" s="110"/>
    </row>
    <row r="133" spans="1:13" ht="30">
      <c r="A133" s="689">
        <v>121</v>
      </c>
      <c r="B133" s="706" t="s">
        <v>7949</v>
      </c>
      <c r="C133" s="631" t="s">
        <v>7581</v>
      </c>
      <c r="D133" s="631" t="s">
        <v>7656</v>
      </c>
      <c r="E133" s="703">
        <v>90</v>
      </c>
      <c r="F133" s="631">
        <v>700</v>
      </c>
      <c r="G133" s="616" t="s">
        <v>7950</v>
      </c>
      <c r="H133" s="707" t="s">
        <v>7951</v>
      </c>
      <c r="I133" s="706" t="s">
        <v>7952</v>
      </c>
      <c r="J133" s="637"/>
      <c r="K133" s="611"/>
      <c r="L133" s="110"/>
      <c r="M133" s="110"/>
    </row>
    <row r="134" spans="1:13" ht="30">
      <c r="A134" s="689">
        <v>122</v>
      </c>
      <c r="B134" s="631" t="s">
        <v>7953</v>
      </c>
      <c r="C134" s="631" t="s">
        <v>7581</v>
      </c>
      <c r="D134" s="702" t="s">
        <v>7582</v>
      </c>
      <c r="E134" s="703">
        <v>110</v>
      </c>
      <c r="F134" s="703">
        <v>737.5</v>
      </c>
      <c r="G134" s="704" t="s">
        <v>7954</v>
      </c>
      <c r="H134" s="705" t="s">
        <v>7955</v>
      </c>
      <c r="I134" s="613" t="s">
        <v>7956</v>
      </c>
      <c r="J134" s="637"/>
      <c r="K134" s="611"/>
      <c r="L134" s="110"/>
      <c r="M134" s="110"/>
    </row>
    <row r="135" spans="1:13" ht="30">
      <c r="A135" s="689">
        <v>123</v>
      </c>
      <c r="B135" s="631" t="s">
        <v>7957</v>
      </c>
      <c r="C135" s="631" t="s">
        <v>7581</v>
      </c>
      <c r="D135" s="702" t="s">
        <v>7958</v>
      </c>
      <c r="E135" s="703">
        <v>130</v>
      </c>
      <c r="F135" s="703">
        <v>500</v>
      </c>
      <c r="G135" s="704" t="s">
        <v>7959</v>
      </c>
      <c r="H135" s="705" t="s">
        <v>7960</v>
      </c>
      <c r="I135" s="613" t="s">
        <v>7961</v>
      </c>
      <c r="J135" s="637"/>
      <c r="K135" s="611"/>
      <c r="L135" s="110"/>
      <c r="M135" s="110"/>
    </row>
    <row r="136" spans="1:13" ht="30">
      <c r="A136" s="689">
        <v>124</v>
      </c>
      <c r="B136" s="631" t="s">
        <v>7957</v>
      </c>
      <c r="C136" s="631" t="s">
        <v>7581</v>
      </c>
      <c r="D136" s="702" t="s">
        <v>7600</v>
      </c>
      <c r="E136" s="703">
        <v>130</v>
      </c>
      <c r="F136" s="703">
        <v>500</v>
      </c>
      <c r="G136" s="704" t="s">
        <v>7962</v>
      </c>
      <c r="H136" s="705" t="s">
        <v>7963</v>
      </c>
      <c r="I136" s="613" t="s">
        <v>7961</v>
      </c>
      <c r="J136" s="637"/>
      <c r="K136" s="611"/>
      <c r="L136" s="110"/>
      <c r="M136" s="110"/>
    </row>
    <row r="137" spans="1:13" ht="30">
      <c r="A137" s="689">
        <v>125</v>
      </c>
      <c r="B137" s="631" t="s">
        <v>7964</v>
      </c>
      <c r="C137" s="631" t="s">
        <v>7581</v>
      </c>
      <c r="D137" s="702" t="s">
        <v>7582</v>
      </c>
      <c r="E137" s="703">
        <v>54</v>
      </c>
      <c r="F137" s="703">
        <v>313</v>
      </c>
      <c r="G137" s="704">
        <v>49001006224</v>
      </c>
      <c r="H137" s="705" t="s">
        <v>7965</v>
      </c>
      <c r="I137" s="613" t="s">
        <v>7966</v>
      </c>
      <c r="J137" s="637"/>
      <c r="K137" s="611"/>
      <c r="L137" s="110"/>
      <c r="M137" s="110"/>
    </row>
    <row r="138" spans="1:13" ht="30">
      <c r="A138" s="689">
        <v>126</v>
      </c>
      <c r="B138" s="631" t="s">
        <v>7967</v>
      </c>
      <c r="C138" s="631" t="s">
        <v>7581</v>
      </c>
      <c r="D138" s="702" t="s">
        <v>7582</v>
      </c>
      <c r="E138" s="703" t="s">
        <v>7968</v>
      </c>
      <c r="F138" s="703">
        <v>625</v>
      </c>
      <c r="G138" s="704">
        <v>33001022458</v>
      </c>
      <c r="H138" s="705" t="s">
        <v>7969</v>
      </c>
      <c r="I138" s="613" t="s">
        <v>7970</v>
      </c>
      <c r="J138" s="637"/>
      <c r="K138" s="611"/>
      <c r="L138" s="110"/>
      <c r="M138" s="110"/>
    </row>
    <row r="139" spans="1:13" ht="45">
      <c r="A139" s="689">
        <v>127</v>
      </c>
      <c r="B139" s="631" t="s">
        <v>7971</v>
      </c>
      <c r="C139" s="631" t="s">
        <v>7581</v>
      </c>
      <c r="D139" s="702" t="s">
        <v>7972</v>
      </c>
      <c r="E139" s="703">
        <v>60</v>
      </c>
      <c r="F139" s="703">
        <v>500</v>
      </c>
      <c r="G139" s="704">
        <v>29001003140</v>
      </c>
      <c r="H139" s="705" t="s">
        <v>7973</v>
      </c>
      <c r="I139" s="613" t="s">
        <v>7974</v>
      </c>
      <c r="J139" s="637"/>
      <c r="K139" s="611"/>
      <c r="L139" s="110"/>
      <c r="M139" s="110"/>
    </row>
    <row r="140" spans="1:13" ht="30">
      <c r="A140" s="689">
        <v>128</v>
      </c>
      <c r="B140" s="631" t="s">
        <v>7975</v>
      </c>
      <c r="C140" s="631" t="s">
        <v>7581</v>
      </c>
      <c r="D140" s="702" t="s">
        <v>7582</v>
      </c>
      <c r="E140" s="703">
        <v>73</v>
      </c>
      <c r="F140" s="703">
        <v>500</v>
      </c>
      <c r="G140" s="704" t="s">
        <v>7976</v>
      </c>
      <c r="H140" s="705" t="s">
        <v>7977</v>
      </c>
      <c r="I140" s="613" t="s">
        <v>7978</v>
      </c>
      <c r="J140" s="637"/>
      <c r="K140" s="611"/>
      <c r="L140" s="110"/>
      <c r="M140" s="110"/>
    </row>
    <row r="141" spans="1:13" ht="30">
      <c r="A141" s="689">
        <v>129</v>
      </c>
      <c r="B141" s="631" t="s">
        <v>7979</v>
      </c>
      <c r="C141" s="631" t="s">
        <v>7581</v>
      </c>
      <c r="D141" s="702" t="s">
        <v>7582</v>
      </c>
      <c r="E141" s="703" t="s">
        <v>7980</v>
      </c>
      <c r="F141" s="703">
        <v>625</v>
      </c>
      <c r="G141" s="704" t="s">
        <v>7981</v>
      </c>
      <c r="H141" s="705" t="s">
        <v>7906</v>
      </c>
      <c r="I141" s="613" t="s">
        <v>7982</v>
      </c>
      <c r="J141" s="637"/>
      <c r="K141" s="611"/>
      <c r="L141" s="110"/>
      <c r="M141" s="110"/>
    </row>
    <row r="142" spans="1:13" ht="30">
      <c r="A142" s="689">
        <v>130</v>
      </c>
      <c r="B142" s="706" t="s">
        <v>7983</v>
      </c>
      <c r="C142" s="631" t="s">
        <v>7581</v>
      </c>
      <c r="D142" s="631" t="s">
        <v>7656</v>
      </c>
      <c r="E142" s="631">
        <v>112.8</v>
      </c>
      <c r="F142" s="631">
        <v>2231.8000000000002</v>
      </c>
      <c r="G142" s="631" t="s">
        <v>7984</v>
      </c>
      <c r="H142" s="707" t="s">
        <v>3945</v>
      </c>
      <c r="I142" s="706" t="s">
        <v>7985</v>
      </c>
      <c r="J142" s="637"/>
      <c r="K142" s="611"/>
      <c r="L142" s="110"/>
      <c r="M142" s="110"/>
    </row>
    <row r="143" spans="1:13" ht="30">
      <c r="A143" s="689">
        <v>131</v>
      </c>
      <c r="B143" s="631" t="s">
        <v>7986</v>
      </c>
      <c r="C143" s="631" t="s">
        <v>7581</v>
      </c>
      <c r="D143" s="702" t="s">
        <v>7582</v>
      </c>
      <c r="E143" s="703" t="s">
        <v>7987</v>
      </c>
      <c r="F143" s="703">
        <v>875</v>
      </c>
      <c r="G143" s="704">
        <v>60001129329</v>
      </c>
      <c r="H143" s="705" t="s">
        <v>3856</v>
      </c>
      <c r="I143" s="613" t="s">
        <v>7988</v>
      </c>
      <c r="J143" s="637"/>
      <c r="K143" s="611"/>
      <c r="L143" s="110"/>
      <c r="M143" s="110"/>
    </row>
    <row r="144" spans="1:13" ht="30">
      <c r="A144" s="689">
        <v>132</v>
      </c>
      <c r="B144" s="631" t="s">
        <v>7989</v>
      </c>
      <c r="C144" s="631" t="s">
        <v>7581</v>
      </c>
      <c r="D144" s="702" t="s">
        <v>7582</v>
      </c>
      <c r="E144" s="703">
        <v>180</v>
      </c>
      <c r="F144" s="703" t="s">
        <v>7990</v>
      </c>
      <c r="G144" s="704" t="s">
        <v>7991</v>
      </c>
      <c r="H144" s="705" t="s">
        <v>7992</v>
      </c>
      <c r="I144" s="613" t="s">
        <v>7993</v>
      </c>
      <c r="J144" s="637"/>
      <c r="K144" s="611"/>
      <c r="L144" s="110"/>
      <c r="M144" s="110"/>
    </row>
    <row r="145" spans="1:13" ht="30">
      <c r="A145" s="689">
        <v>133</v>
      </c>
      <c r="B145" s="631" t="s">
        <v>7994</v>
      </c>
      <c r="C145" s="631" t="s">
        <v>7581</v>
      </c>
      <c r="D145" s="702" t="s">
        <v>7958</v>
      </c>
      <c r="E145" s="703">
        <v>99</v>
      </c>
      <c r="F145" s="703">
        <v>800</v>
      </c>
      <c r="G145" s="704" t="s">
        <v>7995</v>
      </c>
      <c r="H145" s="705" t="s">
        <v>3945</v>
      </c>
      <c r="I145" s="613" t="s">
        <v>7996</v>
      </c>
      <c r="J145" s="637"/>
      <c r="K145" s="611"/>
      <c r="L145" s="110"/>
      <c r="M145" s="110"/>
    </row>
    <row r="146" spans="1:13" ht="30">
      <c r="A146" s="689">
        <v>134</v>
      </c>
      <c r="B146" s="706" t="s">
        <v>7997</v>
      </c>
      <c r="C146" s="631" t="s">
        <v>7581</v>
      </c>
      <c r="D146" s="631" t="s">
        <v>7600</v>
      </c>
      <c r="E146" s="703">
        <v>99</v>
      </c>
      <c r="F146" s="631">
        <v>625</v>
      </c>
      <c r="G146" s="704" t="s">
        <v>7995</v>
      </c>
      <c r="H146" s="707" t="s">
        <v>3945</v>
      </c>
      <c r="I146" s="706" t="s">
        <v>7996</v>
      </c>
      <c r="J146" s="637"/>
      <c r="K146" s="611"/>
      <c r="L146" s="110"/>
      <c r="M146" s="110"/>
    </row>
    <row r="147" spans="1:13" ht="30">
      <c r="A147" s="689">
        <v>135</v>
      </c>
      <c r="B147" s="631" t="s">
        <v>7998</v>
      </c>
      <c r="C147" s="631" t="s">
        <v>7581</v>
      </c>
      <c r="D147" s="702" t="s">
        <v>7582</v>
      </c>
      <c r="E147" s="703">
        <v>90</v>
      </c>
      <c r="F147" s="703" t="s">
        <v>7990</v>
      </c>
      <c r="G147" s="704" t="s">
        <v>7999</v>
      </c>
      <c r="H147" s="705" t="s">
        <v>8000</v>
      </c>
      <c r="I147" s="613" t="s">
        <v>8001</v>
      </c>
      <c r="J147" s="637"/>
      <c r="K147" s="611"/>
      <c r="L147" s="110"/>
      <c r="M147" s="110"/>
    </row>
    <row r="148" spans="1:13" ht="30">
      <c r="A148" s="689">
        <v>136</v>
      </c>
      <c r="B148" s="706" t="s">
        <v>8002</v>
      </c>
      <c r="C148" s="631" t="s">
        <v>7581</v>
      </c>
      <c r="D148" s="631" t="s">
        <v>7587</v>
      </c>
      <c r="E148" s="703">
        <v>76</v>
      </c>
      <c r="F148" s="631">
        <v>500</v>
      </c>
      <c r="G148" s="704" t="s">
        <v>8003</v>
      </c>
      <c r="H148" s="707" t="s">
        <v>7960</v>
      </c>
      <c r="I148" s="706" t="s">
        <v>7928</v>
      </c>
      <c r="J148" s="637"/>
      <c r="K148" s="611"/>
      <c r="L148" s="110"/>
      <c r="M148" s="110"/>
    </row>
    <row r="149" spans="1:13" ht="30">
      <c r="A149" s="689">
        <v>137</v>
      </c>
      <c r="B149" s="631" t="s">
        <v>8004</v>
      </c>
      <c r="C149" s="631" t="s">
        <v>7581</v>
      </c>
      <c r="D149" s="702" t="s">
        <v>7582</v>
      </c>
      <c r="E149" s="703" t="s">
        <v>8005</v>
      </c>
      <c r="F149" s="703">
        <v>1000</v>
      </c>
      <c r="G149" s="704" t="s">
        <v>8006</v>
      </c>
      <c r="H149" s="705" t="s">
        <v>8007</v>
      </c>
      <c r="I149" s="613" t="s">
        <v>8008</v>
      </c>
      <c r="J149" s="637"/>
      <c r="K149" s="611"/>
      <c r="L149" s="110"/>
      <c r="M149" s="110"/>
    </row>
    <row r="150" spans="1:13" ht="30">
      <c r="A150" s="689">
        <v>138</v>
      </c>
      <c r="B150" s="631" t="s">
        <v>8009</v>
      </c>
      <c r="C150" s="631" t="s">
        <v>7581</v>
      </c>
      <c r="D150" s="702" t="s">
        <v>7653</v>
      </c>
      <c r="E150" s="703">
        <v>250</v>
      </c>
      <c r="F150" s="703">
        <v>625</v>
      </c>
      <c r="G150" s="704" t="s">
        <v>8010</v>
      </c>
      <c r="H150" s="705" t="s">
        <v>6670</v>
      </c>
      <c r="I150" s="613" t="s">
        <v>8011</v>
      </c>
      <c r="J150" s="637"/>
      <c r="K150" s="611"/>
      <c r="L150" s="110"/>
      <c r="M150" s="110"/>
    </row>
    <row r="151" spans="1:13" ht="30">
      <c r="A151" s="689">
        <v>139</v>
      </c>
      <c r="B151" s="706" t="s">
        <v>8012</v>
      </c>
      <c r="C151" s="631" t="s">
        <v>7581</v>
      </c>
      <c r="D151" s="631" t="s">
        <v>8013</v>
      </c>
      <c r="E151" s="703">
        <v>63</v>
      </c>
      <c r="F151" s="703">
        <v>1785.44</v>
      </c>
      <c r="G151" s="703">
        <v>62001003330</v>
      </c>
      <c r="H151" s="707" t="s">
        <v>3730</v>
      </c>
      <c r="I151" s="706" t="s">
        <v>8014</v>
      </c>
      <c r="J151" s="637"/>
      <c r="K151" s="611"/>
      <c r="L151" s="110"/>
      <c r="M151" s="110"/>
    </row>
    <row r="152" spans="1:13" ht="45">
      <c r="A152" s="689">
        <v>140</v>
      </c>
      <c r="B152" s="631" t="s">
        <v>8015</v>
      </c>
      <c r="C152" s="631" t="s">
        <v>7581</v>
      </c>
      <c r="D152" s="702" t="s">
        <v>7646</v>
      </c>
      <c r="E152" s="703" t="s">
        <v>8016</v>
      </c>
      <c r="F152" s="703">
        <v>2899.375</v>
      </c>
      <c r="G152" s="704" t="s">
        <v>8017</v>
      </c>
      <c r="H152" s="705" t="s">
        <v>3863</v>
      </c>
      <c r="I152" s="613" t="s">
        <v>7924</v>
      </c>
      <c r="J152" s="637"/>
      <c r="K152" s="611"/>
      <c r="L152" s="110"/>
      <c r="M152" s="110"/>
    </row>
    <row r="153" spans="1:13" ht="45">
      <c r="A153" s="689">
        <v>141</v>
      </c>
      <c r="B153" s="631" t="s">
        <v>8018</v>
      </c>
      <c r="C153" s="631" t="s">
        <v>7581</v>
      </c>
      <c r="D153" s="702" t="s">
        <v>7624</v>
      </c>
      <c r="E153" s="703" t="s">
        <v>8019</v>
      </c>
      <c r="F153" s="703">
        <v>375</v>
      </c>
      <c r="G153" s="704" t="s">
        <v>8020</v>
      </c>
      <c r="H153" s="705" t="s">
        <v>7963</v>
      </c>
      <c r="I153" s="613" t="s">
        <v>8021</v>
      </c>
      <c r="J153" s="637"/>
      <c r="K153" s="611"/>
      <c r="L153" s="110"/>
      <c r="M153" s="110"/>
    </row>
    <row r="154" spans="1:13" ht="45">
      <c r="A154" s="689">
        <v>142</v>
      </c>
      <c r="B154" s="706" t="s">
        <v>8022</v>
      </c>
      <c r="C154" s="631" t="s">
        <v>7581</v>
      </c>
      <c r="D154" s="631" t="s">
        <v>8023</v>
      </c>
      <c r="E154" s="631">
        <v>89</v>
      </c>
      <c r="F154" s="631">
        <v>900</v>
      </c>
      <c r="G154" s="704"/>
      <c r="H154" s="710"/>
      <c r="I154" s="705"/>
      <c r="J154" s="688">
        <v>61006012731</v>
      </c>
      <c r="K154" s="711" t="s">
        <v>8024</v>
      </c>
      <c r="L154" s="110"/>
      <c r="M154" s="110"/>
    </row>
    <row r="155" spans="1:13" ht="30">
      <c r="A155" s="689">
        <v>143</v>
      </c>
      <c r="B155" s="631" t="s">
        <v>8025</v>
      </c>
      <c r="C155" s="631" t="s">
        <v>7581</v>
      </c>
      <c r="D155" s="702" t="s">
        <v>8026</v>
      </c>
      <c r="E155" s="703" t="s">
        <v>8027</v>
      </c>
      <c r="F155" s="703">
        <v>875</v>
      </c>
      <c r="G155" s="704" t="s">
        <v>8028</v>
      </c>
      <c r="H155" s="705" t="s">
        <v>8029</v>
      </c>
      <c r="I155" s="613" t="s">
        <v>8030</v>
      </c>
      <c r="J155" s="637"/>
      <c r="K155" s="611"/>
      <c r="L155" s="110"/>
      <c r="M155" s="110"/>
    </row>
    <row r="156" spans="1:13" ht="45">
      <c r="A156" s="689">
        <v>144</v>
      </c>
      <c r="B156" s="631" t="s">
        <v>8031</v>
      </c>
      <c r="C156" s="631" t="s">
        <v>7581</v>
      </c>
      <c r="D156" s="702" t="s">
        <v>7624</v>
      </c>
      <c r="E156" s="703" t="s">
        <v>8032</v>
      </c>
      <c r="F156" s="703">
        <v>1000</v>
      </c>
      <c r="G156" s="704" t="s">
        <v>8033</v>
      </c>
      <c r="H156" s="705" t="s">
        <v>8034</v>
      </c>
      <c r="I156" s="613" t="s">
        <v>8035</v>
      </c>
      <c r="J156" s="637"/>
      <c r="K156" s="611"/>
      <c r="L156" s="110"/>
      <c r="M156" s="110"/>
    </row>
    <row r="157" spans="1:13" ht="45">
      <c r="A157" s="689">
        <v>145</v>
      </c>
      <c r="B157" s="706" t="s">
        <v>8036</v>
      </c>
      <c r="C157" s="631" t="s">
        <v>7581</v>
      </c>
      <c r="D157" s="631" t="s">
        <v>7698</v>
      </c>
      <c r="E157" s="703">
        <v>113.4</v>
      </c>
      <c r="F157" s="703">
        <v>1433.3</v>
      </c>
      <c r="G157" s="703">
        <v>12001016317</v>
      </c>
      <c r="H157" s="710" t="s">
        <v>8034</v>
      </c>
      <c r="I157" s="705" t="s">
        <v>8035</v>
      </c>
      <c r="J157" s="637"/>
      <c r="K157" s="611"/>
      <c r="L157" s="110"/>
      <c r="M157" s="110"/>
    </row>
    <row r="158" spans="1:13" ht="45">
      <c r="A158" s="689">
        <v>146</v>
      </c>
      <c r="B158" s="706" t="s">
        <v>8037</v>
      </c>
      <c r="C158" s="631" t="s">
        <v>7581</v>
      </c>
      <c r="D158" s="631" t="s">
        <v>7698</v>
      </c>
      <c r="E158" s="703">
        <v>51.05</v>
      </c>
      <c r="F158" s="703">
        <v>312.5</v>
      </c>
      <c r="G158" s="703">
        <v>33001012635</v>
      </c>
      <c r="H158" s="710" t="s">
        <v>8038</v>
      </c>
      <c r="I158" s="705" t="s">
        <v>8039</v>
      </c>
      <c r="J158" s="637"/>
      <c r="K158" s="611"/>
      <c r="L158" s="110"/>
      <c r="M158" s="110"/>
    </row>
    <row r="159" spans="1:13" ht="60">
      <c r="A159" s="689">
        <v>147</v>
      </c>
      <c r="B159" s="631" t="s">
        <v>8040</v>
      </c>
      <c r="C159" s="631" t="s">
        <v>7581</v>
      </c>
      <c r="D159" s="702" t="s">
        <v>7972</v>
      </c>
      <c r="E159" s="703" t="s">
        <v>8041</v>
      </c>
      <c r="F159" s="703">
        <v>2319.5</v>
      </c>
      <c r="G159" s="704" t="s">
        <v>8042</v>
      </c>
      <c r="H159" s="705" t="s">
        <v>8043</v>
      </c>
      <c r="I159" s="613" t="s">
        <v>8044</v>
      </c>
      <c r="J159" s="637"/>
      <c r="K159" s="611"/>
      <c r="L159" s="110"/>
      <c r="M159" s="110"/>
    </row>
    <row r="160" spans="1:13" ht="75">
      <c r="A160" s="689">
        <v>148</v>
      </c>
      <c r="B160" s="631" t="s">
        <v>8045</v>
      </c>
      <c r="C160" s="631" t="s">
        <v>7581</v>
      </c>
      <c r="D160" s="702" t="s">
        <v>7624</v>
      </c>
      <c r="E160" s="703" t="s">
        <v>8046</v>
      </c>
      <c r="F160" s="703">
        <v>1250</v>
      </c>
      <c r="G160" s="704" t="s">
        <v>8047</v>
      </c>
      <c r="H160" s="705" t="s">
        <v>6136</v>
      </c>
      <c r="I160" s="613" t="s">
        <v>8048</v>
      </c>
      <c r="J160" s="637"/>
      <c r="K160" s="611"/>
      <c r="L160" s="110"/>
      <c r="M160" s="110"/>
    </row>
    <row r="161" spans="1:13" ht="30">
      <c r="A161" s="689">
        <v>149</v>
      </c>
      <c r="B161" s="631" t="s">
        <v>8049</v>
      </c>
      <c r="C161" s="631" t="s">
        <v>7581</v>
      </c>
      <c r="D161" s="702" t="s">
        <v>7653</v>
      </c>
      <c r="E161" s="703" t="s">
        <v>8050</v>
      </c>
      <c r="F161" s="703">
        <v>1250</v>
      </c>
      <c r="G161" s="704" t="s">
        <v>8051</v>
      </c>
      <c r="H161" s="705" t="s">
        <v>3905</v>
      </c>
      <c r="I161" s="613" t="s">
        <v>8052</v>
      </c>
      <c r="J161" s="637"/>
      <c r="K161" s="611"/>
      <c r="L161" s="110"/>
      <c r="M161" s="110"/>
    </row>
    <row r="162" spans="1:13" ht="45">
      <c r="A162" s="689">
        <v>150</v>
      </c>
      <c r="B162" s="631" t="s">
        <v>8053</v>
      </c>
      <c r="C162" s="631" t="s">
        <v>7581</v>
      </c>
      <c r="D162" s="702" t="s">
        <v>7653</v>
      </c>
      <c r="E162" s="703" t="s">
        <v>8054</v>
      </c>
      <c r="F162" s="703">
        <v>2319.5</v>
      </c>
      <c r="G162" s="704" t="s">
        <v>8055</v>
      </c>
      <c r="H162" s="705" t="s">
        <v>7879</v>
      </c>
      <c r="I162" s="613" t="s">
        <v>8056</v>
      </c>
      <c r="J162" s="637"/>
      <c r="K162" s="611"/>
      <c r="L162" s="110"/>
      <c r="M162" s="110"/>
    </row>
    <row r="163" spans="1:13" ht="30">
      <c r="A163" s="689">
        <v>151</v>
      </c>
      <c r="B163" s="631" t="s">
        <v>8057</v>
      </c>
      <c r="C163" s="631" t="s">
        <v>7581</v>
      </c>
      <c r="D163" s="702" t="s">
        <v>7624</v>
      </c>
      <c r="E163" s="703" t="s">
        <v>8058</v>
      </c>
      <c r="F163" s="703">
        <v>3015.3500000000004</v>
      </c>
      <c r="G163" s="704" t="s">
        <v>8059</v>
      </c>
      <c r="H163" s="705" t="s">
        <v>8060</v>
      </c>
      <c r="I163" s="613" t="s">
        <v>8061</v>
      </c>
      <c r="J163" s="637"/>
      <c r="K163" s="611"/>
      <c r="L163" s="110"/>
      <c r="M163" s="110"/>
    </row>
    <row r="164" spans="1:13" ht="30">
      <c r="A164" s="689">
        <v>152</v>
      </c>
      <c r="B164" s="631" t="s">
        <v>8062</v>
      </c>
      <c r="C164" s="631" t="s">
        <v>7581</v>
      </c>
      <c r="D164" s="702" t="s">
        <v>7595</v>
      </c>
      <c r="E164" s="703" t="s">
        <v>8063</v>
      </c>
      <c r="F164" s="703">
        <v>600</v>
      </c>
      <c r="G164" s="704" t="s">
        <v>8064</v>
      </c>
      <c r="H164" s="705" t="s">
        <v>6670</v>
      </c>
      <c r="I164" s="613" t="s">
        <v>7911</v>
      </c>
      <c r="J164" s="637"/>
      <c r="K164" s="611"/>
      <c r="L164" s="110"/>
      <c r="M164" s="110"/>
    </row>
    <row r="165" spans="1:13" ht="45">
      <c r="A165" s="689">
        <v>153</v>
      </c>
      <c r="B165" s="631" t="s">
        <v>7711</v>
      </c>
      <c r="C165" s="631" t="s">
        <v>7581</v>
      </c>
      <c r="D165" s="702" t="s">
        <v>7831</v>
      </c>
      <c r="E165" s="703">
        <v>76.36</v>
      </c>
      <c r="F165" s="703">
        <v>1026.45</v>
      </c>
      <c r="G165" s="704" t="s">
        <v>8065</v>
      </c>
      <c r="H165" s="705" t="s">
        <v>8066</v>
      </c>
      <c r="I165" s="613" t="s">
        <v>8067</v>
      </c>
      <c r="J165" s="637"/>
      <c r="K165" s="611"/>
      <c r="L165" s="110"/>
      <c r="M165" s="110"/>
    </row>
    <row r="166" spans="1:13" ht="30">
      <c r="A166" s="689">
        <v>154</v>
      </c>
      <c r="B166" s="631" t="s">
        <v>8068</v>
      </c>
      <c r="C166" s="631" t="s">
        <v>7581</v>
      </c>
      <c r="D166" s="702" t="s">
        <v>7591</v>
      </c>
      <c r="E166" s="703">
        <v>20</v>
      </c>
      <c r="F166" s="703">
        <v>550</v>
      </c>
      <c r="G166" s="704" t="s">
        <v>8069</v>
      </c>
      <c r="H166" s="705" t="s">
        <v>3945</v>
      </c>
      <c r="I166" s="613" t="s">
        <v>8070</v>
      </c>
      <c r="J166" s="637"/>
      <c r="K166" s="611"/>
      <c r="L166" s="110"/>
      <c r="M166" s="110"/>
    </row>
    <row r="167" spans="1:13" ht="45">
      <c r="A167" s="689">
        <v>155</v>
      </c>
      <c r="B167" s="631" t="s">
        <v>8071</v>
      </c>
      <c r="C167" s="631" t="s">
        <v>7581</v>
      </c>
      <c r="D167" s="702" t="s">
        <v>7772</v>
      </c>
      <c r="E167" s="703">
        <v>122</v>
      </c>
      <c r="F167" s="703">
        <v>1800</v>
      </c>
      <c r="G167" s="704" t="s">
        <v>8072</v>
      </c>
      <c r="H167" s="705" t="s">
        <v>3856</v>
      </c>
      <c r="I167" s="613" t="s">
        <v>8073</v>
      </c>
      <c r="J167" s="637"/>
      <c r="K167" s="611"/>
      <c r="L167" s="110"/>
      <c r="M167" s="110"/>
    </row>
    <row r="168" spans="1:13" ht="60">
      <c r="A168" s="689">
        <v>156</v>
      </c>
      <c r="B168" s="631" t="s">
        <v>8074</v>
      </c>
      <c r="C168" s="631" t="s">
        <v>7581</v>
      </c>
      <c r="D168" s="702" t="s">
        <v>7724</v>
      </c>
      <c r="E168" s="703">
        <v>111</v>
      </c>
      <c r="F168" s="703">
        <v>2000</v>
      </c>
      <c r="G168" s="704" t="s">
        <v>8075</v>
      </c>
      <c r="H168" s="705" t="s">
        <v>8076</v>
      </c>
      <c r="I168" s="613" t="s">
        <v>8077</v>
      </c>
      <c r="J168" s="637"/>
      <c r="K168" s="611"/>
      <c r="L168" s="110"/>
      <c r="M168" s="110"/>
    </row>
    <row r="169" spans="1:13" ht="45">
      <c r="A169" s="689">
        <v>157</v>
      </c>
      <c r="B169" s="631" t="s">
        <v>8078</v>
      </c>
      <c r="C169" s="631" t="s">
        <v>7581</v>
      </c>
      <c r="D169" s="702" t="s">
        <v>7734</v>
      </c>
      <c r="E169" s="703">
        <v>90</v>
      </c>
      <c r="F169" s="703">
        <v>1875</v>
      </c>
      <c r="G169" s="704" t="s">
        <v>8079</v>
      </c>
      <c r="H169" s="705" t="s">
        <v>3913</v>
      </c>
      <c r="I169" s="613" t="s">
        <v>8080</v>
      </c>
      <c r="J169" s="637"/>
      <c r="K169" s="611"/>
      <c r="L169" s="110"/>
      <c r="M169" s="110"/>
    </row>
    <row r="170" spans="1:13" ht="30">
      <c r="A170" s="689">
        <v>158</v>
      </c>
      <c r="B170" s="631" t="s">
        <v>8068</v>
      </c>
      <c r="C170" s="631" t="s">
        <v>7581</v>
      </c>
      <c r="D170" s="702" t="s">
        <v>7591</v>
      </c>
      <c r="E170" s="703">
        <v>20</v>
      </c>
      <c r="F170" s="703">
        <v>550</v>
      </c>
      <c r="G170" s="704" t="s">
        <v>8081</v>
      </c>
      <c r="H170" s="705" t="s">
        <v>8082</v>
      </c>
      <c r="I170" s="613" t="s">
        <v>8083</v>
      </c>
      <c r="J170" s="637"/>
      <c r="K170" s="611"/>
      <c r="L170" s="110"/>
      <c r="M170" s="110"/>
    </row>
    <row r="171" spans="1:13" ht="30">
      <c r="A171" s="689">
        <v>159</v>
      </c>
      <c r="B171" s="631" t="s">
        <v>8068</v>
      </c>
      <c r="C171" s="631" t="s">
        <v>7581</v>
      </c>
      <c r="D171" s="702" t="s">
        <v>7591</v>
      </c>
      <c r="E171" s="703">
        <v>20</v>
      </c>
      <c r="F171" s="703">
        <v>550</v>
      </c>
      <c r="G171" s="704" t="s">
        <v>8084</v>
      </c>
      <c r="H171" s="705" t="s">
        <v>8082</v>
      </c>
      <c r="I171" s="613" t="s">
        <v>8085</v>
      </c>
      <c r="J171" s="637"/>
      <c r="K171" s="611"/>
      <c r="L171" s="110"/>
      <c r="M171" s="110"/>
    </row>
    <row r="172" spans="1:13" ht="45">
      <c r="A172" s="689">
        <v>160</v>
      </c>
      <c r="B172" s="631" t="s">
        <v>8086</v>
      </c>
      <c r="C172" s="631" t="s">
        <v>7581</v>
      </c>
      <c r="D172" s="702" t="s">
        <v>7734</v>
      </c>
      <c r="E172" s="703">
        <v>15</v>
      </c>
      <c r="F172" s="703" t="s">
        <v>8087</v>
      </c>
      <c r="G172" s="704" t="s">
        <v>8088</v>
      </c>
      <c r="H172" s="705" t="s">
        <v>8089</v>
      </c>
      <c r="I172" s="613" t="s">
        <v>7920</v>
      </c>
      <c r="J172" s="637"/>
      <c r="K172" s="611"/>
      <c r="L172" s="110"/>
      <c r="M172" s="110"/>
    </row>
    <row r="173" spans="1:13" ht="30">
      <c r="A173" s="689">
        <v>161</v>
      </c>
      <c r="B173" s="631" t="s">
        <v>8090</v>
      </c>
      <c r="C173" s="631" t="s">
        <v>7581</v>
      </c>
      <c r="D173" s="702" t="s">
        <v>8091</v>
      </c>
      <c r="E173" s="703" t="s">
        <v>8092</v>
      </c>
      <c r="F173" s="703">
        <v>2000</v>
      </c>
      <c r="G173" s="704" t="s">
        <v>8093</v>
      </c>
      <c r="H173" s="705" t="s">
        <v>8094</v>
      </c>
      <c r="I173" s="613" t="s">
        <v>8095</v>
      </c>
      <c r="J173" s="637"/>
      <c r="K173" s="611"/>
      <c r="L173" s="110"/>
      <c r="M173" s="110"/>
    </row>
    <row r="174" spans="1:13" ht="30">
      <c r="A174" s="689">
        <v>162</v>
      </c>
      <c r="B174" s="631" t="s">
        <v>8096</v>
      </c>
      <c r="C174" s="631" t="s">
        <v>7581</v>
      </c>
      <c r="D174" s="702" t="s">
        <v>8097</v>
      </c>
      <c r="E174" s="703">
        <v>60</v>
      </c>
      <c r="F174" s="703">
        <v>250</v>
      </c>
      <c r="G174" s="704" t="s">
        <v>8098</v>
      </c>
      <c r="H174" s="705" t="s">
        <v>8099</v>
      </c>
      <c r="I174" s="613" t="s">
        <v>8100</v>
      </c>
      <c r="J174" s="637"/>
      <c r="K174" s="611"/>
      <c r="L174" s="110"/>
      <c r="M174" s="110"/>
    </row>
    <row r="175" spans="1:13" ht="45">
      <c r="A175" s="689">
        <v>163</v>
      </c>
      <c r="B175" s="631" t="s">
        <v>8101</v>
      </c>
      <c r="C175" s="631" t="s">
        <v>7581</v>
      </c>
      <c r="D175" s="702" t="s">
        <v>7587</v>
      </c>
      <c r="E175" s="703" t="s">
        <v>8102</v>
      </c>
      <c r="F175" s="703">
        <v>500</v>
      </c>
      <c r="G175" s="704" t="s">
        <v>8103</v>
      </c>
      <c r="H175" s="705" t="s">
        <v>8104</v>
      </c>
      <c r="I175" s="613" t="s">
        <v>8105</v>
      </c>
      <c r="J175" s="637"/>
      <c r="K175" s="611"/>
      <c r="L175" s="110"/>
      <c r="M175" s="110"/>
    </row>
    <row r="176" spans="1:13" ht="30">
      <c r="A176" s="689">
        <v>164</v>
      </c>
      <c r="B176" s="631" t="s">
        <v>8106</v>
      </c>
      <c r="C176" s="631" t="s">
        <v>7581</v>
      </c>
      <c r="D176" s="702" t="s">
        <v>7734</v>
      </c>
      <c r="E176" s="703" t="s">
        <v>8107</v>
      </c>
      <c r="F176" s="703" t="s">
        <v>7926</v>
      </c>
      <c r="G176" s="704" t="s">
        <v>8108</v>
      </c>
      <c r="H176" s="705" t="s">
        <v>8109</v>
      </c>
      <c r="I176" s="613" t="s">
        <v>8110</v>
      </c>
      <c r="J176" s="637"/>
      <c r="K176" s="611"/>
      <c r="L176" s="110"/>
      <c r="M176" s="110"/>
    </row>
    <row r="177" spans="1:13" ht="30">
      <c r="A177" s="689">
        <v>165</v>
      </c>
      <c r="B177" s="631" t="s">
        <v>8111</v>
      </c>
      <c r="C177" s="631" t="s">
        <v>7581</v>
      </c>
      <c r="D177" s="702" t="s">
        <v>7734</v>
      </c>
      <c r="E177" s="703" t="s">
        <v>8112</v>
      </c>
      <c r="F177" s="703">
        <v>625</v>
      </c>
      <c r="G177" s="704" t="s">
        <v>8113</v>
      </c>
      <c r="H177" s="705" t="s">
        <v>3866</v>
      </c>
      <c r="I177" s="613" t="s">
        <v>8114</v>
      </c>
      <c r="J177" s="637"/>
      <c r="K177" s="611"/>
      <c r="L177" s="110"/>
      <c r="M177" s="110"/>
    </row>
    <row r="178" spans="1:13" ht="30">
      <c r="A178" s="689">
        <v>166</v>
      </c>
      <c r="B178" s="631" t="s">
        <v>8115</v>
      </c>
      <c r="C178" s="631" t="s">
        <v>7581</v>
      </c>
      <c r="D178" s="702" t="s">
        <v>7734</v>
      </c>
      <c r="E178" s="703" t="s">
        <v>8116</v>
      </c>
      <c r="F178" s="703">
        <v>625</v>
      </c>
      <c r="G178" s="704" t="s">
        <v>8117</v>
      </c>
      <c r="H178" s="705" t="s">
        <v>8118</v>
      </c>
      <c r="I178" s="613" t="s">
        <v>8119</v>
      </c>
      <c r="J178" s="637"/>
      <c r="K178" s="611"/>
      <c r="L178" s="110"/>
      <c r="M178" s="110"/>
    </row>
    <row r="179" spans="1:13" ht="30">
      <c r="A179" s="689">
        <v>167</v>
      </c>
      <c r="B179" s="631" t="s">
        <v>8120</v>
      </c>
      <c r="C179" s="631" t="s">
        <v>7581</v>
      </c>
      <c r="D179" s="702" t="s">
        <v>7734</v>
      </c>
      <c r="E179" s="703" t="s">
        <v>8121</v>
      </c>
      <c r="F179" s="703">
        <v>875</v>
      </c>
      <c r="G179" s="704" t="s">
        <v>8122</v>
      </c>
      <c r="H179" s="705" t="s">
        <v>8123</v>
      </c>
      <c r="I179" s="613" t="s">
        <v>6247</v>
      </c>
      <c r="J179" s="637"/>
      <c r="K179" s="611"/>
      <c r="L179" s="110"/>
      <c r="M179" s="110"/>
    </row>
    <row r="180" spans="1:13" ht="45">
      <c r="A180" s="689">
        <v>168</v>
      </c>
      <c r="B180" s="631" t="s">
        <v>8124</v>
      </c>
      <c r="C180" s="631" t="s">
        <v>7581</v>
      </c>
      <c r="D180" s="702" t="s">
        <v>7632</v>
      </c>
      <c r="E180" s="703">
        <v>70</v>
      </c>
      <c r="F180" s="703">
        <v>500</v>
      </c>
      <c r="G180" s="704" t="s">
        <v>8125</v>
      </c>
      <c r="H180" s="705" t="s">
        <v>8126</v>
      </c>
      <c r="I180" s="613" t="s">
        <v>8127</v>
      </c>
      <c r="J180" s="637"/>
      <c r="K180" s="611"/>
      <c r="L180" s="110"/>
      <c r="M180" s="110"/>
    </row>
    <row r="181" spans="1:13" ht="30">
      <c r="A181" s="689">
        <v>169</v>
      </c>
      <c r="B181" s="631" t="s">
        <v>8128</v>
      </c>
      <c r="C181" s="631" t="s">
        <v>7581</v>
      </c>
      <c r="D181" s="702" t="s">
        <v>7632</v>
      </c>
      <c r="E181" s="703" t="s">
        <v>8129</v>
      </c>
      <c r="F181" s="703">
        <v>1000</v>
      </c>
      <c r="G181" s="704" t="s">
        <v>8130</v>
      </c>
      <c r="H181" s="705" t="s">
        <v>8131</v>
      </c>
      <c r="I181" s="613" t="s">
        <v>8132</v>
      </c>
      <c r="J181" s="637"/>
      <c r="K181" s="611"/>
      <c r="L181" s="110"/>
      <c r="M181" s="110"/>
    </row>
    <row r="182" spans="1:13" ht="30">
      <c r="A182" s="689">
        <v>170</v>
      </c>
      <c r="B182" s="631" t="s">
        <v>8133</v>
      </c>
      <c r="C182" s="631" t="s">
        <v>7581</v>
      </c>
      <c r="D182" s="702" t="s">
        <v>7632</v>
      </c>
      <c r="E182" s="703" t="s">
        <v>8134</v>
      </c>
      <c r="F182" s="703">
        <v>400</v>
      </c>
      <c r="G182" s="704" t="s">
        <v>8135</v>
      </c>
      <c r="H182" s="705" t="s">
        <v>3863</v>
      </c>
      <c r="I182" s="613" t="s">
        <v>8136</v>
      </c>
      <c r="J182" s="637"/>
      <c r="K182" s="611"/>
      <c r="L182" s="110"/>
      <c r="M182" s="110"/>
    </row>
    <row r="183" spans="1:13" ht="30">
      <c r="A183" s="689">
        <v>171</v>
      </c>
      <c r="B183" s="631" t="s">
        <v>8137</v>
      </c>
      <c r="C183" s="631" t="s">
        <v>7581</v>
      </c>
      <c r="D183" s="702" t="s">
        <v>7734</v>
      </c>
      <c r="E183" s="703">
        <v>100</v>
      </c>
      <c r="F183" s="703">
        <v>875</v>
      </c>
      <c r="G183" s="704" t="s">
        <v>8138</v>
      </c>
      <c r="H183" s="705" t="s">
        <v>7915</v>
      </c>
      <c r="I183" s="613" t="s">
        <v>8139</v>
      </c>
      <c r="J183" s="637"/>
      <c r="K183" s="611"/>
      <c r="L183" s="110"/>
      <c r="M183" s="110"/>
    </row>
    <row r="184" spans="1:13" ht="45">
      <c r="A184" s="689">
        <v>172</v>
      </c>
      <c r="B184" s="631" t="s">
        <v>8140</v>
      </c>
      <c r="C184" s="631" t="s">
        <v>7581</v>
      </c>
      <c r="D184" s="702" t="s">
        <v>7734</v>
      </c>
      <c r="E184" s="703">
        <v>150</v>
      </c>
      <c r="F184" s="703">
        <v>1000</v>
      </c>
      <c r="G184" s="704" t="s">
        <v>8141</v>
      </c>
      <c r="H184" s="705" t="s">
        <v>3905</v>
      </c>
      <c r="I184" s="613" t="s">
        <v>8142</v>
      </c>
      <c r="J184" s="637"/>
      <c r="K184" s="611"/>
      <c r="L184" s="110"/>
      <c r="M184" s="110"/>
    </row>
    <row r="185" spans="1:13" ht="45">
      <c r="A185" s="689">
        <v>173</v>
      </c>
      <c r="B185" s="631" t="s">
        <v>8143</v>
      </c>
      <c r="C185" s="631" t="s">
        <v>7581</v>
      </c>
      <c r="D185" s="702" t="s">
        <v>7734</v>
      </c>
      <c r="E185" s="703">
        <v>60</v>
      </c>
      <c r="F185" s="703">
        <v>500</v>
      </c>
      <c r="G185" s="704" t="s">
        <v>8144</v>
      </c>
      <c r="H185" s="705" t="s">
        <v>7955</v>
      </c>
      <c r="I185" s="613" t="s">
        <v>8145</v>
      </c>
      <c r="J185" s="637"/>
      <c r="K185" s="611"/>
      <c r="L185" s="110"/>
      <c r="M185" s="110"/>
    </row>
    <row r="186" spans="1:13" ht="45">
      <c r="A186" s="689">
        <v>174</v>
      </c>
      <c r="B186" s="631" t="s">
        <v>8146</v>
      </c>
      <c r="C186" s="631" t="s">
        <v>7581</v>
      </c>
      <c r="D186" s="702" t="s">
        <v>7632</v>
      </c>
      <c r="E186" s="703">
        <v>100</v>
      </c>
      <c r="F186" s="703">
        <v>1159.75</v>
      </c>
      <c r="G186" s="704" t="s">
        <v>8147</v>
      </c>
      <c r="H186" s="705" t="s">
        <v>8148</v>
      </c>
      <c r="I186" s="613" t="s">
        <v>8149</v>
      </c>
      <c r="J186" s="637"/>
      <c r="K186" s="611"/>
      <c r="L186" s="110"/>
      <c r="M186" s="110"/>
    </row>
    <row r="187" spans="1:13" ht="30">
      <c r="A187" s="689">
        <v>175</v>
      </c>
      <c r="B187" s="631" t="s">
        <v>8150</v>
      </c>
      <c r="C187" s="631" t="s">
        <v>7581</v>
      </c>
      <c r="D187" s="702" t="s">
        <v>7724</v>
      </c>
      <c r="E187" s="703">
        <v>35</v>
      </c>
      <c r="F187" s="703">
        <v>450</v>
      </c>
      <c r="G187" s="704" t="s">
        <v>8151</v>
      </c>
      <c r="H187" s="705" t="s">
        <v>8152</v>
      </c>
      <c r="I187" s="613" t="s">
        <v>8153</v>
      </c>
      <c r="J187" s="637"/>
      <c r="K187" s="611"/>
      <c r="L187" s="110"/>
      <c r="M187" s="110"/>
    </row>
    <row r="188" spans="1:13" ht="30">
      <c r="A188" s="689">
        <v>176</v>
      </c>
      <c r="B188" s="631" t="s">
        <v>8154</v>
      </c>
      <c r="C188" s="631" t="s">
        <v>7581</v>
      </c>
      <c r="D188" s="702" t="s">
        <v>7591</v>
      </c>
      <c r="E188" s="703" t="s">
        <v>8155</v>
      </c>
      <c r="F188" s="703">
        <v>500</v>
      </c>
      <c r="G188" s="704" t="s">
        <v>8156</v>
      </c>
      <c r="H188" s="705" t="s">
        <v>3856</v>
      </c>
      <c r="I188" s="613" t="s">
        <v>8157</v>
      </c>
      <c r="J188" s="637"/>
      <c r="K188" s="611"/>
      <c r="L188" s="110"/>
      <c r="M188" s="110"/>
    </row>
    <row r="189" spans="1:13" ht="30">
      <c r="A189" s="689">
        <v>177</v>
      </c>
      <c r="B189" s="631" t="s">
        <v>8158</v>
      </c>
      <c r="C189" s="631" t="s">
        <v>7581</v>
      </c>
      <c r="D189" s="702" t="s">
        <v>7591</v>
      </c>
      <c r="E189" s="703" t="s">
        <v>8159</v>
      </c>
      <c r="F189" s="703">
        <v>2783.4</v>
      </c>
      <c r="G189" s="704" t="s">
        <v>8160</v>
      </c>
      <c r="H189" s="705" t="s">
        <v>6724</v>
      </c>
      <c r="I189" s="613" t="s">
        <v>7383</v>
      </c>
      <c r="J189" s="637"/>
      <c r="K189" s="611"/>
      <c r="L189" s="110"/>
      <c r="M189" s="110"/>
    </row>
    <row r="190" spans="1:13" ht="30">
      <c r="A190" s="689">
        <v>178</v>
      </c>
      <c r="B190" s="631" t="s">
        <v>8161</v>
      </c>
      <c r="C190" s="631" t="s">
        <v>7581</v>
      </c>
      <c r="D190" s="702" t="s">
        <v>8091</v>
      </c>
      <c r="E190" s="703">
        <v>52</v>
      </c>
      <c r="F190" s="703">
        <v>500</v>
      </c>
      <c r="G190" s="704" t="s">
        <v>8162</v>
      </c>
      <c r="H190" s="705" t="s">
        <v>8163</v>
      </c>
      <c r="I190" s="613" t="s">
        <v>8164</v>
      </c>
      <c r="J190" s="637"/>
      <c r="K190" s="611"/>
      <c r="L190" s="110"/>
      <c r="M190" s="110"/>
    </row>
    <row r="191" spans="1:13" ht="30">
      <c r="A191" s="689">
        <v>179</v>
      </c>
      <c r="B191" s="631" t="s">
        <v>8165</v>
      </c>
      <c r="C191" s="631" t="s">
        <v>7581</v>
      </c>
      <c r="D191" s="702" t="s">
        <v>7724</v>
      </c>
      <c r="E191" s="703">
        <v>22</v>
      </c>
      <c r="F191" s="703" t="s">
        <v>8087</v>
      </c>
      <c r="G191" s="704" t="s">
        <v>8166</v>
      </c>
      <c r="H191" s="705" t="s">
        <v>8167</v>
      </c>
      <c r="I191" s="613" t="s">
        <v>8168</v>
      </c>
      <c r="J191" s="637"/>
      <c r="K191" s="611"/>
      <c r="L191" s="110"/>
      <c r="M191" s="110"/>
    </row>
    <row r="192" spans="1:13" ht="45">
      <c r="A192" s="689">
        <v>180</v>
      </c>
      <c r="B192" s="631" t="s">
        <v>8169</v>
      </c>
      <c r="C192" s="631" t="s">
        <v>7581</v>
      </c>
      <c r="D192" s="702" t="s">
        <v>8170</v>
      </c>
      <c r="E192" s="703" t="s">
        <v>8171</v>
      </c>
      <c r="F192" s="703">
        <v>550</v>
      </c>
      <c r="G192" s="704" t="s">
        <v>8172</v>
      </c>
      <c r="H192" s="705" t="s">
        <v>3738</v>
      </c>
      <c r="I192" s="613" t="s">
        <v>8173</v>
      </c>
      <c r="J192" s="637"/>
      <c r="K192" s="611"/>
      <c r="L192" s="110"/>
      <c r="M192" s="110"/>
    </row>
    <row r="193" spans="1:13" ht="30">
      <c r="A193" s="689">
        <v>181</v>
      </c>
      <c r="B193" s="631" t="s">
        <v>8174</v>
      </c>
      <c r="C193" s="631" t="s">
        <v>7581</v>
      </c>
      <c r="D193" s="702" t="s">
        <v>7734</v>
      </c>
      <c r="E193" s="703" t="s">
        <v>8175</v>
      </c>
      <c r="F193" s="703">
        <v>425</v>
      </c>
      <c r="G193" s="704" t="s">
        <v>8176</v>
      </c>
      <c r="H193" s="705" t="s">
        <v>8177</v>
      </c>
      <c r="I193" s="613" t="s">
        <v>6708</v>
      </c>
      <c r="J193" s="637"/>
      <c r="K193" s="611"/>
      <c r="L193" s="110"/>
      <c r="M193" s="110"/>
    </row>
    <row r="194" spans="1:13" ht="30">
      <c r="A194" s="689">
        <v>182</v>
      </c>
      <c r="B194" s="631" t="s">
        <v>8178</v>
      </c>
      <c r="C194" s="631" t="s">
        <v>7581</v>
      </c>
      <c r="D194" s="702" t="s">
        <v>7772</v>
      </c>
      <c r="E194" s="703" t="s">
        <v>8179</v>
      </c>
      <c r="F194" s="703">
        <v>1200</v>
      </c>
      <c r="G194" s="704" t="s">
        <v>8180</v>
      </c>
      <c r="H194" s="705" t="s">
        <v>7893</v>
      </c>
      <c r="I194" s="613" t="s">
        <v>8181</v>
      </c>
      <c r="J194" s="637"/>
      <c r="K194" s="611"/>
      <c r="L194" s="110"/>
      <c r="M194" s="110"/>
    </row>
    <row r="195" spans="1:13" ht="45">
      <c r="A195" s="689">
        <v>183</v>
      </c>
      <c r="B195" s="631" t="s">
        <v>8182</v>
      </c>
      <c r="C195" s="631" t="s">
        <v>7581</v>
      </c>
      <c r="D195" s="702" t="s">
        <v>7632</v>
      </c>
      <c r="E195" s="703">
        <v>34</v>
      </c>
      <c r="F195" s="703">
        <v>625</v>
      </c>
      <c r="G195" s="704" t="s">
        <v>8183</v>
      </c>
      <c r="H195" s="705" t="s">
        <v>8184</v>
      </c>
      <c r="I195" s="613" t="s">
        <v>3881</v>
      </c>
      <c r="J195" s="637"/>
      <c r="K195" s="611"/>
      <c r="L195" s="110"/>
      <c r="M195" s="110"/>
    </row>
    <row r="196" spans="1:13" ht="60">
      <c r="A196" s="689">
        <v>184</v>
      </c>
      <c r="B196" s="631" t="s">
        <v>8185</v>
      </c>
      <c r="C196" s="631" t="s">
        <v>7581</v>
      </c>
      <c r="D196" s="702" t="s">
        <v>7698</v>
      </c>
      <c r="E196" s="703">
        <v>20</v>
      </c>
      <c r="F196" s="703">
        <v>500</v>
      </c>
      <c r="G196" s="704" t="s">
        <v>8186</v>
      </c>
      <c r="H196" s="705" t="s">
        <v>8187</v>
      </c>
      <c r="I196" s="613" t="s">
        <v>8188</v>
      </c>
      <c r="J196" s="637"/>
      <c r="K196" s="611"/>
      <c r="L196" s="110"/>
      <c r="M196" s="110"/>
    </row>
    <row r="197" spans="1:13" ht="45">
      <c r="A197" s="689">
        <v>185</v>
      </c>
      <c r="B197" s="631" t="s">
        <v>8189</v>
      </c>
      <c r="C197" s="631" t="s">
        <v>7581</v>
      </c>
      <c r="D197" s="702" t="s">
        <v>7698</v>
      </c>
      <c r="E197" s="703">
        <v>20</v>
      </c>
      <c r="F197" s="703">
        <v>125</v>
      </c>
      <c r="G197" s="704" t="s">
        <v>8190</v>
      </c>
      <c r="H197" s="705" t="s">
        <v>8191</v>
      </c>
      <c r="I197" s="613" t="s">
        <v>8192</v>
      </c>
      <c r="J197" s="637"/>
      <c r="K197" s="611"/>
      <c r="L197" s="110"/>
      <c r="M197" s="110"/>
    </row>
    <row r="198" spans="1:13" ht="60">
      <c r="A198" s="689">
        <v>186</v>
      </c>
      <c r="B198" s="631" t="s">
        <v>8193</v>
      </c>
      <c r="C198" s="631" t="s">
        <v>7581</v>
      </c>
      <c r="D198" s="702" t="s">
        <v>7724</v>
      </c>
      <c r="E198" s="703">
        <v>60</v>
      </c>
      <c r="F198" s="703">
        <v>250</v>
      </c>
      <c r="G198" s="704" t="s">
        <v>8194</v>
      </c>
      <c r="H198" s="705" t="s">
        <v>7960</v>
      </c>
      <c r="I198" s="613" t="s">
        <v>8195</v>
      </c>
      <c r="J198" s="637"/>
      <c r="K198" s="611"/>
      <c r="L198" s="110"/>
      <c r="M198" s="110"/>
    </row>
    <row r="199" spans="1:13" ht="45">
      <c r="A199" s="689">
        <v>187</v>
      </c>
      <c r="B199" s="631" t="s">
        <v>8196</v>
      </c>
      <c r="C199" s="631" t="s">
        <v>7581</v>
      </c>
      <c r="D199" s="702" t="s">
        <v>7724</v>
      </c>
      <c r="E199" s="703">
        <v>40</v>
      </c>
      <c r="F199" s="703">
        <v>250</v>
      </c>
      <c r="G199" s="704" t="s">
        <v>8197</v>
      </c>
      <c r="H199" s="705" t="s">
        <v>6871</v>
      </c>
      <c r="I199" s="613" t="s">
        <v>7974</v>
      </c>
      <c r="J199" s="637"/>
      <c r="K199" s="611"/>
      <c r="L199" s="110"/>
      <c r="M199" s="110"/>
    </row>
    <row r="200" spans="1:13" ht="45">
      <c r="A200" s="689">
        <v>188</v>
      </c>
      <c r="B200" s="631" t="s">
        <v>8196</v>
      </c>
      <c r="C200" s="631" t="s">
        <v>7581</v>
      </c>
      <c r="D200" s="702" t="s">
        <v>7724</v>
      </c>
      <c r="E200" s="703">
        <v>60</v>
      </c>
      <c r="F200" s="703">
        <v>375</v>
      </c>
      <c r="G200" s="704" t="s">
        <v>8198</v>
      </c>
      <c r="H200" s="705" t="s">
        <v>8199</v>
      </c>
      <c r="I200" s="613" t="s">
        <v>8200</v>
      </c>
      <c r="J200" s="637"/>
      <c r="K200" s="611"/>
      <c r="L200" s="110"/>
      <c r="M200" s="110"/>
    </row>
    <row r="201" spans="1:13" ht="45">
      <c r="A201" s="689">
        <v>189</v>
      </c>
      <c r="B201" s="631" t="s">
        <v>8201</v>
      </c>
      <c r="C201" s="631" t="s">
        <v>7581</v>
      </c>
      <c r="D201" s="702" t="s">
        <v>7724</v>
      </c>
      <c r="E201" s="703">
        <v>50</v>
      </c>
      <c r="F201" s="703">
        <v>375</v>
      </c>
      <c r="G201" s="704" t="s">
        <v>8202</v>
      </c>
      <c r="H201" s="705" t="s">
        <v>8203</v>
      </c>
      <c r="I201" s="613" t="s">
        <v>8204</v>
      </c>
      <c r="J201" s="637"/>
      <c r="K201" s="611"/>
      <c r="L201" s="110"/>
      <c r="M201" s="110"/>
    </row>
    <row r="202" spans="1:13" ht="60">
      <c r="A202" s="689">
        <v>190</v>
      </c>
      <c r="B202" s="631" t="s">
        <v>8205</v>
      </c>
      <c r="C202" s="631" t="s">
        <v>7581</v>
      </c>
      <c r="D202" s="702" t="s">
        <v>7591</v>
      </c>
      <c r="E202" s="703">
        <v>30</v>
      </c>
      <c r="F202" s="703">
        <v>375</v>
      </c>
      <c r="G202" s="704" t="s">
        <v>8206</v>
      </c>
      <c r="H202" s="705" t="s">
        <v>8207</v>
      </c>
      <c r="I202" s="613" t="s">
        <v>8208</v>
      </c>
      <c r="J202" s="637"/>
      <c r="K202" s="611"/>
      <c r="L202" s="110"/>
      <c r="M202" s="110"/>
    </row>
    <row r="203" spans="1:13" ht="30">
      <c r="A203" s="689">
        <v>191</v>
      </c>
      <c r="B203" s="631" t="s">
        <v>8209</v>
      </c>
      <c r="C203" s="631" t="s">
        <v>7581</v>
      </c>
      <c r="D203" s="702" t="s">
        <v>7698</v>
      </c>
      <c r="E203" s="703">
        <v>20</v>
      </c>
      <c r="F203" s="703">
        <v>375</v>
      </c>
      <c r="G203" s="704" t="s">
        <v>8210</v>
      </c>
      <c r="H203" s="705" t="s">
        <v>8211</v>
      </c>
      <c r="I203" s="613" t="s">
        <v>8212</v>
      </c>
      <c r="J203" s="637"/>
      <c r="K203" s="611"/>
      <c r="L203" s="110"/>
      <c r="M203" s="110"/>
    </row>
    <row r="204" spans="1:13" ht="45">
      <c r="A204" s="689">
        <v>192</v>
      </c>
      <c r="B204" s="631" t="s">
        <v>8213</v>
      </c>
      <c r="C204" s="631" t="s">
        <v>7581</v>
      </c>
      <c r="D204" s="702" t="s">
        <v>7591</v>
      </c>
      <c r="E204" s="703">
        <v>40</v>
      </c>
      <c r="F204" s="703">
        <v>250</v>
      </c>
      <c r="G204" s="704" t="s">
        <v>8214</v>
      </c>
      <c r="H204" s="613" t="s">
        <v>8215</v>
      </c>
      <c r="I204" s="705" t="s">
        <v>8216</v>
      </c>
      <c r="J204" s="705"/>
      <c r="K204" s="611"/>
      <c r="L204" s="110"/>
      <c r="M204" s="110"/>
    </row>
    <row r="205" spans="1:13" ht="30">
      <c r="A205" s="689">
        <v>193</v>
      </c>
      <c r="B205" s="631" t="s">
        <v>8217</v>
      </c>
      <c r="C205" s="631" t="s">
        <v>7581</v>
      </c>
      <c r="D205" s="702" t="s">
        <v>8097</v>
      </c>
      <c r="E205" s="703">
        <v>250</v>
      </c>
      <c r="F205" s="703">
        <v>2500</v>
      </c>
      <c r="G205" s="704" t="s">
        <v>8218</v>
      </c>
      <c r="H205" s="705" t="s">
        <v>8219</v>
      </c>
      <c r="I205" s="613" t="s">
        <v>8220</v>
      </c>
      <c r="J205" s="637"/>
      <c r="K205" s="611"/>
      <c r="L205" s="110"/>
      <c r="M205" s="110"/>
    </row>
    <row r="206" spans="1:13" ht="45">
      <c r="A206" s="689">
        <v>194</v>
      </c>
      <c r="B206" s="631" t="s">
        <v>8221</v>
      </c>
      <c r="C206" s="631" t="s">
        <v>7581</v>
      </c>
      <c r="D206" s="702" t="s">
        <v>7591</v>
      </c>
      <c r="E206" s="703" t="s">
        <v>8222</v>
      </c>
      <c r="F206" s="703" t="s">
        <v>8087</v>
      </c>
      <c r="G206" s="704" t="s">
        <v>8223</v>
      </c>
      <c r="H206" s="705" t="s">
        <v>8224</v>
      </c>
      <c r="I206" s="613" t="s">
        <v>8225</v>
      </c>
      <c r="J206" s="637"/>
      <c r="K206" s="611"/>
      <c r="L206" s="110"/>
      <c r="M206" s="110"/>
    </row>
    <row r="207" spans="1:13" ht="30">
      <c r="A207" s="689">
        <v>195</v>
      </c>
      <c r="B207" s="631" t="s">
        <v>8226</v>
      </c>
      <c r="C207" s="631" t="s">
        <v>7581</v>
      </c>
      <c r="D207" s="702" t="s">
        <v>7698</v>
      </c>
      <c r="E207" s="703">
        <v>30</v>
      </c>
      <c r="F207" s="703">
        <v>250</v>
      </c>
      <c r="G207" s="704" t="s">
        <v>8227</v>
      </c>
      <c r="H207" s="705" t="s">
        <v>6871</v>
      </c>
      <c r="I207" s="613" t="s">
        <v>8228</v>
      </c>
      <c r="J207" s="637"/>
      <c r="K207" s="611"/>
      <c r="L207" s="110"/>
      <c r="M207" s="110"/>
    </row>
    <row r="208" spans="1:13" ht="45">
      <c r="A208" s="689">
        <v>196</v>
      </c>
      <c r="B208" s="631" t="s">
        <v>8229</v>
      </c>
      <c r="C208" s="631" t="s">
        <v>7581</v>
      </c>
      <c r="D208" s="702" t="s">
        <v>7698</v>
      </c>
      <c r="E208" s="703">
        <v>40</v>
      </c>
      <c r="F208" s="703">
        <v>250</v>
      </c>
      <c r="G208" s="704" t="s">
        <v>8230</v>
      </c>
      <c r="H208" s="705" t="s">
        <v>8231</v>
      </c>
      <c r="I208" s="613" t="s">
        <v>8232</v>
      </c>
      <c r="J208" s="637"/>
      <c r="K208" s="611"/>
      <c r="L208" s="110"/>
      <c r="M208" s="110"/>
    </row>
    <row r="209" spans="1:13" ht="30">
      <c r="A209" s="689">
        <v>197</v>
      </c>
      <c r="B209" s="631" t="s">
        <v>8233</v>
      </c>
      <c r="C209" s="631" t="s">
        <v>7581</v>
      </c>
      <c r="D209" s="702" t="s">
        <v>7817</v>
      </c>
      <c r="E209" s="703">
        <v>50</v>
      </c>
      <c r="F209" s="703">
        <v>200</v>
      </c>
      <c r="G209" s="704" t="s">
        <v>8234</v>
      </c>
      <c r="H209" s="705" t="s">
        <v>7886</v>
      </c>
      <c r="I209" s="613" t="s">
        <v>7045</v>
      </c>
      <c r="J209" s="637"/>
      <c r="K209" s="611"/>
      <c r="L209" s="110"/>
      <c r="M209" s="110"/>
    </row>
    <row r="210" spans="1:13" ht="30">
      <c r="A210" s="689">
        <v>198</v>
      </c>
      <c r="B210" s="631" t="s">
        <v>8235</v>
      </c>
      <c r="C210" s="631" t="s">
        <v>7581</v>
      </c>
      <c r="D210" s="702" t="s">
        <v>7817</v>
      </c>
      <c r="E210" s="703" t="s">
        <v>8236</v>
      </c>
      <c r="F210" s="703">
        <v>723.68400000000008</v>
      </c>
      <c r="G210" s="704" t="s">
        <v>8237</v>
      </c>
      <c r="H210" s="705" t="s">
        <v>8238</v>
      </c>
      <c r="I210" s="613" t="s">
        <v>8239</v>
      </c>
      <c r="J210" s="637"/>
      <c r="K210" s="611"/>
      <c r="L210" s="110"/>
      <c r="M210" s="110"/>
    </row>
    <row r="211" spans="1:13" ht="30">
      <c r="A211" s="689">
        <v>199</v>
      </c>
      <c r="B211" s="631" t="s">
        <v>8240</v>
      </c>
      <c r="C211" s="631" t="s">
        <v>7581</v>
      </c>
      <c r="D211" s="702" t="s">
        <v>7817</v>
      </c>
      <c r="E211" s="703">
        <v>30</v>
      </c>
      <c r="F211" s="703">
        <v>625</v>
      </c>
      <c r="G211" s="704" t="s">
        <v>8241</v>
      </c>
      <c r="H211" s="705" t="s">
        <v>8242</v>
      </c>
      <c r="I211" s="613" t="s">
        <v>8204</v>
      </c>
      <c r="J211" s="637"/>
      <c r="K211" s="611"/>
      <c r="L211" s="110"/>
      <c r="M211" s="110"/>
    </row>
    <row r="212" spans="1:13" ht="30">
      <c r="A212" s="689">
        <v>200</v>
      </c>
      <c r="B212" s="631" t="s">
        <v>8243</v>
      </c>
      <c r="C212" s="631" t="s">
        <v>7581</v>
      </c>
      <c r="D212" s="702" t="s">
        <v>7817</v>
      </c>
      <c r="E212" s="703">
        <v>62.52</v>
      </c>
      <c r="F212" s="703">
        <v>1250</v>
      </c>
      <c r="G212" s="704" t="s">
        <v>8244</v>
      </c>
      <c r="H212" s="705" t="s">
        <v>8245</v>
      </c>
      <c r="I212" s="613" t="s">
        <v>8246</v>
      </c>
      <c r="J212" s="637"/>
      <c r="K212" s="611"/>
      <c r="L212" s="110"/>
      <c r="M212" s="110"/>
    </row>
    <row r="213" spans="1:13" ht="30">
      <c r="A213" s="689">
        <v>201</v>
      </c>
      <c r="B213" s="631" t="s">
        <v>8247</v>
      </c>
      <c r="C213" s="631" t="s">
        <v>7581</v>
      </c>
      <c r="D213" s="702" t="s">
        <v>7817</v>
      </c>
      <c r="E213" s="703">
        <v>30</v>
      </c>
      <c r="F213" s="703">
        <v>375</v>
      </c>
      <c r="G213" s="704" t="s">
        <v>8248</v>
      </c>
      <c r="H213" s="705" t="s">
        <v>8249</v>
      </c>
      <c r="I213" s="613" t="s">
        <v>8250</v>
      </c>
      <c r="J213" s="637"/>
      <c r="K213" s="611"/>
      <c r="L213" s="110"/>
      <c r="M213" s="110"/>
    </row>
    <row r="214" spans="1:13" ht="30">
      <c r="A214" s="689">
        <v>202</v>
      </c>
      <c r="B214" s="631" t="s">
        <v>8251</v>
      </c>
      <c r="C214" s="631" t="s">
        <v>7581</v>
      </c>
      <c r="D214" s="702" t="s">
        <v>7817</v>
      </c>
      <c r="E214" s="703">
        <v>80</v>
      </c>
      <c r="F214" s="703">
        <v>750</v>
      </c>
      <c r="G214" s="704" t="s">
        <v>8252</v>
      </c>
      <c r="H214" s="705" t="s">
        <v>8167</v>
      </c>
      <c r="I214" s="613" t="s">
        <v>7042</v>
      </c>
      <c r="J214" s="637"/>
      <c r="K214" s="611"/>
      <c r="L214" s="110"/>
      <c r="M214" s="110"/>
    </row>
    <row r="215" spans="1:13" ht="30">
      <c r="A215" s="689">
        <v>203</v>
      </c>
      <c r="B215" s="631" t="s">
        <v>8253</v>
      </c>
      <c r="C215" s="631" t="s">
        <v>7581</v>
      </c>
      <c r="D215" s="702" t="s">
        <v>7817</v>
      </c>
      <c r="E215" s="703">
        <v>18</v>
      </c>
      <c r="F215" s="703">
        <v>375</v>
      </c>
      <c r="G215" s="704" t="s">
        <v>8254</v>
      </c>
      <c r="H215" s="705" t="s">
        <v>8255</v>
      </c>
      <c r="I215" s="613" t="s">
        <v>7934</v>
      </c>
      <c r="J215" s="637"/>
      <c r="K215" s="611"/>
      <c r="L215" s="110"/>
      <c r="M215" s="110"/>
    </row>
    <row r="216" spans="1:13" ht="30">
      <c r="A216" s="689">
        <v>204</v>
      </c>
      <c r="B216" s="631" t="s">
        <v>8256</v>
      </c>
      <c r="C216" s="631" t="s">
        <v>7581</v>
      </c>
      <c r="D216" s="702" t="s">
        <v>7817</v>
      </c>
      <c r="E216" s="703">
        <v>50</v>
      </c>
      <c r="F216" s="703">
        <v>500</v>
      </c>
      <c r="G216" s="704" t="s">
        <v>8257</v>
      </c>
      <c r="H216" s="705" t="s">
        <v>3856</v>
      </c>
      <c r="I216" s="613" t="s">
        <v>8258</v>
      </c>
      <c r="J216" s="637"/>
      <c r="K216" s="611"/>
      <c r="L216" s="110"/>
      <c r="M216" s="110"/>
    </row>
    <row r="217" spans="1:13" ht="30">
      <c r="A217" s="689">
        <v>205</v>
      </c>
      <c r="B217" s="631" t="s">
        <v>8259</v>
      </c>
      <c r="C217" s="631" t="s">
        <v>7581</v>
      </c>
      <c r="D217" s="702" t="s">
        <v>7817</v>
      </c>
      <c r="E217" s="703">
        <v>120</v>
      </c>
      <c r="F217" s="703">
        <v>1066.97</v>
      </c>
      <c r="G217" s="704" t="s">
        <v>8260</v>
      </c>
      <c r="H217" s="705" t="s">
        <v>8261</v>
      </c>
      <c r="I217" s="613" t="s">
        <v>8262</v>
      </c>
      <c r="J217" s="637"/>
      <c r="K217" s="611"/>
      <c r="L217" s="110"/>
      <c r="M217" s="110"/>
    </row>
    <row r="218" spans="1:13" ht="45">
      <c r="A218" s="689">
        <v>206</v>
      </c>
      <c r="B218" s="631" t="s">
        <v>8263</v>
      </c>
      <c r="C218" s="631" t="s">
        <v>7581</v>
      </c>
      <c r="D218" s="702" t="s">
        <v>7817</v>
      </c>
      <c r="E218" s="703">
        <v>120</v>
      </c>
      <c r="F218" s="703">
        <v>800</v>
      </c>
      <c r="G218" s="704" t="s">
        <v>8264</v>
      </c>
      <c r="H218" s="705" t="s">
        <v>3730</v>
      </c>
      <c r="I218" s="613" t="s">
        <v>8265</v>
      </c>
      <c r="J218" s="637"/>
      <c r="K218" s="611"/>
      <c r="L218" s="110"/>
      <c r="M218" s="110"/>
    </row>
    <row r="219" spans="1:13" ht="30">
      <c r="A219" s="689">
        <v>207</v>
      </c>
      <c r="B219" s="631" t="s">
        <v>8266</v>
      </c>
      <c r="C219" s="631" t="s">
        <v>7581</v>
      </c>
      <c r="D219" s="702" t="s">
        <v>7817</v>
      </c>
      <c r="E219" s="703">
        <v>30</v>
      </c>
      <c r="F219" s="703">
        <v>700</v>
      </c>
      <c r="G219" s="704" t="s">
        <v>8267</v>
      </c>
      <c r="H219" s="705" t="s">
        <v>8268</v>
      </c>
      <c r="I219" s="613" t="s">
        <v>7934</v>
      </c>
      <c r="J219" s="637"/>
      <c r="K219" s="611"/>
      <c r="L219" s="110"/>
      <c r="M219" s="110"/>
    </row>
    <row r="220" spans="1:13" ht="45">
      <c r="A220" s="689">
        <v>208</v>
      </c>
      <c r="B220" s="631" t="s">
        <v>8269</v>
      </c>
      <c r="C220" s="631" t="s">
        <v>7581</v>
      </c>
      <c r="D220" s="702" t="s">
        <v>7817</v>
      </c>
      <c r="E220" s="703">
        <v>40</v>
      </c>
      <c r="F220" s="703">
        <v>750</v>
      </c>
      <c r="G220" s="704" t="s">
        <v>8270</v>
      </c>
      <c r="H220" s="705" t="s">
        <v>8271</v>
      </c>
      <c r="I220" s="613" t="s">
        <v>8250</v>
      </c>
      <c r="J220" s="637"/>
      <c r="K220" s="611"/>
      <c r="L220" s="110"/>
      <c r="M220" s="110"/>
    </row>
    <row r="221" spans="1:13" ht="45">
      <c r="A221" s="689">
        <v>209</v>
      </c>
      <c r="B221" s="631" t="s">
        <v>8272</v>
      </c>
      <c r="C221" s="631" t="s">
        <v>7581</v>
      </c>
      <c r="D221" s="702" t="s">
        <v>7817</v>
      </c>
      <c r="E221" s="703">
        <v>120</v>
      </c>
      <c r="F221" s="703">
        <v>1159.75</v>
      </c>
      <c r="G221" s="704" t="s">
        <v>8273</v>
      </c>
      <c r="H221" s="705" t="s">
        <v>8274</v>
      </c>
      <c r="I221" s="613" t="s">
        <v>8275</v>
      </c>
      <c r="J221" s="637"/>
      <c r="K221" s="611"/>
      <c r="L221" s="110"/>
      <c r="M221" s="110"/>
    </row>
    <row r="222" spans="1:13" ht="60">
      <c r="A222" s="689">
        <v>210</v>
      </c>
      <c r="B222" s="631" t="s">
        <v>8276</v>
      </c>
      <c r="C222" s="631" t="s">
        <v>7581</v>
      </c>
      <c r="D222" s="702" t="s">
        <v>7734</v>
      </c>
      <c r="E222" s="703">
        <v>60</v>
      </c>
      <c r="F222" s="703">
        <v>375</v>
      </c>
      <c r="G222" s="704" t="s">
        <v>8277</v>
      </c>
      <c r="H222" s="705" t="s">
        <v>7977</v>
      </c>
      <c r="I222" s="613" t="s">
        <v>8278</v>
      </c>
      <c r="J222" s="637"/>
      <c r="K222" s="611"/>
      <c r="L222" s="110"/>
      <c r="M222" s="110"/>
    </row>
    <row r="223" spans="1:13" ht="30">
      <c r="A223" s="689">
        <v>211</v>
      </c>
      <c r="B223" s="631" t="s">
        <v>8279</v>
      </c>
      <c r="C223" s="631" t="s">
        <v>7581</v>
      </c>
      <c r="D223" s="702" t="s">
        <v>7734</v>
      </c>
      <c r="E223" s="703">
        <v>120</v>
      </c>
      <c r="F223" s="703">
        <v>190</v>
      </c>
      <c r="G223" s="704" t="s">
        <v>8280</v>
      </c>
      <c r="H223" s="705" t="s">
        <v>8281</v>
      </c>
      <c r="I223" s="613" t="s">
        <v>8204</v>
      </c>
      <c r="J223" s="637"/>
      <c r="K223" s="611"/>
      <c r="L223" s="110"/>
      <c r="M223" s="110"/>
    </row>
    <row r="224" spans="1:13" ht="30">
      <c r="A224" s="689">
        <v>212</v>
      </c>
      <c r="B224" s="631" t="s">
        <v>8282</v>
      </c>
      <c r="C224" s="631" t="s">
        <v>7581</v>
      </c>
      <c r="D224" s="702" t="s">
        <v>7734</v>
      </c>
      <c r="E224" s="703">
        <v>100</v>
      </c>
      <c r="F224" s="703">
        <v>1449.6875</v>
      </c>
      <c r="G224" s="704" t="s">
        <v>8283</v>
      </c>
      <c r="H224" s="705" t="s">
        <v>6182</v>
      </c>
      <c r="I224" s="613" t="s">
        <v>8284</v>
      </c>
      <c r="J224" s="637"/>
      <c r="K224" s="611"/>
      <c r="L224" s="110"/>
      <c r="M224" s="110"/>
    </row>
    <row r="225" spans="1:13" ht="45">
      <c r="A225" s="689">
        <v>213</v>
      </c>
      <c r="B225" s="631" t="s">
        <v>8285</v>
      </c>
      <c r="C225" s="631" t="s">
        <v>7581</v>
      </c>
      <c r="D225" s="702" t="s">
        <v>7724</v>
      </c>
      <c r="E225" s="703">
        <v>50</v>
      </c>
      <c r="F225" s="703">
        <v>250</v>
      </c>
      <c r="G225" s="704" t="s">
        <v>8286</v>
      </c>
      <c r="H225" s="705" t="s">
        <v>7936</v>
      </c>
      <c r="I225" s="613" t="s">
        <v>8153</v>
      </c>
      <c r="J225" s="637"/>
      <c r="K225" s="611"/>
      <c r="L225" s="110"/>
      <c r="M225" s="110"/>
    </row>
    <row r="226" spans="1:13" ht="45">
      <c r="A226" s="689">
        <v>214</v>
      </c>
      <c r="B226" s="631" t="s">
        <v>8287</v>
      </c>
      <c r="C226" s="631" t="s">
        <v>7581</v>
      </c>
      <c r="D226" s="702" t="s">
        <v>7724</v>
      </c>
      <c r="E226" s="703">
        <v>60</v>
      </c>
      <c r="F226" s="703">
        <v>375</v>
      </c>
      <c r="G226" s="704" t="s">
        <v>8288</v>
      </c>
      <c r="H226" s="705" t="s">
        <v>3863</v>
      </c>
      <c r="I226" s="613" t="s">
        <v>8289</v>
      </c>
      <c r="J226" s="637"/>
      <c r="K226" s="611"/>
      <c r="L226" s="110"/>
      <c r="M226" s="110"/>
    </row>
    <row r="227" spans="1:13" ht="45">
      <c r="A227" s="689">
        <v>215</v>
      </c>
      <c r="B227" s="631" t="s">
        <v>8290</v>
      </c>
      <c r="C227" s="631" t="s">
        <v>7581</v>
      </c>
      <c r="D227" s="702" t="s">
        <v>7724</v>
      </c>
      <c r="E227" s="703">
        <v>50</v>
      </c>
      <c r="F227" s="703">
        <v>250</v>
      </c>
      <c r="G227" s="704" t="s">
        <v>8291</v>
      </c>
      <c r="H227" s="705" t="s">
        <v>7897</v>
      </c>
      <c r="I227" s="613" t="s">
        <v>8292</v>
      </c>
      <c r="J227" s="637"/>
      <c r="K227" s="611"/>
      <c r="L227" s="110"/>
      <c r="M227" s="110"/>
    </row>
    <row r="228" spans="1:13" ht="60">
      <c r="A228" s="689">
        <v>216</v>
      </c>
      <c r="B228" s="631" t="s">
        <v>8205</v>
      </c>
      <c r="C228" s="631" t="s">
        <v>7581</v>
      </c>
      <c r="D228" s="702" t="s">
        <v>7724</v>
      </c>
      <c r="E228" s="703">
        <v>70</v>
      </c>
      <c r="F228" s="703">
        <v>375</v>
      </c>
      <c r="G228" s="704" t="s">
        <v>8293</v>
      </c>
      <c r="H228" s="705" t="s">
        <v>8294</v>
      </c>
      <c r="I228" s="613" t="s">
        <v>8295</v>
      </c>
      <c r="J228" s="637"/>
      <c r="K228" s="611"/>
      <c r="L228" s="110"/>
      <c r="M228" s="110"/>
    </row>
    <row r="229" spans="1:13" ht="45">
      <c r="A229" s="689">
        <v>217</v>
      </c>
      <c r="B229" s="631" t="s">
        <v>8296</v>
      </c>
      <c r="C229" s="631" t="s">
        <v>7581</v>
      </c>
      <c r="D229" s="702" t="s">
        <v>7724</v>
      </c>
      <c r="E229" s="703">
        <v>40</v>
      </c>
      <c r="F229" s="703">
        <v>250</v>
      </c>
      <c r="G229" s="704" t="s">
        <v>8297</v>
      </c>
      <c r="H229" s="705" t="s">
        <v>8298</v>
      </c>
      <c r="I229" s="613" t="s">
        <v>8299</v>
      </c>
      <c r="J229" s="637"/>
      <c r="K229" s="611"/>
      <c r="L229" s="110"/>
      <c r="M229" s="110"/>
    </row>
    <row r="230" spans="1:13" ht="45">
      <c r="A230" s="689">
        <v>218</v>
      </c>
      <c r="B230" s="631" t="s">
        <v>8300</v>
      </c>
      <c r="C230" s="631" t="s">
        <v>7581</v>
      </c>
      <c r="D230" s="702" t="s">
        <v>7724</v>
      </c>
      <c r="E230" s="703">
        <v>40</v>
      </c>
      <c r="F230" s="703">
        <v>250</v>
      </c>
      <c r="G230" s="704" t="s">
        <v>8301</v>
      </c>
      <c r="H230" s="705" t="s">
        <v>8302</v>
      </c>
      <c r="I230" s="613" t="s">
        <v>8303</v>
      </c>
      <c r="J230" s="637"/>
      <c r="K230" s="611"/>
      <c r="L230" s="110"/>
      <c r="M230" s="110"/>
    </row>
    <row r="231" spans="1:13" ht="45">
      <c r="A231" s="689">
        <v>219</v>
      </c>
      <c r="B231" s="631" t="s">
        <v>8304</v>
      </c>
      <c r="C231" s="631" t="s">
        <v>7581</v>
      </c>
      <c r="D231" s="702" t="s">
        <v>7724</v>
      </c>
      <c r="E231" s="703">
        <v>50</v>
      </c>
      <c r="F231" s="703">
        <v>250</v>
      </c>
      <c r="G231" s="704" t="s">
        <v>8305</v>
      </c>
      <c r="H231" s="705" t="s">
        <v>8306</v>
      </c>
      <c r="I231" s="613" t="s">
        <v>8307</v>
      </c>
      <c r="J231" s="637"/>
      <c r="K231" s="611"/>
      <c r="L231" s="110"/>
      <c r="M231" s="110"/>
    </row>
    <row r="232" spans="1:13" ht="45">
      <c r="A232" s="689">
        <v>220</v>
      </c>
      <c r="B232" s="631" t="s">
        <v>8308</v>
      </c>
      <c r="C232" s="631" t="s">
        <v>7581</v>
      </c>
      <c r="D232" s="702" t="s">
        <v>7724</v>
      </c>
      <c r="E232" s="703">
        <v>40</v>
      </c>
      <c r="F232" s="703">
        <v>250</v>
      </c>
      <c r="G232" s="704" t="s">
        <v>8309</v>
      </c>
      <c r="H232" s="705" t="s">
        <v>8310</v>
      </c>
      <c r="I232" s="613" t="s">
        <v>8311</v>
      </c>
      <c r="J232" s="637"/>
      <c r="K232" s="611"/>
      <c r="L232" s="110"/>
      <c r="M232" s="110"/>
    </row>
    <row r="233" spans="1:13" ht="45">
      <c r="A233" s="689">
        <v>221</v>
      </c>
      <c r="B233" s="631" t="s">
        <v>8312</v>
      </c>
      <c r="C233" s="631" t="s">
        <v>7581</v>
      </c>
      <c r="D233" s="702" t="s">
        <v>7724</v>
      </c>
      <c r="E233" s="703">
        <v>40</v>
      </c>
      <c r="F233" s="703">
        <v>250</v>
      </c>
      <c r="G233" s="704" t="s">
        <v>8313</v>
      </c>
      <c r="H233" s="705" t="s">
        <v>8242</v>
      </c>
      <c r="I233" s="613" t="s">
        <v>8314</v>
      </c>
      <c r="J233" s="637"/>
      <c r="K233" s="611"/>
      <c r="L233" s="110"/>
      <c r="M233" s="110"/>
    </row>
    <row r="234" spans="1:13" ht="30">
      <c r="A234" s="689">
        <v>222</v>
      </c>
      <c r="B234" s="631" t="s">
        <v>8315</v>
      </c>
      <c r="C234" s="631" t="s">
        <v>7581</v>
      </c>
      <c r="D234" s="702" t="s">
        <v>7632</v>
      </c>
      <c r="E234" s="703">
        <v>26.36</v>
      </c>
      <c r="F234" s="703">
        <v>250</v>
      </c>
      <c r="G234" s="704" t="s">
        <v>8316</v>
      </c>
      <c r="H234" s="705" t="s">
        <v>8317</v>
      </c>
      <c r="I234" s="613" t="s">
        <v>8318</v>
      </c>
      <c r="J234" s="637"/>
      <c r="K234" s="611"/>
      <c r="L234" s="110"/>
      <c r="M234" s="110"/>
    </row>
    <row r="235" spans="1:13" ht="45">
      <c r="A235" s="689">
        <v>223</v>
      </c>
      <c r="B235" s="631" t="s">
        <v>8319</v>
      </c>
      <c r="C235" s="631" t="s">
        <v>7581</v>
      </c>
      <c r="D235" s="702" t="s">
        <v>8097</v>
      </c>
      <c r="E235" s="703" t="s">
        <v>8320</v>
      </c>
      <c r="F235" s="703">
        <v>440</v>
      </c>
      <c r="G235" s="704" t="s">
        <v>8321</v>
      </c>
      <c r="H235" s="705" t="s">
        <v>3905</v>
      </c>
      <c r="I235" s="613" t="s">
        <v>8322</v>
      </c>
      <c r="J235" s="637"/>
      <c r="K235" s="611"/>
      <c r="L235" s="110"/>
      <c r="M235" s="110"/>
    </row>
    <row r="236" spans="1:13" ht="30">
      <c r="A236" s="689">
        <v>224</v>
      </c>
      <c r="B236" s="631" t="s">
        <v>8323</v>
      </c>
      <c r="C236" s="631" t="s">
        <v>7581</v>
      </c>
      <c r="D236" s="702" t="s">
        <v>8097</v>
      </c>
      <c r="E236" s="703" t="s">
        <v>8324</v>
      </c>
      <c r="F236" s="703">
        <v>300</v>
      </c>
      <c r="G236" s="704" t="s">
        <v>8325</v>
      </c>
      <c r="H236" s="705" t="s">
        <v>3905</v>
      </c>
      <c r="I236" s="613" t="s">
        <v>8326</v>
      </c>
      <c r="J236" s="637"/>
      <c r="K236" s="611"/>
      <c r="L236" s="110"/>
      <c r="M236" s="110"/>
    </row>
    <row r="237" spans="1:13" ht="75">
      <c r="A237" s="689">
        <v>225</v>
      </c>
      <c r="B237" s="631" t="s">
        <v>8327</v>
      </c>
      <c r="C237" s="631" t="s">
        <v>7581</v>
      </c>
      <c r="D237" s="702" t="s">
        <v>7724</v>
      </c>
      <c r="E237" s="703" t="s">
        <v>8328</v>
      </c>
      <c r="F237" s="703">
        <v>1500</v>
      </c>
      <c r="G237" s="704" t="s">
        <v>8329</v>
      </c>
      <c r="H237" s="705" t="s">
        <v>8330</v>
      </c>
      <c r="I237" s="613" t="s">
        <v>8331</v>
      </c>
      <c r="J237" s="637"/>
      <c r="K237" s="611"/>
      <c r="L237" s="110"/>
      <c r="M237" s="110"/>
    </row>
    <row r="238" spans="1:13" ht="30">
      <c r="A238" s="689">
        <v>226</v>
      </c>
      <c r="B238" s="631" t="s">
        <v>8332</v>
      </c>
      <c r="C238" s="631" t="s">
        <v>7581</v>
      </c>
      <c r="D238" s="702" t="s">
        <v>7698</v>
      </c>
      <c r="E238" s="703">
        <v>47</v>
      </c>
      <c r="F238" s="703">
        <v>375</v>
      </c>
      <c r="G238" s="704" t="s">
        <v>8333</v>
      </c>
      <c r="H238" s="705" t="s">
        <v>3852</v>
      </c>
      <c r="I238" s="613" t="s">
        <v>8334</v>
      </c>
      <c r="J238" s="637"/>
      <c r="K238" s="611"/>
      <c r="L238" s="110"/>
      <c r="M238" s="110"/>
    </row>
    <row r="239" spans="1:13" ht="30">
      <c r="A239" s="689">
        <v>227</v>
      </c>
      <c r="B239" s="631" t="s">
        <v>8335</v>
      </c>
      <c r="C239" s="631" t="s">
        <v>7581</v>
      </c>
      <c r="D239" s="702" t="s">
        <v>7698</v>
      </c>
      <c r="E239" s="703">
        <v>60</v>
      </c>
      <c r="F239" s="703">
        <v>275</v>
      </c>
      <c r="G239" s="704" t="s">
        <v>8336</v>
      </c>
      <c r="H239" s="705" t="s">
        <v>8337</v>
      </c>
      <c r="I239" s="613" t="s">
        <v>8338</v>
      </c>
      <c r="J239" s="637"/>
      <c r="K239" s="611"/>
      <c r="L239" s="110"/>
      <c r="M239" s="110"/>
    </row>
    <row r="240" spans="1:13" ht="30">
      <c r="A240" s="689">
        <v>228</v>
      </c>
      <c r="B240" s="631" t="s">
        <v>8339</v>
      </c>
      <c r="C240" s="631" t="s">
        <v>7581</v>
      </c>
      <c r="D240" s="702" t="s">
        <v>7698</v>
      </c>
      <c r="E240" s="703">
        <v>55</v>
      </c>
      <c r="F240" s="703" t="s">
        <v>7990</v>
      </c>
      <c r="G240" s="704" t="s">
        <v>8340</v>
      </c>
      <c r="H240" s="705" t="s">
        <v>8341</v>
      </c>
      <c r="I240" s="613" t="s">
        <v>8035</v>
      </c>
      <c r="J240" s="637"/>
      <c r="K240" s="611"/>
      <c r="L240" s="110"/>
      <c r="M240" s="110"/>
    </row>
    <row r="241" spans="1:13" ht="30">
      <c r="A241" s="689">
        <v>229</v>
      </c>
      <c r="B241" s="631" t="s">
        <v>8342</v>
      </c>
      <c r="C241" s="631" t="s">
        <v>7581</v>
      </c>
      <c r="D241" s="702" t="s">
        <v>7698</v>
      </c>
      <c r="E241" s="703">
        <v>50</v>
      </c>
      <c r="F241" s="703">
        <v>125</v>
      </c>
      <c r="G241" s="704" t="s">
        <v>8343</v>
      </c>
      <c r="H241" s="705" t="s">
        <v>8344</v>
      </c>
      <c r="I241" s="613" t="s">
        <v>8345</v>
      </c>
      <c r="J241" s="637"/>
      <c r="K241" s="611"/>
      <c r="L241" s="110"/>
      <c r="M241" s="110"/>
    </row>
    <row r="242" spans="1:13" ht="30">
      <c r="A242" s="689">
        <v>230</v>
      </c>
      <c r="B242" s="631" t="s">
        <v>8346</v>
      </c>
      <c r="C242" s="631" t="s">
        <v>7581</v>
      </c>
      <c r="D242" s="702" t="s">
        <v>7591</v>
      </c>
      <c r="E242" s="703">
        <v>74</v>
      </c>
      <c r="F242" s="703">
        <v>750</v>
      </c>
      <c r="G242" s="704" t="s">
        <v>8347</v>
      </c>
      <c r="H242" s="705" t="s">
        <v>7340</v>
      </c>
      <c r="I242" s="613" t="s">
        <v>8348</v>
      </c>
      <c r="J242" s="637"/>
      <c r="K242" s="611"/>
      <c r="L242" s="110"/>
      <c r="M242" s="110"/>
    </row>
    <row r="243" spans="1:13" ht="30">
      <c r="A243" s="689">
        <v>231</v>
      </c>
      <c r="B243" s="631" t="s">
        <v>8349</v>
      </c>
      <c r="C243" s="631" t="s">
        <v>7581</v>
      </c>
      <c r="D243" s="702" t="s">
        <v>7591</v>
      </c>
      <c r="E243" s="703">
        <v>14</v>
      </c>
      <c r="F243" s="703">
        <v>250</v>
      </c>
      <c r="G243" s="704" t="s">
        <v>8350</v>
      </c>
      <c r="H243" s="705" t="s">
        <v>8351</v>
      </c>
      <c r="I243" s="613" t="s">
        <v>8352</v>
      </c>
      <c r="J243" s="637"/>
      <c r="K243" s="611"/>
      <c r="L243" s="110"/>
      <c r="M243" s="110"/>
    </row>
    <row r="244" spans="1:13" ht="30">
      <c r="A244" s="689">
        <v>232</v>
      </c>
      <c r="B244" s="631" t="s">
        <v>8353</v>
      </c>
      <c r="C244" s="631" t="s">
        <v>7581</v>
      </c>
      <c r="D244" s="702" t="s">
        <v>7591</v>
      </c>
      <c r="E244" s="703">
        <v>36</v>
      </c>
      <c r="F244" s="703">
        <v>250</v>
      </c>
      <c r="G244" s="704" t="s">
        <v>8354</v>
      </c>
      <c r="H244" s="705" t="s">
        <v>8355</v>
      </c>
      <c r="I244" s="613" t="s">
        <v>8356</v>
      </c>
      <c r="J244" s="637"/>
      <c r="K244" s="611"/>
      <c r="L244" s="110"/>
      <c r="M244" s="110"/>
    </row>
    <row r="245" spans="1:13" ht="45">
      <c r="A245" s="689">
        <v>233</v>
      </c>
      <c r="B245" s="631" t="s">
        <v>8357</v>
      </c>
      <c r="C245" s="631" t="s">
        <v>7581</v>
      </c>
      <c r="D245" s="702" t="s">
        <v>7591</v>
      </c>
      <c r="E245" s="703" t="s">
        <v>8358</v>
      </c>
      <c r="F245" s="703">
        <v>2500</v>
      </c>
      <c r="G245" s="704" t="s">
        <v>8359</v>
      </c>
      <c r="H245" s="705" t="s">
        <v>3905</v>
      </c>
      <c r="I245" s="613" t="s">
        <v>8360</v>
      </c>
      <c r="J245" s="637"/>
      <c r="K245" s="611"/>
      <c r="L245" s="110"/>
      <c r="M245" s="110"/>
    </row>
    <row r="246" spans="1:13" ht="30">
      <c r="A246" s="689">
        <v>234</v>
      </c>
      <c r="B246" s="631" t="s">
        <v>8361</v>
      </c>
      <c r="C246" s="631" t="s">
        <v>7581</v>
      </c>
      <c r="D246" s="702" t="s">
        <v>7599</v>
      </c>
      <c r="E246" s="703">
        <v>135</v>
      </c>
      <c r="F246" s="703">
        <v>750</v>
      </c>
      <c r="G246" s="704" t="s">
        <v>8362</v>
      </c>
      <c r="H246" s="705" t="s">
        <v>8363</v>
      </c>
      <c r="I246" s="613" t="s">
        <v>7934</v>
      </c>
      <c r="J246" s="637"/>
      <c r="K246" s="611"/>
      <c r="L246" s="110"/>
      <c r="M246" s="110"/>
    </row>
    <row r="247" spans="1:13" ht="45">
      <c r="A247" s="689">
        <v>235</v>
      </c>
      <c r="B247" s="631" t="s">
        <v>8364</v>
      </c>
      <c r="C247" s="631" t="s">
        <v>7581</v>
      </c>
      <c r="D247" s="702" t="s">
        <v>7591</v>
      </c>
      <c r="E247" s="703" t="s">
        <v>8365</v>
      </c>
      <c r="F247" s="703">
        <v>750</v>
      </c>
      <c r="G247" s="704" t="s">
        <v>8366</v>
      </c>
      <c r="H247" s="705" t="s">
        <v>8367</v>
      </c>
      <c r="I247" s="613" t="s">
        <v>8368</v>
      </c>
      <c r="J247" s="637"/>
      <c r="K247" s="611"/>
      <c r="L247" s="110"/>
      <c r="M247" s="110"/>
    </row>
    <row r="248" spans="1:13" ht="30">
      <c r="A248" s="689">
        <v>236</v>
      </c>
      <c r="B248" s="631" t="s">
        <v>8369</v>
      </c>
      <c r="C248" s="631" t="s">
        <v>7581</v>
      </c>
      <c r="D248" s="702" t="s">
        <v>7591</v>
      </c>
      <c r="E248" s="703">
        <v>60</v>
      </c>
      <c r="F248" s="703" t="s">
        <v>8370</v>
      </c>
      <c r="G248" s="704" t="s">
        <v>8371</v>
      </c>
      <c r="H248" s="705" t="s">
        <v>8372</v>
      </c>
      <c r="I248" s="613" t="s">
        <v>8373</v>
      </c>
      <c r="J248" s="637"/>
      <c r="K248" s="611"/>
      <c r="L248" s="110"/>
      <c r="M248" s="110"/>
    </row>
    <row r="249" spans="1:13" ht="45">
      <c r="A249" s="689">
        <v>237</v>
      </c>
      <c r="B249" s="631" t="s">
        <v>8374</v>
      </c>
      <c r="C249" s="631" t="s">
        <v>7581</v>
      </c>
      <c r="D249" s="702" t="s">
        <v>7591</v>
      </c>
      <c r="E249" s="703">
        <v>55</v>
      </c>
      <c r="F249" s="703" t="s">
        <v>8370</v>
      </c>
      <c r="G249" s="704" t="s">
        <v>8375</v>
      </c>
      <c r="H249" s="705" t="s">
        <v>8376</v>
      </c>
      <c r="I249" s="613" t="s">
        <v>8377</v>
      </c>
      <c r="J249" s="637"/>
      <c r="K249" s="611"/>
      <c r="L249" s="110"/>
      <c r="M249" s="110"/>
    </row>
    <row r="250" spans="1:13" ht="30">
      <c r="A250" s="689">
        <v>238</v>
      </c>
      <c r="B250" s="631" t="s">
        <v>8378</v>
      </c>
      <c r="C250" s="631" t="s">
        <v>7581</v>
      </c>
      <c r="D250" s="702" t="s">
        <v>7698</v>
      </c>
      <c r="E250" s="703" t="s">
        <v>8379</v>
      </c>
      <c r="F250" s="703">
        <v>2500</v>
      </c>
      <c r="G250" s="704" t="s">
        <v>8380</v>
      </c>
      <c r="H250" s="705" t="s">
        <v>3730</v>
      </c>
      <c r="I250" s="613" t="s">
        <v>8381</v>
      </c>
      <c r="J250" s="637"/>
      <c r="K250" s="611"/>
      <c r="L250" s="110"/>
      <c r="M250" s="110"/>
    </row>
    <row r="251" spans="1:13" ht="30">
      <c r="A251" s="689">
        <v>239</v>
      </c>
      <c r="B251" s="631" t="s">
        <v>8382</v>
      </c>
      <c r="C251" s="631" t="s">
        <v>7581</v>
      </c>
      <c r="D251" s="702" t="s">
        <v>7698</v>
      </c>
      <c r="E251" s="703">
        <v>45</v>
      </c>
      <c r="F251" s="703" t="s">
        <v>8087</v>
      </c>
      <c r="G251" s="704" t="s">
        <v>8383</v>
      </c>
      <c r="H251" s="705" t="s">
        <v>7658</v>
      </c>
      <c r="I251" s="613" t="s">
        <v>8384</v>
      </c>
      <c r="J251" s="637"/>
      <c r="K251" s="611"/>
      <c r="L251" s="110"/>
      <c r="M251" s="110"/>
    </row>
    <row r="252" spans="1:13" ht="30">
      <c r="A252" s="689">
        <v>240</v>
      </c>
      <c r="B252" s="631" t="s">
        <v>8385</v>
      </c>
      <c r="C252" s="631" t="s">
        <v>7581</v>
      </c>
      <c r="D252" s="702" t="s">
        <v>7698</v>
      </c>
      <c r="E252" s="703">
        <v>20</v>
      </c>
      <c r="F252" s="703" t="s">
        <v>8087</v>
      </c>
      <c r="G252" s="704" t="s">
        <v>8386</v>
      </c>
      <c r="H252" s="705" t="s">
        <v>8387</v>
      </c>
      <c r="I252" s="613" t="s">
        <v>8388</v>
      </c>
      <c r="J252" s="637"/>
      <c r="K252" s="611"/>
      <c r="L252" s="110"/>
      <c r="M252" s="110"/>
    </row>
    <row r="253" spans="1:13" ht="30">
      <c r="A253" s="689">
        <v>241</v>
      </c>
      <c r="B253" s="631" t="s">
        <v>8389</v>
      </c>
      <c r="C253" s="631" t="s">
        <v>7581</v>
      </c>
      <c r="D253" s="702" t="s">
        <v>7698</v>
      </c>
      <c r="E253" s="703">
        <v>16</v>
      </c>
      <c r="F253" s="703" t="s">
        <v>8087</v>
      </c>
      <c r="G253" s="704" t="s">
        <v>6732</v>
      </c>
      <c r="H253" s="705" t="s">
        <v>7229</v>
      </c>
      <c r="I253" s="613" t="s">
        <v>8390</v>
      </c>
      <c r="J253" s="637"/>
      <c r="K253" s="611"/>
      <c r="L253" s="110"/>
      <c r="M253" s="110"/>
    </row>
    <row r="254" spans="1:13" ht="30">
      <c r="A254" s="689">
        <v>242</v>
      </c>
      <c r="B254" s="631" t="s">
        <v>8391</v>
      </c>
      <c r="C254" s="631" t="s">
        <v>7581</v>
      </c>
      <c r="D254" s="702" t="s">
        <v>8392</v>
      </c>
      <c r="E254" s="703">
        <v>20</v>
      </c>
      <c r="F254" s="703" t="s">
        <v>8087</v>
      </c>
      <c r="G254" s="704" t="s">
        <v>8393</v>
      </c>
      <c r="H254" s="705" t="s">
        <v>6871</v>
      </c>
      <c r="I254" s="613" t="s">
        <v>8394</v>
      </c>
      <c r="J254" s="637"/>
      <c r="K254" s="611"/>
      <c r="L254" s="110"/>
      <c r="M254" s="110"/>
    </row>
    <row r="255" spans="1:13" ht="30">
      <c r="A255" s="689">
        <v>243</v>
      </c>
      <c r="B255" s="631" t="s">
        <v>8395</v>
      </c>
      <c r="C255" s="631" t="s">
        <v>7581</v>
      </c>
      <c r="D255" s="702" t="s">
        <v>8392</v>
      </c>
      <c r="E255" s="703">
        <v>20</v>
      </c>
      <c r="F255" s="703" t="s">
        <v>8087</v>
      </c>
      <c r="G255" s="704" t="s">
        <v>8396</v>
      </c>
      <c r="H255" s="705" t="s">
        <v>3945</v>
      </c>
      <c r="I255" s="613" t="s">
        <v>8397</v>
      </c>
      <c r="J255" s="637"/>
      <c r="K255" s="611"/>
      <c r="L255" s="110"/>
      <c r="M255" s="110"/>
    </row>
    <row r="256" spans="1:13" ht="30">
      <c r="A256" s="689">
        <v>244</v>
      </c>
      <c r="B256" s="631" t="s">
        <v>8398</v>
      </c>
      <c r="C256" s="631" t="s">
        <v>7581</v>
      </c>
      <c r="D256" s="702" t="s">
        <v>7698</v>
      </c>
      <c r="E256" s="703">
        <v>37</v>
      </c>
      <c r="F256" s="703" t="s">
        <v>8087</v>
      </c>
      <c r="G256" s="704" t="s">
        <v>8399</v>
      </c>
      <c r="H256" s="705" t="s">
        <v>6724</v>
      </c>
      <c r="I256" s="613" t="s">
        <v>8400</v>
      </c>
      <c r="J256" s="637"/>
      <c r="K256" s="611"/>
      <c r="L256" s="110"/>
      <c r="M256" s="110"/>
    </row>
    <row r="257" spans="1:13" ht="30">
      <c r="A257" s="689">
        <v>245</v>
      </c>
      <c r="B257" s="631" t="s">
        <v>8401</v>
      </c>
      <c r="C257" s="631" t="s">
        <v>7581</v>
      </c>
      <c r="D257" s="702" t="s">
        <v>7698</v>
      </c>
      <c r="E257" s="703">
        <v>16</v>
      </c>
      <c r="F257" s="703" t="s">
        <v>8087</v>
      </c>
      <c r="G257" s="704" t="s">
        <v>8402</v>
      </c>
      <c r="H257" s="705" t="s">
        <v>8355</v>
      </c>
      <c r="I257" s="613" t="s">
        <v>7383</v>
      </c>
      <c r="J257" s="637"/>
      <c r="K257" s="611"/>
      <c r="L257" s="110"/>
      <c r="M257" s="110"/>
    </row>
    <row r="258" spans="1:13" ht="30">
      <c r="A258" s="689">
        <v>246</v>
      </c>
      <c r="B258" s="631" t="s">
        <v>8403</v>
      </c>
      <c r="C258" s="631" t="s">
        <v>7581</v>
      </c>
      <c r="D258" s="702" t="s">
        <v>7591</v>
      </c>
      <c r="E258" s="703" t="s">
        <v>8404</v>
      </c>
      <c r="F258" s="703">
        <v>250</v>
      </c>
      <c r="G258" s="704" t="s">
        <v>8405</v>
      </c>
      <c r="H258" s="705" t="s">
        <v>8406</v>
      </c>
      <c r="I258" s="613" t="s">
        <v>8407</v>
      </c>
      <c r="J258" s="637"/>
      <c r="K258" s="611"/>
      <c r="L258" s="110"/>
      <c r="M258" s="110"/>
    </row>
    <row r="259" spans="1:13" ht="30">
      <c r="A259" s="689">
        <v>247</v>
      </c>
      <c r="B259" s="631" t="s">
        <v>8408</v>
      </c>
      <c r="C259" s="631" t="s">
        <v>7581</v>
      </c>
      <c r="D259" s="702" t="s">
        <v>7591</v>
      </c>
      <c r="E259" s="703">
        <v>63</v>
      </c>
      <c r="F259" s="703" t="s">
        <v>8087</v>
      </c>
      <c r="G259" s="704" t="s">
        <v>8409</v>
      </c>
      <c r="H259" s="705" t="s">
        <v>8410</v>
      </c>
      <c r="I259" s="613" t="s">
        <v>8411</v>
      </c>
      <c r="J259" s="637"/>
      <c r="K259" s="611"/>
      <c r="L259" s="110"/>
      <c r="M259" s="110"/>
    </row>
    <row r="260" spans="1:13" ht="30">
      <c r="A260" s="689">
        <v>248</v>
      </c>
      <c r="B260" s="631" t="s">
        <v>8412</v>
      </c>
      <c r="C260" s="631" t="s">
        <v>7581</v>
      </c>
      <c r="D260" s="702" t="s">
        <v>7698</v>
      </c>
      <c r="E260" s="703">
        <v>40</v>
      </c>
      <c r="F260" s="703" t="s">
        <v>8087</v>
      </c>
      <c r="G260" s="704" t="s">
        <v>8413</v>
      </c>
      <c r="H260" s="705" t="s">
        <v>8414</v>
      </c>
      <c r="I260" s="613" t="s">
        <v>8415</v>
      </c>
      <c r="J260" s="637"/>
      <c r="K260" s="611"/>
      <c r="L260" s="110"/>
      <c r="M260" s="110"/>
    </row>
    <row r="261" spans="1:13" ht="45">
      <c r="A261" s="689">
        <v>249</v>
      </c>
      <c r="B261" s="631" t="s">
        <v>8416</v>
      </c>
      <c r="C261" s="631" t="s">
        <v>7581</v>
      </c>
      <c r="D261" s="702" t="s">
        <v>7698</v>
      </c>
      <c r="E261" s="703">
        <v>24</v>
      </c>
      <c r="F261" s="703" t="s">
        <v>8087</v>
      </c>
      <c r="G261" s="704" t="s">
        <v>8417</v>
      </c>
      <c r="H261" s="705" t="s">
        <v>8418</v>
      </c>
      <c r="I261" s="613" t="s">
        <v>8419</v>
      </c>
      <c r="J261" s="637"/>
      <c r="K261" s="611"/>
      <c r="L261" s="110"/>
      <c r="M261" s="110"/>
    </row>
    <row r="262" spans="1:13" ht="30">
      <c r="A262" s="689">
        <v>250</v>
      </c>
      <c r="B262" s="631" t="s">
        <v>8420</v>
      </c>
      <c r="C262" s="631" t="s">
        <v>7581</v>
      </c>
      <c r="D262" s="702" t="s">
        <v>7698</v>
      </c>
      <c r="E262" s="703">
        <v>20</v>
      </c>
      <c r="F262" s="703" t="s">
        <v>8087</v>
      </c>
      <c r="G262" s="704" t="s">
        <v>8421</v>
      </c>
      <c r="H262" s="705" t="s">
        <v>8422</v>
      </c>
      <c r="I262" s="613" t="s">
        <v>8423</v>
      </c>
      <c r="J262" s="637"/>
      <c r="K262" s="611"/>
      <c r="L262" s="110"/>
      <c r="M262" s="110"/>
    </row>
    <row r="263" spans="1:13" ht="30">
      <c r="A263" s="689">
        <v>251</v>
      </c>
      <c r="B263" s="631" t="s">
        <v>8424</v>
      </c>
      <c r="C263" s="631" t="s">
        <v>7581</v>
      </c>
      <c r="D263" s="702" t="s">
        <v>7591</v>
      </c>
      <c r="E263" s="703">
        <v>20</v>
      </c>
      <c r="F263" s="703" t="s">
        <v>8087</v>
      </c>
      <c r="G263" s="704" t="s">
        <v>8425</v>
      </c>
      <c r="H263" s="705" t="s">
        <v>8426</v>
      </c>
      <c r="I263" s="613" t="s">
        <v>8427</v>
      </c>
      <c r="J263" s="637"/>
      <c r="K263" s="611"/>
      <c r="L263" s="110"/>
      <c r="M263" s="110"/>
    </row>
    <row r="264" spans="1:13" ht="30">
      <c r="A264" s="689">
        <v>252</v>
      </c>
      <c r="B264" s="631" t="s">
        <v>8428</v>
      </c>
      <c r="C264" s="631" t="s">
        <v>7581</v>
      </c>
      <c r="D264" s="702" t="s">
        <v>7591</v>
      </c>
      <c r="E264" s="703" t="s">
        <v>8429</v>
      </c>
      <c r="F264" s="703">
        <v>250</v>
      </c>
      <c r="G264" s="704" t="s">
        <v>8430</v>
      </c>
      <c r="H264" s="705" t="s">
        <v>6670</v>
      </c>
      <c r="I264" s="613" t="s">
        <v>8246</v>
      </c>
      <c r="J264" s="637"/>
      <c r="K264" s="611"/>
      <c r="L264" s="110"/>
      <c r="M264" s="110"/>
    </row>
    <row r="265" spans="1:13" ht="30">
      <c r="A265" s="689">
        <v>253</v>
      </c>
      <c r="B265" s="631" t="s">
        <v>8431</v>
      </c>
      <c r="C265" s="631" t="s">
        <v>7581</v>
      </c>
      <c r="D265" s="702" t="s">
        <v>7591</v>
      </c>
      <c r="E265" s="703" t="s">
        <v>8432</v>
      </c>
      <c r="F265" s="703">
        <v>250</v>
      </c>
      <c r="G265" s="704" t="s">
        <v>8433</v>
      </c>
      <c r="H265" s="705" t="s">
        <v>8434</v>
      </c>
      <c r="I265" s="613" t="s">
        <v>3910</v>
      </c>
      <c r="J265" s="637"/>
      <c r="K265" s="611"/>
      <c r="L265" s="110"/>
      <c r="M265" s="110"/>
    </row>
    <row r="266" spans="1:13" ht="30">
      <c r="A266" s="689">
        <v>254</v>
      </c>
      <c r="B266" s="631" t="s">
        <v>8435</v>
      </c>
      <c r="C266" s="631" t="s">
        <v>7581</v>
      </c>
      <c r="D266" s="702" t="s">
        <v>7591</v>
      </c>
      <c r="E266" s="703">
        <v>323</v>
      </c>
      <c r="F266" s="703">
        <v>250</v>
      </c>
      <c r="G266" s="704" t="s">
        <v>8436</v>
      </c>
      <c r="H266" s="705" t="s">
        <v>7906</v>
      </c>
      <c r="I266" s="613" t="s">
        <v>8437</v>
      </c>
      <c r="J266" s="637"/>
      <c r="K266" s="611"/>
      <c r="L266" s="110"/>
      <c r="M266" s="110"/>
    </row>
    <row r="267" spans="1:13" ht="30">
      <c r="A267" s="689">
        <v>255</v>
      </c>
      <c r="B267" s="631" t="s">
        <v>8438</v>
      </c>
      <c r="C267" s="631" t="s">
        <v>7581</v>
      </c>
      <c r="D267" s="702" t="s">
        <v>7591</v>
      </c>
      <c r="E267" s="703">
        <v>85</v>
      </c>
      <c r="F267" s="703">
        <v>250</v>
      </c>
      <c r="G267" s="704" t="s">
        <v>8439</v>
      </c>
      <c r="H267" s="705" t="s">
        <v>8440</v>
      </c>
      <c r="I267" s="613" t="s">
        <v>8441</v>
      </c>
      <c r="J267" s="637"/>
      <c r="K267" s="611"/>
      <c r="L267" s="110"/>
      <c r="M267" s="110"/>
    </row>
    <row r="268" spans="1:13" ht="30">
      <c r="A268" s="689">
        <v>256</v>
      </c>
      <c r="B268" s="631" t="s">
        <v>8442</v>
      </c>
      <c r="C268" s="631" t="s">
        <v>7581</v>
      </c>
      <c r="D268" s="702" t="s">
        <v>7591</v>
      </c>
      <c r="E268" s="703">
        <v>115</v>
      </c>
      <c r="F268" s="703">
        <v>250</v>
      </c>
      <c r="G268" s="704" t="s">
        <v>8443</v>
      </c>
      <c r="H268" s="705" t="s">
        <v>8444</v>
      </c>
      <c r="I268" s="613" t="s">
        <v>8445</v>
      </c>
      <c r="J268" s="637"/>
      <c r="K268" s="611"/>
      <c r="L268" s="110"/>
      <c r="M268" s="110"/>
    </row>
    <row r="269" spans="1:13" ht="30">
      <c r="A269" s="689">
        <v>257</v>
      </c>
      <c r="B269" s="631" t="s">
        <v>8446</v>
      </c>
      <c r="C269" s="631" t="s">
        <v>7581</v>
      </c>
      <c r="D269" s="702" t="s">
        <v>7591</v>
      </c>
      <c r="E269" s="703">
        <v>40</v>
      </c>
      <c r="F269" s="703" t="s">
        <v>8370</v>
      </c>
      <c r="G269" s="704" t="s">
        <v>8447</v>
      </c>
      <c r="H269" s="705" t="s">
        <v>8448</v>
      </c>
      <c r="I269" s="613" t="s">
        <v>8449</v>
      </c>
      <c r="J269" s="637"/>
      <c r="K269" s="611"/>
      <c r="L269" s="110"/>
      <c r="M269" s="110"/>
    </row>
    <row r="270" spans="1:13" ht="30">
      <c r="A270" s="689">
        <v>258</v>
      </c>
      <c r="B270" s="631" t="s">
        <v>8450</v>
      </c>
      <c r="C270" s="631" t="s">
        <v>7581</v>
      </c>
      <c r="D270" s="702" t="s">
        <v>7591</v>
      </c>
      <c r="E270" s="703">
        <v>60</v>
      </c>
      <c r="F270" s="703" t="s">
        <v>8370</v>
      </c>
      <c r="G270" s="704" t="s">
        <v>8451</v>
      </c>
      <c r="H270" s="705" t="s">
        <v>7963</v>
      </c>
      <c r="I270" s="613" t="s">
        <v>8452</v>
      </c>
      <c r="J270" s="637"/>
      <c r="K270" s="611"/>
      <c r="L270" s="110"/>
      <c r="M270" s="110"/>
    </row>
    <row r="271" spans="1:13" ht="30">
      <c r="A271" s="689">
        <v>259</v>
      </c>
      <c r="B271" s="631" t="s">
        <v>8453</v>
      </c>
      <c r="C271" s="631" t="s">
        <v>7581</v>
      </c>
      <c r="D271" s="702" t="s">
        <v>7591</v>
      </c>
      <c r="E271" s="703">
        <v>60</v>
      </c>
      <c r="F271" s="703" t="s">
        <v>8370</v>
      </c>
      <c r="G271" s="704" t="s">
        <v>8454</v>
      </c>
      <c r="H271" s="705" t="s">
        <v>7658</v>
      </c>
      <c r="I271" s="613" t="s">
        <v>8455</v>
      </c>
      <c r="J271" s="637"/>
      <c r="K271" s="611"/>
      <c r="L271" s="110"/>
      <c r="M271" s="110"/>
    </row>
    <row r="272" spans="1:13" ht="30">
      <c r="A272" s="689">
        <v>260</v>
      </c>
      <c r="B272" s="631" t="s">
        <v>8456</v>
      </c>
      <c r="C272" s="631" t="s">
        <v>7581</v>
      </c>
      <c r="D272" s="702" t="s">
        <v>7591</v>
      </c>
      <c r="E272" s="703">
        <v>40</v>
      </c>
      <c r="F272" s="703" t="s">
        <v>8370</v>
      </c>
      <c r="G272" s="704" t="s">
        <v>8457</v>
      </c>
      <c r="H272" s="705" t="s">
        <v>8458</v>
      </c>
      <c r="I272" s="613" t="s">
        <v>8459</v>
      </c>
      <c r="J272" s="637"/>
      <c r="K272" s="611"/>
      <c r="L272" s="110"/>
      <c r="M272" s="110"/>
    </row>
    <row r="273" spans="1:13" ht="30">
      <c r="A273" s="689">
        <v>261</v>
      </c>
      <c r="B273" s="631" t="s">
        <v>8460</v>
      </c>
      <c r="C273" s="631" t="s">
        <v>7581</v>
      </c>
      <c r="D273" s="702" t="s">
        <v>7698</v>
      </c>
      <c r="E273" s="703">
        <v>9.5</v>
      </c>
      <c r="F273" s="703">
        <v>250</v>
      </c>
      <c r="G273" s="704" t="s">
        <v>8461</v>
      </c>
      <c r="H273" s="705" t="s">
        <v>6670</v>
      </c>
      <c r="I273" s="613" t="s">
        <v>8462</v>
      </c>
      <c r="J273" s="637"/>
      <c r="K273" s="611"/>
      <c r="L273" s="110"/>
      <c r="M273" s="110"/>
    </row>
    <row r="274" spans="1:13" ht="30">
      <c r="A274" s="689">
        <v>262</v>
      </c>
      <c r="B274" s="631" t="s">
        <v>8463</v>
      </c>
      <c r="C274" s="631" t="s">
        <v>7581</v>
      </c>
      <c r="D274" s="702" t="s">
        <v>7698</v>
      </c>
      <c r="E274" s="703" t="s">
        <v>8464</v>
      </c>
      <c r="F274" s="703">
        <v>250</v>
      </c>
      <c r="G274" s="704" t="s">
        <v>8465</v>
      </c>
      <c r="H274" s="705" t="s">
        <v>8466</v>
      </c>
      <c r="I274" s="613" t="s">
        <v>8467</v>
      </c>
      <c r="J274" s="637"/>
      <c r="K274" s="611"/>
      <c r="L274" s="110"/>
      <c r="M274" s="110"/>
    </row>
    <row r="275" spans="1:13" ht="30">
      <c r="A275" s="689">
        <v>263</v>
      </c>
      <c r="B275" s="631" t="s">
        <v>8468</v>
      </c>
      <c r="C275" s="631" t="s">
        <v>7581</v>
      </c>
      <c r="D275" s="702" t="s">
        <v>7850</v>
      </c>
      <c r="E275" s="703">
        <v>30</v>
      </c>
      <c r="F275" s="703">
        <v>250</v>
      </c>
      <c r="G275" s="704" t="s">
        <v>8469</v>
      </c>
      <c r="H275" s="705" t="s">
        <v>8470</v>
      </c>
      <c r="I275" s="613" t="s">
        <v>6035</v>
      </c>
      <c r="J275" s="637"/>
      <c r="K275" s="611"/>
      <c r="L275" s="110"/>
      <c r="M275" s="110"/>
    </row>
    <row r="276" spans="1:13" ht="45">
      <c r="A276" s="689">
        <v>264</v>
      </c>
      <c r="B276" s="631" t="s">
        <v>8471</v>
      </c>
      <c r="C276" s="631" t="s">
        <v>7581</v>
      </c>
      <c r="D276" s="702" t="s">
        <v>7591</v>
      </c>
      <c r="E276" s="703" t="s">
        <v>8472</v>
      </c>
      <c r="F276" s="703">
        <v>625</v>
      </c>
      <c r="G276" s="704" t="s">
        <v>8473</v>
      </c>
      <c r="H276" s="705" t="s">
        <v>6670</v>
      </c>
      <c r="I276" s="613" t="s">
        <v>8474</v>
      </c>
      <c r="J276" s="637"/>
      <c r="K276" s="611"/>
      <c r="L276" s="110"/>
      <c r="M276" s="110"/>
    </row>
    <row r="277" spans="1:13" ht="30">
      <c r="A277" s="689">
        <v>265</v>
      </c>
      <c r="B277" s="631" t="s">
        <v>8475</v>
      </c>
      <c r="C277" s="631" t="s">
        <v>7581</v>
      </c>
      <c r="D277" s="702" t="s">
        <v>7591</v>
      </c>
      <c r="E277" s="703">
        <v>90</v>
      </c>
      <c r="F277" s="703">
        <v>380</v>
      </c>
      <c r="G277" s="704" t="s">
        <v>8476</v>
      </c>
      <c r="H277" s="705" t="s">
        <v>8477</v>
      </c>
      <c r="I277" s="613" t="s">
        <v>8478</v>
      </c>
      <c r="J277" s="637"/>
      <c r="K277" s="611"/>
      <c r="L277" s="110"/>
      <c r="M277" s="110"/>
    </row>
    <row r="278" spans="1:13" ht="30">
      <c r="A278" s="689">
        <v>266</v>
      </c>
      <c r="B278" s="631" t="s">
        <v>8479</v>
      </c>
      <c r="C278" s="631" t="s">
        <v>7581</v>
      </c>
      <c r="D278" s="702" t="s">
        <v>7591</v>
      </c>
      <c r="E278" s="703">
        <v>100</v>
      </c>
      <c r="F278" s="703">
        <v>625</v>
      </c>
      <c r="G278" s="704" t="s">
        <v>8480</v>
      </c>
      <c r="H278" s="705" t="s">
        <v>8481</v>
      </c>
      <c r="I278" s="613" t="s">
        <v>8482</v>
      </c>
      <c r="J278" s="637"/>
      <c r="K278" s="611"/>
      <c r="L278" s="110"/>
      <c r="M278" s="110"/>
    </row>
    <row r="279" spans="1:13" ht="45">
      <c r="A279" s="689">
        <v>267</v>
      </c>
      <c r="B279" s="631" t="s">
        <v>8483</v>
      </c>
      <c r="C279" s="631" t="s">
        <v>7581</v>
      </c>
      <c r="D279" s="702" t="s">
        <v>7591</v>
      </c>
      <c r="E279" s="703">
        <v>25</v>
      </c>
      <c r="F279" s="703">
        <v>300</v>
      </c>
      <c r="G279" s="704" t="s">
        <v>8484</v>
      </c>
      <c r="H279" s="705" t="s">
        <v>3730</v>
      </c>
      <c r="I279" s="613" t="s">
        <v>8485</v>
      </c>
      <c r="J279" s="637"/>
      <c r="K279" s="611"/>
      <c r="L279" s="110"/>
      <c r="M279" s="110"/>
    </row>
    <row r="280" spans="1:13" ht="30">
      <c r="A280" s="689">
        <v>268</v>
      </c>
      <c r="B280" s="631" t="s">
        <v>8486</v>
      </c>
      <c r="C280" s="631" t="s">
        <v>7581</v>
      </c>
      <c r="D280" s="702" t="s">
        <v>7591</v>
      </c>
      <c r="E280" s="703">
        <v>45</v>
      </c>
      <c r="F280" s="703">
        <v>250</v>
      </c>
      <c r="G280" s="704" t="s">
        <v>8487</v>
      </c>
      <c r="H280" s="705" t="s">
        <v>8488</v>
      </c>
      <c r="I280" s="613" t="s">
        <v>8489</v>
      </c>
      <c r="J280" s="637"/>
      <c r="K280" s="611"/>
      <c r="L280" s="110"/>
      <c r="M280" s="110"/>
    </row>
    <row r="281" spans="1:13" ht="30">
      <c r="A281" s="689">
        <v>269</v>
      </c>
      <c r="B281" s="631" t="s">
        <v>8490</v>
      </c>
      <c r="C281" s="631" t="s">
        <v>7581</v>
      </c>
      <c r="D281" s="702" t="s">
        <v>7591</v>
      </c>
      <c r="E281" s="703">
        <v>24</v>
      </c>
      <c r="F281" s="703">
        <v>250</v>
      </c>
      <c r="G281" s="704" t="s">
        <v>8491</v>
      </c>
      <c r="H281" s="705" t="s">
        <v>8492</v>
      </c>
      <c r="I281" s="613" t="s">
        <v>8493</v>
      </c>
      <c r="J281" s="637"/>
      <c r="K281" s="611"/>
      <c r="L281" s="110"/>
      <c r="M281" s="110"/>
    </row>
    <row r="282" spans="1:13" ht="45">
      <c r="A282" s="689">
        <v>270</v>
      </c>
      <c r="B282" s="631" t="s">
        <v>8494</v>
      </c>
      <c r="C282" s="631" t="s">
        <v>7581</v>
      </c>
      <c r="D282" s="702" t="s">
        <v>7600</v>
      </c>
      <c r="E282" s="703">
        <v>26</v>
      </c>
      <c r="F282" s="703" t="s">
        <v>8087</v>
      </c>
      <c r="G282" s="704" t="s">
        <v>8495</v>
      </c>
      <c r="H282" s="705" t="s">
        <v>8302</v>
      </c>
      <c r="I282" s="613" t="s">
        <v>8496</v>
      </c>
      <c r="J282" s="637"/>
      <c r="K282" s="611"/>
      <c r="L282" s="110"/>
      <c r="M282" s="110"/>
    </row>
    <row r="283" spans="1:13" ht="30">
      <c r="A283" s="689">
        <v>271</v>
      </c>
      <c r="B283" s="631" t="s">
        <v>8497</v>
      </c>
      <c r="C283" s="631" t="s">
        <v>7581</v>
      </c>
      <c r="D283" s="702" t="s">
        <v>7600</v>
      </c>
      <c r="E283" s="703">
        <v>21</v>
      </c>
      <c r="F283" s="703" t="s">
        <v>8087</v>
      </c>
      <c r="G283" s="704" t="s">
        <v>8498</v>
      </c>
      <c r="H283" s="705" t="s">
        <v>8499</v>
      </c>
      <c r="I283" s="613" t="s">
        <v>8500</v>
      </c>
      <c r="J283" s="637"/>
      <c r="K283" s="611"/>
      <c r="L283" s="110"/>
      <c r="M283" s="110"/>
    </row>
    <row r="284" spans="1:13" ht="30">
      <c r="A284" s="689">
        <v>272</v>
      </c>
      <c r="B284" s="631" t="s">
        <v>8501</v>
      </c>
      <c r="C284" s="631" t="s">
        <v>7581</v>
      </c>
      <c r="D284" s="702" t="s">
        <v>7600</v>
      </c>
      <c r="E284" s="703">
        <v>23</v>
      </c>
      <c r="F284" s="703" t="s">
        <v>8087</v>
      </c>
      <c r="G284" s="704" t="s">
        <v>8502</v>
      </c>
      <c r="H284" s="705" t="s">
        <v>8503</v>
      </c>
      <c r="I284" s="613" t="s">
        <v>8504</v>
      </c>
      <c r="J284" s="637"/>
      <c r="K284" s="611"/>
      <c r="L284" s="110"/>
      <c r="M284" s="110"/>
    </row>
    <row r="285" spans="1:13" ht="30">
      <c r="A285" s="689">
        <v>273</v>
      </c>
      <c r="B285" s="631" t="s">
        <v>8505</v>
      </c>
      <c r="C285" s="631" t="s">
        <v>7581</v>
      </c>
      <c r="D285" s="702" t="s">
        <v>7591</v>
      </c>
      <c r="E285" s="703">
        <v>307</v>
      </c>
      <c r="F285" s="703">
        <v>250</v>
      </c>
      <c r="G285" s="704" t="s">
        <v>8506</v>
      </c>
      <c r="H285" s="705" t="s">
        <v>8099</v>
      </c>
      <c r="I285" s="613" t="s">
        <v>8507</v>
      </c>
      <c r="J285" s="637"/>
      <c r="K285" s="611"/>
      <c r="L285" s="110"/>
      <c r="M285" s="110"/>
    </row>
    <row r="286" spans="1:13" ht="30">
      <c r="A286" s="689">
        <v>274</v>
      </c>
      <c r="B286" s="631" t="s">
        <v>8508</v>
      </c>
      <c r="C286" s="631" t="s">
        <v>7581</v>
      </c>
      <c r="D286" s="702" t="s">
        <v>7591</v>
      </c>
      <c r="E286" s="703">
        <v>240</v>
      </c>
      <c r="F286" s="703">
        <v>250</v>
      </c>
      <c r="G286" s="704" t="s">
        <v>8509</v>
      </c>
      <c r="H286" s="705" t="s">
        <v>3863</v>
      </c>
      <c r="I286" s="613" t="s">
        <v>8510</v>
      </c>
      <c r="J286" s="637"/>
      <c r="K286" s="611"/>
      <c r="L286" s="110"/>
      <c r="M286" s="110"/>
    </row>
    <row r="287" spans="1:13" ht="30">
      <c r="A287" s="689">
        <v>275</v>
      </c>
      <c r="B287" s="631" t="s">
        <v>8511</v>
      </c>
      <c r="C287" s="631" t="s">
        <v>7581</v>
      </c>
      <c r="D287" s="702" t="s">
        <v>7591</v>
      </c>
      <c r="E287" s="703">
        <v>100</v>
      </c>
      <c r="F287" s="703">
        <v>375</v>
      </c>
      <c r="G287" s="704" t="s">
        <v>8512</v>
      </c>
      <c r="H287" s="705" t="s">
        <v>8513</v>
      </c>
      <c r="I287" s="613" t="s">
        <v>7956</v>
      </c>
      <c r="J287" s="637"/>
      <c r="K287" s="611"/>
      <c r="L287" s="110"/>
      <c r="M287" s="110"/>
    </row>
    <row r="288" spans="1:13" ht="30">
      <c r="A288" s="689">
        <v>276</v>
      </c>
      <c r="B288" s="631" t="s">
        <v>8514</v>
      </c>
      <c r="C288" s="631" t="s">
        <v>7581</v>
      </c>
      <c r="D288" s="702" t="s">
        <v>7591</v>
      </c>
      <c r="E288" s="703" t="s">
        <v>8515</v>
      </c>
      <c r="F288" s="703">
        <v>375</v>
      </c>
      <c r="G288" s="704" t="s">
        <v>8516</v>
      </c>
      <c r="H288" s="705" t="s">
        <v>8517</v>
      </c>
      <c r="I288" s="613" t="s">
        <v>7956</v>
      </c>
      <c r="J288" s="637"/>
      <c r="K288" s="611"/>
      <c r="L288" s="110"/>
      <c r="M288" s="110"/>
    </row>
    <row r="289" spans="1:13" ht="30">
      <c r="A289" s="689">
        <v>277</v>
      </c>
      <c r="B289" s="631" t="s">
        <v>8518</v>
      </c>
      <c r="C289" s="631" t="s">
        <v>7581</v>
      </c>
      <c r="D289" s="702" t="s">
        <v>7591</v>
      </c>
      <c r="E289" s="703" t="s">
        <v>8519</v>
      </c>
      <c r="F289" s="703" t="s">
        <v>8370</v>
      </c>
      <c r="G289" s="704" t="s">
        <v>8520</v>
      </c>
      <c r="H289" s="705" t="s">
        <v>7893</v>
      </c>
      <c r="I289" s="613" t="s">
        <v>8521</v>
      </c>
      <c r="J289" s="637"/>
      <c r="K289" s="611"/>
      <c r="L289" s="110"/>
      <c r="M289" s="110"/>
    </row>
    <row r="290" spans="1:13" ht="30">
      <c r="A290" s="689">
        <v>278</v>
      </c>
      <c r="B290" s="631" t="s">
        <v>8522</v>
      </c>
      <c r="C290" s="631" t="s">
        <v>7581</v>
      </c>
      <c r="D290" s="702" t="s">
        <v>7591</v>
      </c>
      <c r="E290" s="703">
        <v>27</v>
      </c>
      <c r="F290" s="703">
        <v>375</v>
      </c>
      <c r="G290" s="704" t="s">
        <v>8523</v>
      </c>
      <c r="H290" s="705" t="s">
        <v>7897</v>
      </c>
      <c r="I290" s="613" t="s">
        <v>8524</v>
      </c>
      <c r="J290" s="637"/>
      <c r="K290" s="611"/>
      <c r="L290" s="110"/>
      <c r="M290" s="110"/>
    </row>
    <row r="291" spans="1:13" ht="30">
      <c r="A291" s="689">
        <v>279</v>
      </c>
      <c r="B291" s="631" t="s">
        <v>8525</v>
      </c>
      <c r="C291" s="631" t="s">
        <v>7581</v>
      </c>
      <c r="D291" s="702" t="s">
        <v>7591</v>
      </c>
      <c r="E291" s="703">
        <v>80</v>
      </c>
      <c r="F291" s="703">
        <v>375</v>
      </c>
      <c r="G291" s="704" t="s">
        <v>8526</v>
      </c>
      <c r="H291" s="705" t="s">
        <v>7048</v>
      </c>
      <c r="I291" s="613" t="s">
        <v>7956</v>
      </c>
      <c r="J291" s="637"/>
      <c r="K291" s="611"/>
      <c r="L291" s="110"/>
      <c r="M291" s="110"/>
    </row>
    <row r="292" spans="1:13" ht="30">
      <c r="A292" s="689">
        <v>280</v>
      </c>
      <c r="B292" s="631" t="s">
        <v>8527</v>
      </c>
      <c r="C292" s="631" t="s">
        <v>7581</v>
      </c>
      <c r="D292" s="702" t="s">
        <v>7591</v>
      </c>
      <c r="E292" s="703">
        <v>80</v>
      </c>
      <c r="F292" s="703" t="s">
        <v>8370</v>
      </c>
      <c r="G292" s="704" t="s">
        <v>8528</v>
      </c>
      <c r="H292" s="705" t="s">
        <v>7915</v>
      </c>
      <c r="I292" s="613" t="s">
        <v>8529</v>
      </c>
      <c r="J292" s="637"/>
      <c r="K292" s="611"/>
      <c r="L292" s="110"/>
      <c r="M292" s="110"/>
    </row>
    <row r="293" spans="1:13" ht="30">
      <c r="A293" s="689">
        <v>281</v>
      </c>
      <c r="B293" s="631" t="s">
        <v>8530</v>
      </c>
      <c r="C293" s="631" t="s">
        <v>7581</v>
      </c>
      <c r="D293" s="702" t="s">
        <v>7850</v>
      </c>
      <c r="E293" s="703">
        <v>40</v>
      </c>
      <c r="F293" s="703">
        <v>250</v>
      </c>
      <c r="G293" s="704" t="s">
        <v>8531</v>
      </c>
      <c r="H293" s="705" t="s">
        <v>8532</v>
      </c>
      <c r="I293" s="613" t="s">
        <v>8533</v>
      </c>
      <c r="J293" s="637"/>
      <c r="K293" s="611"/>
      <c r="L293" s="110"/>
      <c r="M293" s="110"/>
    </row>
    <row r="294" spans="1:13" ht="30">
      <c r="A294" s="689">
        <v>282</v>
      </c>
      <c r="B294" s="631" t="s">
        <v>8534</v>
      </c>
      <c r="C294" s="631" t="s">
        <v>7581</v>
      </c>
      <c r="D294" s="702" t="s">
        <v>7850</v>
      </c>
      <c r="E294" s="703">
        <v>30</v>
      </c>
      <c r="F294" s="703">
        <v>250</v>
      </c>
      <c r="G294" s="704" t="s">
        <v>8535</v>
      </c>
      <c r="H294" s="705" t="s">
        <v>8536</v>
      </c>
      <c r="I294" s="613" t="s">
        <v>8537</v>
      </c>
      <c r="J294" s="637"/>
      <c r="K294" s="611"/>
      <c r="L294" s="110"/>
      <c r="M294" s="110"/>
    </row>
    <row r="295" spans="1:13" ht="30">
      <c r="A295" s="689">
        <v>283</v>
      </c>
      <c r="B295" s="631" t="s">
        <v>8538</v>
      </c>
      <c r="C295" s="631" t="s">
        <v>7581</v>
      </c>
      <c r="D295" s="702" t="s">
        <v>7850</v>
      </c>
      <c r="E295" s="703">
        <v>30</v>
      </c>
      <c r="F295" s="703">
        <v>250</v>
      </c>
      <c r="G295" s="704" t="s">
        <v>8539</v>
      </c>
      <c r="H295" s="705" t="s">
        <v>6182</v>
      </c>
      <c r="I295" s="613" t="s">
        <v>8540</v>
      </c>
      <c r="J295" s="637"/>
      <c r="K295" s="611"/>
      <c r="L295" s="110"/>
      <c r="M295" s="110"/>
    </row>
    <row r="296" spans="1:13" ht="30">
      <c r="A296" s="689">
        <v>284</v>
      </c>
      <c r="B296" s="631" t="s">
        <v>8541</v>
      </c>
      <c r="C296" s="631" t="s">
        <v>7581</v>
      </c>
      <c r="D296" s="702" t="s">
        <v>7850</v>
      </c>
      <c r="E296" s="703">
        <v>30</v>
      </c>
      <c r="F296" s="703">
        <v>250</v>
      </c>
      <c r="G296" s="704" t="s">
        <v>8542</v>
      </c>
      <c r="H296" s="705" t="s">
        <v>8543</v>
      </c>
      <c r="I296" s="613" t="s">
        <v>8544</v>
      </c>
      <c r="J296" s="637"/>
      <c r="K296" s="611"/>
      <c r="L296" s="110"/>
      <c r="M296" s="110"/>
    </row>
    <row r="297" spans="1:13" ht="30">
      <c r="A297" s="689">
        <v>285</v>
      </c>
      <c r="B297" s="631" t="s">
        <v>8545</v>
      </c>
      <c r="C297" s="631" t="s">
        <v>7581</v>
      </c>
      <c r="D297" s="702" t="s">
        <v>7850</v>
      </c>
      <c r="E297" s="703" t="s">
        <v>8546</v>
      </c>
      <c r="F297" s="703">
        <v>1250</v>
      </c>
      <c r="G297" s="704" t="s">
        <v>8547</v>
      </c>
      <c r="H297" s="705" t="s">
        <v>8548</v>
      </c>
      <c r="I297" s="613" t="s">
        <v>8549</v>
      </c>
      <c r="J297" s="637"/>
      <c r="K297" s="611"/>
      <c r="L297" s="110"/>
      <c r="M297" s="110"/>
    </row>
    <row r="298" spans="1:13" ht="30">
      <c r="A298" s="689">
        <v>286</v>
      </c>
      <c r="B298" s="631" t="s">
        <v>8165</v>
      </c>
      <c r="C298" s="631" t="s">
        <v>7581</v>
      </c>
      <c r="D298" s="702" t="s">
        <v>7850</v>
      </c>
      <c r="E298" s="703">
        <v>100</v>
      </c>
      <c r="F298" s="703">
        <v>750</v>
      </c>
      <c r="G298" s="704" t="s">
        <v>8166</v>
      </c>
      <c r="H298" s="705" t="s">
        <v>8167</v>
      </c>
      <c r="I298" s="613" t="s">
        <v>8168</v>
      </c>
      <c r="J298" s="637"/>
      <c r="K298" s="611"/>
      <c r="L298" s="110"/>
      <c r="M298" s="110"/>
    </row>
    <row r="299" spans="1:13" ht="30">
      <c r="A299" s="689">
        <v>287</v>
      </c>
      <c r="B299" s="631" t="s">
        <v>8550</v>
      </c>
      <c r="C299" s="631" t="s">
        <v>7581</v>
      </c>
      <c r="D299" s="702" t="s">
        <v>7850</v>
      </c>
      <c r="E299" s="703">
        <v>30</v>
      </c>
      <c r="F299" s="703">
        <v>250</v>
      </c>
      <c r="G299" s="704" t="s">
        <v>8551</v>
      </c>
      <c r="H299" s="705" t="s">
        <v>8552</v>
      </c>
      <c r="I299" s="613" t="s">
        <v>8553</v>
      </c>
      <c r="J299" s="637"/>
      <c r="K299" s="611"/>
      <c r="L299" s="110"/>
      <c r="M299" s="110"/>
    </row>
    <row r="300" spans="1:13" ht="30">
      <c r="A300" s="689">
        <v>288</v>
      </c>
      <c r="B300" s="631" t="s">
        <v>8554</v>
      </c>
      <c r="C300" s="631" t="s">
        <v>7581</v>
      </c>
      <c r="D300" s="702" t="s">
        <v>7698</v>
      </c>
      <c r="E300" s="703" t="s">
        <v>8555</v>
      </c>
      <c r="F300" s="703">
        <v>250</v>
      </c>
      <c r="G300" s="704" t="s">
        <v>8556</v>
      </c>
      <c r="H300" s="705" t="s">
        <v>7969</v>
      </c>
      <c r="I300" s="613" t="s">
        <v>8557</v>
      </c>
      <c r="J300" s="637"/>
      <c r="K300" s="611"/>
      <c r="L300" s="110"/>
      <c r="M300" s="110"/>
    </row>
    <row r="301" spans="1:13" ht="30">
      <c r="A301" s="689">
        <v>289</v>
      </c>
      <c r="B301" s="631" t="s">
        <v>8558</v>
      </c>
      <c r="C301" s="631" t="s">
        <v>7581</v>
      </c>
      <c r="D301" s="702" t="s">
        <v>7591</v>
      </c>
      <c r="E301" s="703">
        <v>50</v>
      </c>
      <c r="F301" s="703">
        <v>250</v>
      </c>
      <c r="G301" s="704" t="s">
        <v>8559</v>
      </c>
      <c r="H301" s="705" t="s">
        <v>8560</v>
      </c>
      <c r="I301" s="613" t="s">
        <v>8561</v>
      </c>
      <c r="J301" s="637"/>
      <c r="K301" s="611"/>
      <c r="L301" s="110"/>
      <c r="M301" s="110"/>
    </row>
    <row r="302" spans="1:13" ht="30">
      <c r="A302" s="689">
        <v>290</v>
      </c>
      <c r="B302" s="631" t="s">
        <v>8562</v>
      </c>
      <c r="C302" s="631" t="s">
        <v>7581</v>
      </c>
      <c r="D302" s="702" t="s">
        <v>7591</v>
      </c>
      <c r="E302" s="703">
        <v>100</v>
      </c>
      <c r="F302" s="703">
        <v>100</v>
      </c>
      <c r="G302" s="704" t="s">
        <v>8563</v>
      </c>
      <c r="H302" s="705" t="s">
        <v>3730</v>
      </c>
      <c r="I302" s="613" t="s">
        <v>8564</v>
      </c>
      <c r="J302" s="637"/>
      <c r="K302" s="611"/>
      <c r="L302" s="110"/>
      <c r="M302" s="110"/>
    </row>
    <row r="303" spans="1:13" ht="60">
      <c r="A303" s="689">
        <v>291</v>
      </c>
      <c r="B303" s="631" t="s">
        <v>8565</v>
      </c>
      <c r="C303" s="631" t="s">
        <v>7581</v>
      </c>
      <c r="D303" s="702" t="s">
        <v>7591</v>
      </c>
      <c r="E303" s="703" t="s">
        <v>8566</v>
      </c>
      <c r="F303" s="703">
        <v>250</v>
      </c>
      <c r="G303" s="704" t="s">
        <v>8567</v>
      </c>
      <c r="H303" s="705" t="s">
        <v>7923</v>
      </c>
      <c r="I303" s="613" t="s">
        <v>8568</v>
      </c>
      <c r="J303" s="637"/>
      <c r="K303" s="611"/>
      <c r="L303" s="110"/>
      <c r="M303" s="110"/>
    </row>
    <row r="304" spans="1:13" ht="30">
      <c r="A304" s="689">
        <v>292</v>
      </c>
      <c r="B304" s="631" t="s">
        <v>8569</v>
      </c>
      <c r="C304" s="631" t="s">
        <v>7581</v>
      </c>
      <c r="D304" s="702" t="s">
        <v>7591</v>
      </c>
      <c r="E304" s="703" t="s">
        <v>8570</v>
      </c>
      <c r="F304" s="703">
        <v>250</v>
      </c>
      <c r="G304" s="704" t="s">
        <v>8571</v>
      </c>
      <c r="H304" s="705" t="s">
        <v>8572</v>
      </c>
      <c r="I304" s="613" t="s">
        <v>8573</v>
      </c>
      <c r="J304" s="637"/>
      <c r="K304" s="611"/>
      <c r="L304" s="110"/>
      <c r="M304" s="110"/>
    </row>
    <row r="305" spans="1:13" ht="45">
      <c r="A305" s="689">
        <v>293</v>
      </c>
      <c r="B305" s="631" t="s">
        <v>8574</v>
      </c>
      <c r="C305" s="631" t="s">
        <v>7581</v>
      </c>
      <c r="D305" s="702" t="s">
        <v>7591</v>
      </c>
      <c r="E305" s="703" t="s">
        <v>8575</v>
      </c>
      <c r="F305" s="703">
        <v>250</v>
      </c>
      <c r="G305" s="704" t="s">
        <v>8576</v>
      </c>
      <c r="H305" s="705" t="s">
        <v>7963</v>
      </c>
      <c r="I305" s="613" t="s">
        <v>8577</v>
      </c>
      <c r="J305" s="637"/>
      <c r="K305" s="611"/>
      <c r="L305" s="110"/>
      <c r="M305" s="110"/>
    </row>
    <row r="306" spans="1:13" ht="30">
      <c r="A306" s="689">
        <v>294</v>
      </c>
      <c r="B306" s="631" t="s">
        <v>8578</v>
      </c>
      <c r="C306" s="631" t="s">
        <v>7581</v>
      </c>
      <c r="D306" s="702" t="s">
        <v>7591</v>
      </c>
      <c r="E306" s="703" t="s">
        <v>8579</v>
      </c>
      <c r="F306" s="703">
        <v>250</v>
      </c>
      <c r="G306" s="704" t="s">
        <v>8580</v>
      </c>
      <c r="H306" s="705" t="s">
        <v>8581</v>
      </c>
      <c r="I306" s="613" t="s">
        <v>8582</v>
      </c>
      <c r="J306" s="637"/>
      <c r="K306" s="611"/>
      <c r="L306" s="110"/>
      <c r="M306" s="110"/>
    </row>
    <row r="307" spans="1:13" ht="60">
      <c r="A307" s="689">
        <v>295</v>
      </c>
      <c r="B307" s="631" t="s">
        <v>8583</v>
      </c>
      <c r="C307" s="631" t="s">
        <v>7581</v>
      </c>
      <c r="D307" s="702" t="s">
        <v>7591</v>
      </c>
      <c r="E307" s="703">
        <v>160</v>
      </c>
      <c r="F307" s="703">
        <v>1675</v>
      </c>
      <c r="G307" s="704" t="s">
        <v>8584</v>
      </c>
      <c r="H307" s="705" t="s">
        <v>3863</v>
      </c>
      <c r="I307" s="613" t="s">
        <v>8573</v>
      </c>
      <c r="J307" s="637"/>
      <c r="K307" s="611"/>
      <c r="L307" s="110"/>
      <c r="M307" s="110"/>
    </row>
    <row r="308" spans="1:13" ht="60">
      <c r="A308" s="689">
        <v>296</v>
      </c>
      <c r="B308" s="631" t="s">
        <v>8585</v>
      </c>
      <c r="C308" s="631" t="s">
        <v>7581</v>
      </c>
      <c r="D308" s="702" t="s">
        <v>7591</v>
      </c>
      <c r="E308" s="703">
        <v>160</v>
      </c>
      <c r="F308" s="703">
        <v>1675</v>
      </c>
      <c r="G308" s="704" t="s">
        <v>8586</v>
      </c>
      <c r="H308" s="705" t="s">
        <v>7915</v>
      </c>
      <c r="I308" s="613" t="s">
        <v>8587</v>
      </c>
      <c r="J308" s="637"/>
      <c r="K308" s="611"/>
      <c r="L308" s="110"/>
      <c r="M308" s="110"/>
    </row>
    <row r="309" spans="1:13" ht="30">
      <c r="A309" s="689">
        <v>297</v>
      </c>
      <c r="B309" s="631" t="s">
        <v>8588</v>
      </c>
      <c r="C309" s="631" t="s">
        <v>7581</v>
      </c>
      <c r="D309" s="702" t="s">
        <v>7850</v>
      </c>
      <c r="E309" s="703">
        <v>20</v>
      </c>
      <c r="F309" s="703">
        <v>125</v>
      </c>
      <c r="G309" s="704" t="s">
        <v>8589</v>
      </c>
      <c r="H309" s="705" t="s">
        <v>8590</v>
      </c>
      <c r="I309" s="613" t="s">
        <v>8591</v>
      </c>
      <c r="J309" s="637"/>
      <c r="K309" s="611"/>
      <c r="L309" s="110"/>
      <c r="M309" s="110"/>
    </row>
    <row r="310" spans="1:13" ht="30">
      <c r="A310" s="689">
        <v>298</v>
      </c>
      <c r="B310" s="631" t="s">
        <v>8592</v>
      </c>
      <c r="C310" s="631" t="s">
        <v>7581</v>
      </c>
      <c r="D310" s="702" t="s">
        <v>7850</v>
      </c>
      <c r="E310" s="703">
        <v>20</v>
      </c>
      <c r="F310" s="703">
        <v>125</v>
      </c>
      <c r="G310" s="704" t="s">
        <v>8593</v>
      </c>
      <c r="H310" s="705" t="s">
        <v>8043</v>
      </c>
      <c r="I310" s="613" t="s">
        <v>8594</v>
      </c>
      <c r="J310" s="637"/>
      <c r="K310" s="611"/>
      <c r="L310" s="110"/>
      <c r="M310" s="110"/>
    </row>
    <row r="311" spans="1:13" ht="30">
      <c r="A311" s="689">
        <v>299</v>
      </c>
      <c r="B311" s="631" t="s">
        <v>8595</v>
      </c>
      <c r="C311" s="631" t="s">
        <v>7581</v>
      </c>
      <c r="D311" s="702" t="s">
        <v>7850</v>
      </c>
      <c r="E311" s="703">
        <v>25</v>
      </c>
      <c r="F311" s="703" t="s">
        <v>8087</v>
      </c>
      <c r="G311" s="704" t="s">
        <v>8596</v>
      </c>
      <c r="H311" s="705" t="s">
        <v>3734</v>
      </c>
      <c r="I311" s="613" t="s">
        <v>8597</v>
      </c>
      <c r="J311" s="637"/>
      <c r="K311" s="611"/>
      <c r="L311" s="110"/>
      <c r="M311" s="110"/>
    </row>
    <row r="312" spans="1:13" ht="30">
      <c r="A312" s="689">
        <v>300</v>
      </c>
      <c r="B312" s="631" t="s">
        <v>8598</v>
      </c>
      <c r="C312" s="631" t="s">
        <v>7581</v>
      </c>
      <c r="D312" s="702" t="s">
        <v>7850</v>
      </c>
      <c r="E312" s="703">
        <v>20</v>
      </c>
      <c r="F312" s="703">
        <v>250</v>
      </c>
      <c r="G312" s="704" t="s">
        <v>8599</v>
      </c>
      <c r="H312" s="705" t="s">
        <v>8600</v>
      </c>
      <c r="I312" s="613" t="s">
        <v>8601</v>
      </c>
      <c r="J312" s="637"/>
      <c r="K312" s="611"/>
      <c r="L312" s="110"/>
      <c r="M312" s="110"/>
    </row>
    <row r="313" spans="1:13" ht="45">
      <c r="A313" s="689">
        <v>301</v>
      </c>
      <c r="B313" s="631" t="s">
        <v>8602</v>
      </c>
      <c r="C313" s="631" t="s">
        <v>7581</v>
      </c>
      <c r="D313" s="702" t="s">
        <v>7591</v>
      </c>
      <c r="E313" s="703">
        <v>76</v>
      </c>
      <c r="F313" s="703" t="s">
        <v>8370</v>
      </c>
      <c r="G313" s="704" t="s">
        <v>8603</v>
      </c>
      <c r="H313" s="705" t="s">
        <v>3730</v>
      </c>
      <c r="I313" s="613" t="s">
        <v>8604</v>
      </c>
      <c r="J313" s="637"/>
      <c r="K313" s="611"/>
      <c r="L313" s="110"/>
      <c r="M313" s="110"/>
    </row>
    <row r="314" spans="1:13" ht="30">
      <c r="A314" s="689">
        <v>302</v>
      </c>
      <c r="B314" s="631" t="s">
        <v>8605</v>
      </c>
      <c r="C314" s="631" t="s">
        <v>7581</v>
      </c>
      <c r="D314" s="702" t="s">
        <v>7591</v>
      </c>
      <c r="E314" s="703">
        <v>60</v>
      </c>
      <c r="F314" s="703" t="s">
        <v>8370</v>
      </c>
      <c r="G314" s="704" t="s">
        <v>8606</v>
      </c>
      <c r="H314" s="705" t="s">
        <v>7886</v>
      </c>
      <c r="I314" s="613" t="s">
        <v>8607</v>
      </c>
      <c r="J314" s="637"/>
      <c r="K314" s="611"/>
      <c r="L314" s="110"/>
      <c r="M314" s="110"/>
    </row>
    <row r="315" spans="1:13" ht="30">
      <c r="A315" s="689">
        <v>303</v>
      </c>
      <c r="B315" s="631" t="s">
        <v>8608</v>
      </c>
      <c r="C315" s="631" t="s">
        <v>7581</v>
      </c>
      <c r="D315" s="702" t="s">
        <v>7591</v>
      </c>
      <c r="E315" s="703">
        <v>80</v>
      </c>
      <c r="F315" s="703">
        <v>375</v>
      </c>
      <c r="G315" s="704" t="s">
        <v>8609</v>
      </c>
      <c r="H315" s="705" t="s">
        <v>8610</v>
      </c>
      <c r="I315" s="613" t="s">
        <v>8611</v>
      </c>
      <c r="J315" s="637"/>
      <c r="K315" s="611"/>
      <c r="L315" s="110"/>
      <c r="M315" s="110"/>
    </row>
    <row r="316" spans="1:13" ht="30">
      <c r="A316" s="689">
        <v>304</v>
      </c>
      <c r="B316" s="631" t="s">
        <v>8612</v>
      </c>
      <c r="C316" s="631" t="s">
        <v>7581</v>
      </c>
      <c r="D316" s="702" t="s">
        <v>7591</v>
      </c>
      <c r="E316" s="703">
        <v>60</v>
      </c>
      <c r="F316" s="703" t="s">
        <v>8370</v>
      </c>
      <c r="G316" s="704" t="s">
        <v>8613</v>
      </c>
      <c r="H316" s="705" t="s">
        <v>8614</v>
      </c>
      <c r="I316" s="613" t="s">
        <v>8615</v>
      </c>
      <c r="J316" s="637"/>
      <c r="K316" s="611"/>
      <c r="L316" s="110"/>
      <c r="M316" s="110"/>
    </row>
    <row r="317" spans="1:13" ht="45">
      <c r="A317" s="689">
        <v>305</v>
      </c>
      <c r="B317" s="631" t="s">
        <v>8616</v>
      </c>
      <c r="C317" s="631" t="s">
        <v>7581</v>
      </c>
      <c r="D317" s="702" t="s">
        <v>8617</v>
      </c>
      <c r="E317" s="703">
        <v>19</v>
      </c>
      <c r="F317" s="703">
        <v>250</v>
      </c>
      <c r="G317" s="704" t="s">
        <v>8618</v>
      </c>
      <c r="H317" s="705" t="s">
        <v>8619</v>
      </c>
      <c r="I317" s="613" t="s">
        <v>8620</v>
      </c>
      <c r="J317" s="637"/>
      <c r="K317" s="611"/>
      <c r="L317" s="110"/>
      <c r="M317" s="110"/>
    </row>
    <row r="318" spans="1:13" ht="30">
      <c r="A318" s="689">
        <v>306</v>
      </c>
      <c r="B318" s="631" t="s">
        <v>8621</v>
      </c>
      <c r="C318" s="631" t="s">
        <v>7581</v>
      </c>
      <c r="D318" s="702" t="s">
        <v>7698</v>
      </c>
      <c r="E318" s="703">
        <v>30</v>
      </c>
      <c r="F318" s="703">
        <v>250</v>
      </c>
      <c r="G318" s="704" t="s">
        <v>8622</v>
      </c>
      <c r="H318" s="705" t="s">
        <v>8623</v>
      </c>
      <c r="I318" s="613" t="s">
        <v>8624</v>
      </c>
      <c r="J318" s="637"/>
      <c r="K318" s="611"/>
      <c r="L318" s="110"/>
      <c r="M318" s="110"/>
    </row>
    <row r="319" spans="1:13" ht="30">
      <c r="A319" s="689">
        <v>307</v>
      </c>
      <c r="B319" s="631" t="s">
        <v>8625</v>
      </c>
      <c r="C319" s="631" t="s">
        <v>7581</v>
      </c>
      <c r="D319" s="702" t="s">
        <v>7698</v>
      </c>
      <c r="E319" s="703">
        <v>30</v>
      </c>
      <c r="F319" s="703">
        <v>250</v>
      </c>
      <c r="G319" s="704" t="s">
        <v>8626</v>
      </c>
      <c r="H319" s="705" t="s">
        <v>8627</v>
      </c>
      <c r="I319" s="613" t="s">
        <v>8035</v>
      </c>
      <c r="J319" s="637"/>
      <c r="K319" s="611"/>
      <c r="L319" s="110"/>
      <c r="M319" s="110"/>
    </row>
    <row r="320" spans="1:13" ht="45">
      <c r="A320" s="689">
        <v>308</v>
      </c>
      <c r="B320" s="631" t="s">
        <v>8628</v>
      </c>
      <c r="C320" s="631" t="s">
        <v>7581</v>
      </c>
      <c r="D320" s="702" t="s">
        <v>7698</v>
      </c>
      <c r="E320" s="703">
        <v>24</v>
      </c>
      <c r="F320" s="703" t="s">
        <v>8629</v>
      </c>
      <c r="G320" s="704" t="s">
        <v>8630</v>
      </c>
      <c r="H320" s="705" t="s">
        <v>3939</v>
      </c>
      <c r="I320" s="613" t="s">
        <v>8631</v>
      </c>
      <c r="J320" s="637"/>
      <c r="K320" s="611"/>
      <c r="L320" s="110"/>
      <c r="M320" s="110"/>
    </row>
    <row r="321" spans="1:13" ht="30">
      <c r="A321" s="689">
        <v>309</v>
      </c>
      <c r="B321" s="631" t="s">
        <v>8632</v>
      </c>
      <c r="C321" s="631" t="s">
        <v>7581</v>
      </c>
      <c r="D321" s="702" t="s">
        <v>7698</v>
      </c>
      <c r="E321" s="703">
        <v>30</v>
      </c>
      <c r="F321" s="703">
        <v>250</v>
      </c>
      <c r="G321" s="704" t="s">
        <v>8633</v>
      </c>
      <c r="H321" s="705" t="s">
        <v>8184</v>
      </c>
      <c r="I321" s="613" t="s">
        <v>8634</v>
      </c>
      <c r="J321" s="637"/>
      <c r="K321" s="611"/>
      <c r="L321" s="110"/>
      <c r="M321" s="110"/>
    </row>
    <row r="322" spans="1:13" ht="30">
      <c r="A322" s="689">
        <v>310</v>
      </c>
      <c r="B322" s="631" t="s">
        <v>8635</v>
      </c>
      <c r="C322" s="631" t="s">
        <v>7581</v>
      </c>
      <c r="D322" s="702" t="s">
        <v>7698</v>
      </c>
      <c r="E322" s="703">
        <v>30</v>
      </c>
      <c r="F322" s="703">
        <v>250</v>
      </c>
      <c r="G322" s="704" t="s">
        <v>8636</v>
      </c>
      <c r="H322" s="705" t="s">
        <v>8637</v>
      </c>
      <c r="I322" s="613" t="s">
        <v>8638</v>
      </c>
      <c r="J322" s="637"/>
      <c r="K322" s="611"/>
      <c r="L322" s="110"/>
      <c r="M322" s="110"/>
    </row>
    <row r="323" spans="1:13" ht="45">
      <c r="A323" s="689">
        <v>311</v>
      </c>
      <c r="B323" s="631" t="s">
        <v>8639</v>
      </c>
      <c r="C323" s="631" t="s">
        <v>7581</v>
      </c>
      <c r="D323" s="702" t="s">
        <v>7600</v>
      </c>
      <c r="E323" s="703">
        <v>28.4</v>
      </c>
      <c r="F323" s="703">
        <v>375</v>
      </c>
      <c r="G323" s="704" t="s">
        <v>8640</v>
      </c>
      <c r="H323" s="705" t="s">
        <v>8641</v>
      </c>
      <c r="I323" s="613" t="s">
        <v>8642</v>
      </c>
      <c r="J323" s="637"/>
      <c r="K323" s="611"/>
      <c r="L323" s="110"/>
      <c r="M323" s="110"/>
    </row>
    <row r="324" spans="1:13" ht="45">
      <c r="A324" s="689">
        <v>312</v>
      </c>
      <c r="B324" s="631" t="s">
        <v>8643</v>
      </c>
      <c r="C324" s="631" t="s">
        <v>7581</v>
      </c>
      <c r="D324" s="702" t="s">
        <v>7698</v>
      </c>
      <c r="E324" s="703">
        <v>70</v>
      </c>
      <c r="F324" s="703">
        <v>1391.7</v>
      </c>
      <c r="G324" s="704" t="s">
        <v>8644</v>
      </c>
      <c r="H324" s="705" t="s">
        <v>7893</v>
      </c>
      <c r="I324" s="613" t="s">
        <v>8645</v>
      </c>
      <c r="J324" s="637"/>
      <c r="K324" s="611"/>
      <c r="L324" s="110"/>
      <c r="M324" s="110"/>
    </row>
    <row r="325" spans="1:13" ht="30">
      <c r="A325" s="689">
        <v>313</v>
      </c>
      <c r="B325" s="631" t="s">
        <v>8646</v>
      </c>
      <c r="C325" s="631" t="s">
        <v>7581</v>
      </c>
      <c r="D325" s="702" t="s">
        <v>7591</v>
      </c>
      <c r="E325" s="703">
        <v>79</v>
      </c>
      <c r="F325" s="703">
        <v>400</v>
      </c>
      <c r="G325" s="704" t="s">
        <v>8647</v>
      </c>
      <c r="H325" s="705" t="s">
        <v>8648</v>
      </c>
      <c r="I325" s="613" t="s">
        <v>8649</v>
      </c>
      <c r="J325" s="637"/>
      <c r="K325" s="611"/>
      <c r="L325" s="110"/>
      <c r="M325" s="110"/>
    </row>
    <row r="326" spans="1:13" ht="30">
      <c r="A326" s="689">
        <v>314</v>
      </c>
      <c r="B326" s="631" t="s">
        <v>8650</v>
      </c>
      <c r="C326" s="631" t="s">
        <v>7581</v>
      </c>
      <c r="D326" s="702" t="s">
        <v>7591</v>
      </c>
      <c r="E326" s="703" t="s">
        <v>8651</v>
      </c>
      <c r="F326" s="703">
        <v>1000</v>
      </c>
      <c r="G326" s="704" t="s">
        <v>8652</v>
      </c>
      <c r="H326" s="705" t="s">
        <v>3730</v>
      </c>
      <c r="I326" s="613" t="s">
        <v>8653</v>
      </c>
      <c r="J326" s="637"/>
      <c r="K326" s="611"/>
      <c r="L326" s="110"/>
      <c r="M326" s="110"/>
    </row>
    <row r="327" spans="1:13" ht="30">
      <c r="A327" s="689">
        <v>315</v>
      </c>
      <c r="B327" s="631" t="s">
        <v>8654</v>
      </c>
      <c r="C327" s="631" t="s">
        <v>7581</v>
      </c>
      <c r="D327" s="702" t="s">
        <v>7591</v>
      </c>
      <c r="E327" s="703">
        <v>100</v>
      </c>
      <c r="F327" s="703">
        <v>500</v>
      </c>
      <c r="G327" s="704" t="s">
        <v>8655</v>
      </c>
      <c r="H327" s="705" t="s">
        <v>8656</v>
      </c>
      <c r="I327" s="613" t="s">
        <v>8657</v>
      </c>
      <c r="J327" s="637"/>
      <c r="K327" s="611"/>
      <c r="L327" s="110"/>
      <c r="M327" s="110"/>
    </row>
    <row r="328" spans="1:13" ht="45">
      <c r="A328" s="689">
        <v>316</v>
      </c>
      <c r="B328" s="631" t="s">
        <v>8658</v>
      </c>
      <c r="C328" s="631" t="s">
        <v>7581</v>
      </c>
      <c r="D328" s="702" t="s">
        <v>7591</v>
      </c>
      <c r="E328" s="703">
        <v>100</v>
      </c>
      <c r="F328" s="703">
        <v>300</v>
      </c>
      <c r="G328" s="704" t="s">
        <v>8659</v>
      </c>
      <c r="H328" s="705" t="s">
        <v>8660</v>
      </c>
      <c r="I328" s="613" t="s">
        <v>8661</v>
      </c>
      <c r="J328" s="637"/>
      <c r="K328" s="611"/>
      <c r="L328" s="110"/>
      <c r="M328" s="110"/>
    </row>
    <row r="329" spans="1:13" ht="45">
      <c r="A329" s="689">
        <v>317</v>
      </c>
      <c r="B329" s="631" t="s">
        <v>8662</v>
      </c>
      <c r="C329" s="631" t="s">
        <v>7581</v>
      </c>
      <c r="D329" s="702" t="s">
        <v>7591</v>
      </c>
      <c r="E329" s="703">
        <v>21</v>
      </c>
      <c r="F329" s="703">
        <v>250</v>
      </c>
      <c r="G329" s="704" t="s">
        <v>8663</v>
      </c>
      <c r="H329" s="705" t="s">
        <v>7969</v>
      </c>
      <c r="I329" s="613" t="s">
        <v>8664</v>
      </c>
      <c r="J329" s="637"/>
      <c r="K329" s="611"/>
      <c r="L329" s="110"/>
      <c r="M329" s="110"/>
    </row>
    <row r="330" spans="1:13" ht="30">
      <c r="A330" s="689">
        <v>318</v>
      </c>
      <c r="B330" s="631" t="s">
        <v>8665</v>
      </c>
      <c r="C330" s="631" t="s">
        <v>7581</v>
      </c>
      <c r="D330" s="702" t="s">
        <v>8666</v>
      </c>
      <c r="E330" s="703">
        <v>60</v>
      </c>
      <c r="F330" s="703">
        <v>200</v>
      </c>
      <c r="G330" s="704" t="s">
        <v>8667</v>
      </c>
      <c r="H330" s="705" t="s">
        <v>7893</v>
      </c>
      <c r="I330" s="613" t="s">
        <v>8668</v>
      </c>
      <c r="J330" s="637"/>
      <c r="K330" s="611"/>
      <c r="L330" s="110"/>
      <c r="M330" s="110"/>
    </row>
    <row r="331" spans="1:13" ht="30">
      <c r="A331" s="689">
        <v>319</v>
      </c>
      <c r="B331" s="631" t="s">
        <v>8669</v>
      </c>
      <c r="C331" s="631" t="s">
        <v>7581</v>
      </c>
      <c r="D331" s="702" t="s">
        <v>7591</v>
      </c>
      <c r="E331" s="703">
        <v>57</v>
      </c>
      <c r="F331" s="703">
        <v>400</v>
      </c>
      <c r="G331" s="704" t="s">
        <v>8670</v>
      </c>
      <c r="H331" s="705" t="s">
        <v>8671</v>
      </c>
      <c r="I331" s="613" t="s">
        <v>8672</v>
      </c>
      <c r="J331" s="637"/>
      <c r="K331" s="611"/>
      <c r="L331" s="110"/>
      <c r="M331" s="110"/>
    </row>
    <row r="332" spans="1:13" ht="30">
      <c r="A332" s="689">
        <v>320</v>
      </c>
      <c r="B332" s="631" t="s">
        <v>8673</v>
      </c>
      <c r="C332" s="631" t="s">
        <v>7581</v>
      </c>
      <c r="D332" s="702" t="s">
        <v>7850</v>
      </c>
      <c r="E332" s="703" t="s">
        <v>8674</v>
      </c>
      <c r="F332" s="703" t="s">
        <v>8087</v>
      </c>
      <c r="G332" s="704" t="s">
        <v>8675</v>
      </c>
      <c r="H332" s="705" t="s">
        <v>8676</v>
      </c>
      <c r="I332" s="613" t="s">
        <v>8677</v>
      </c>
      <c r="J332" s="637"/>
      <c r="K332" s="611"/>
      <c r="L332" s="110"/>
      <c r="M332" s="110"/>
    </row>
    <row r="333" spans="1:13" ht="30">
      <c r="A333" s="689">
        <v>321</v>
      </c>
      <c r="B333" s="631" t="s">
        <v>8678</v>
      </c>
      <c r="C333" s="631" t="s">
        <v>7581</v>
      </c>
      <c r="D333" s="702" t="s">
        <v>7591</v>
      </c>
      <c r="E333" s="703">
        <v>38</v>
      </c>
      <c r="F333" s="703">
        <v>200</v>
      </c>
      <c r="G333" s="704" t="s">
        <v>8679</v>
      </c>
      <c r="H333" s="705" t="s">
        <v>8572</v>
      </c>
      <c r="I333" s="613" t="s">
        <v>8680</v>
      </c>
      <c r="J333" s="637"/>
      <c r="K333" s="611"/>
      <c r="L333" s="110"/>
      <c r="M333" s="110"/>
    </row>
    <row r="334" spans="1:13" ht="30">
      <c r="A334" s="689">
        <v>322</v>
      </c>
      <c r="B334" s="631" t="s">
        <v>8681</v>
      </c>
      <c r="C334" s="631" t="s">
        <v>7581</v>
      </c>
      <c r="D334" s="702" t="s">
        <v>7591</v>
      </c>
      <c r="E334" s="703">
        <v>27</v>
      </c>
      <c r="F334" s="703">
        <v>200</v>
      </c>
      <c r="G334" s="704" t="s">
        <v>8682</v>
      </c>
      <c r="H334" s="705" t="s">
        <v>8683</v>
      </c>
      <c r="I334" s="613" t="s">
        <v>8684</v>
      </c>
      <c r="J334" s="637"/>
      <c r="K334" s="611"/>
      <c r="L334" s="110"/>
      <c r="M334" s="110"/>
    </row>
    <row r="335" spans="1:13" ht="30">
      <c r="A335" s="689">
        <v>323</v>
      </c>
      <c r="B335" s="631" t="s">
        <v>8685</v>
      </c>
      <c r="C335" s="631" t="s">
        <v>7581</v>
      </c>
      <c r="D335" s="702" t="s">
        <v>7591</v>
      </c>
      <c r="E335" s="703">
        <v>60</v>
      </c>
      <c r="F335" s="703">
        <v>625</v>
      </c>
      <c r="G335" s="704" t="s">
        <v>8686</v>
      </c>
      <c r="H335" s="705" t="s">
        <v>6707</v>
      </c>
      <c r="I335" s="613" t="s">
        <v>8687</v>
      </c>
      <c r="J335" s="637"/>
      <c r="K335" s="611"/>
      <c r="L335" s="110"/>
      <c r="M335" s="110"/>
    </row>
    <row r="336" spans="1:13" ht="30">
      <c r="A336" s="689">
        <v>324</v>
      </c>
      <c r="B336" s="631" t="s">
        <v>8688</v>
      </c>
      <c r="C336" s="631" t="s">
        <v>7581</v>
      </c>
      <c r="D336" s="702" t="s">
        <v>7850</v>
      </c>
      <c r="E336" s="703" t="s">
        <v>8689</v>
      </c>
      <c r="F336" s="703" t="s">
        <v>8087</v>
      </c>
      <c r="G336" s="704" t="s">
        <v>8690</v>
      </c>
      <c r="H336" s="705" t="s">
        <v>8691</v>
      </c>
      <c r="I336" s="613" t="s">
        <v>8692</v>
      </c>
      <c r="J336" s="637"/>
      <c r="K336" s="611"/>
      <c r="L336" s="110"/>
      <c r="M336" s="110"/>
    </row>
    <row r="337" spans="1:13" ht="30">
      <c r="A337" s="689">
        <v>325</v>
      </c>
      <c r="B337" s="631" t="s">
        <v>8693</v>
      </c>
      <c r="C337" s="631" t="s">
        <v>7581</v>
      </c>
      <c r="D337" s="702" t="s">
        <v>7850</v>
      </c>
      <c r="E337" s="703">
        <v>174</v>
      </c>
      <c r="F337" s="703" t="s">
        <v>8087</v>
      </c>
      <c r="G337" s="704" t="s">
        <v>8694</v>
      </c>
      <c r="H337" s="705" t="s">
        <v>8695</v>
      </c>
      <c r="I337" s="613" t="s">
        <v>8696</v>
      </c>
      <c r="J337" s="637"/>
      <c r="K337" s="611"/>
      <c r="L337" s="110"/>
      <c r="M337" s="110"/>
    </row>
    <row r="338" spans="1:13" ht="30">
      <c r="A338" s="689">
        <v>326</v>
      </c>
      <c r="B338" s="631" t="s">
        <v>8697</v>
      </c>
      <c r="C338" s="631" t="s">
        <v>7581</v>
      </c>
      <c r="D338" s="702" t="s">
        <v>7591</v>
      </c>
      <c r="E338" s="703">
        <v>45</v>
      </c>
      <c r="F338" s="703">
        <v>250</v>
      </c>
      <c r="G338" s="704" t="s">
        <v>8698</v>
      </c>
      <c r="H338" s="705" t="s">
        <v>3905</v>
      </c>
      <c r="I338" s="613" t="s">
        <v>8687</v>
      </c>
      <c r="J338" s="637"/>
      <c r="K338" s="611"/>
      <c r="L338" s="110"/>
      <c r="M338" s="110"/>
    </row>
    <row r="339" spans="1:13" ht="30">
      <c r="A339" s="689">
        <v>327</v>
      </c>
      <c r="B339" s="631" t="s">
        <v>8699</v>
      </c>
      <c r="C339" s="631" t="s">
        <v>7581</v>
      </c>
      <c r="D339" s="702" t="s">
        <v>7591</v>
      </c>
      <c r="E339" s="703" t="s">
        <v>8700</v>
      </c>
      <c r="F339" s="703">
        <v>625</v>
      </c>
      <c r="G339" s="704" t="s">
        <v>8701</v>
      </c>
      <c r="H339" s="705" t="s">
        <v>8702</v>
      </c>
      <c r="I339" s="613" t="s">
        <v>8703</v>
      </c>
      <c r="J339" s="637"/>
      <c r="K339" s="611"/>
      <c r="L339" s="110"/>
      <c r="M339" s="110"/>
    </row>
    <row r="340" spans="1:13" ht="30">
      <c r="A340" s="689">
        <v>328</v>
      </c>
      <c r="B340" s="631" t="s">
        <v>8704</v>
      </c>
      <c r="C340" s="631" t="s">
        <v>7581</v>
      </c>
      <c r="D340" s="702" t="s">
        <v>7591</v>
      </c>
      <c r="E340" s="703">
        <v>40</v>
      </c>
      <c r="F340" s="703" t="s">
        <v>8370</v>
      </c>
      <c r="G340" s="704" t="s">
        <v>8705</v>
      </c>
      <c r="H340" s="705" t="s">
        <v>6081</v>
      </c>
      <c r="I340" s="613" t="s">
        <v>8706</v>
      </c>
      <c r="J340" s="637"/>
      <c r="K340" s="611"/>
      <c r="L340" s="110"/>
      <c r="M340" s="110"/>
    </row>
    <row r="341" spans="1:13" ht="30">
      <c r="A341" s="689">
        <v>329</v>
      </c>
      <c r="B341" s="631" t="s">
        <v>8707</v>
      </c>
      <c r="C341" s="631" t="s">
        <v>7581</v>
      </c>
      <c r="D341" s="702" t="s">
        <v>7591</v>
      </c>
      <c r="E341" s="703" t="s">
        <v>8708</v>
      </c>
      <c r="F341" s="703">
        <v>240</v>
      </c>
      <c r="G341" s="704" t="s">
        <v>8709</v>
      </c>
      <c r="H341" s="705" t="s">
        <v>8191</v>
      </c>
      <c r="I341" s="613" t="s">
        <v>8710</v>
      </c>
      <c r="J341" s="637"/>
      <c r="K341" s="611"/>
      <c r="L341" s="110"/>
      <c r="M341" s="110"/>
    </row>
    <row r="342" spans="1:13" ht="30">
      <c r="A342" s="689">
        <v>330</v>
      </c>
      <c r="B342" s="631" t="s">
        <v>8711</v>
      </c>
      <c r="C342" s="631" t="s">
        <v>7581</v>
      </c>
      <c r="D342" s="702" t="s">
        <v>7591</v>
      </c>
      <c r="E342" s="703">
        <v>85</v>
      </c>
      <c r="F342" s="703" t="s">
        <v>8370</v>
      </c>
      <c r="G342" s="704" t="s">
        <v>8712</v>
      </c>
      <c r="H342" s="705" t="s">
        <v>8713</v>
      </c>
      <c r="I342" s="613" t="s">
        <v>8714</v>
      </c>
      <c r="J342" s="637"/>
      <c r="K342" s="611"/>
      <c r="L342" s="110"/>
      <c r="M342" s="110"/>
    </row>
    <row r="343" spans="1:13" ht="30">
      <c r="A343" s="689">
        <v>331</v>
      </c>
      <c r="B343" s="631" t="s">
        <v>8715</v>
      </c>
      <c r="C343" s="631" t="s">
        <v>7581</v>
      </c>
      <c r="D343" s="702" t="s">
        <v>7591</v>
      </c>
      <c r="E343" s="703">
        <v>45</v>
      </c>
      <c r="F343" s="703">
        <v>625</v>
      </c>
      <c r="G343" s="704" t="s">
        <v>8716</v>
      </c>
      <c r="H343" s="705" t="s">
        <v>8215</v>
      </c>
      <c r="I343" s="613" t="s">
        <v>8717</v>
      </c>
      <c r="J343" s="637"/>
      <c r="K343" s="611"/>
      <c r="L343" s="110"/>
      <c r="M343" s="110"/>
    </row>
    <row r="344" spans="1:13" ht="30">
      <c r="A344" s="689">
        <v>332</v>
      </c>
      <c r="B344" s="631" t="s">
        <v>8718</v>
      </c>
      <c r="C344" s="631" t="s">
        <v>7581</v>
      </c>
      <c r="D344" s="702" t="s">
        <v>7591</v>
      </c>
      <c r="E344" s="703">
        <v>110</v>
      </c>
      <c r="F344" s="703">
        <v>750</v>
      </c>
      <c r="G344" s="704" t="s">
        <v>8719</v>
      </c>
      <c r="H344" s="705" t="s">
        <v>8720</v>
      </c>
      <c r="I344" s="613" t="s">
        <v>8721</v>
      </c>
      <c r="J344" s="637"/>
      <c r="K344" s="611"/>
      <c r="L344" s="110"/>
      <c r="M344" s="110"/>
    </row>
    <row r="345" spans="1:13" ht="30">
      <c r="A345" s="689">
        <v>333</v>
      </c>
      <c r="B345" s="631" t="s">
        <v>8722</v>
      </c>
      <c r="C345" s="631" t="s">
        <v>7581</v>
      </c>
      <c r="D345" s="702" t="s">
        <v>7591</v>
      </c>
      <c r="E345" s="703" t="s">
        <v>8700</v>
      </c>
      <c r="F345" s="703">
        <v>1250</v>
      </c>
      <c r="G345" s="704" t="s">
        <v>8723</v>
      </c>
      <c r="H345" s="705" t="s">
        <v>3734</v>
      </c>
      <c r="I345" s="613" t="s">
        <v>8724</v>
      </c>
      <c r="J345" s="637"/>
      <c r="K345" s="611"/>
      <c r="L345" s="110"/>
      <c r="M345" s="110"/>
    </row>
    <row r="346" spans="1:13" ht="30">
      <c r="A346" s="689">
        <v>334</v>
      </c>
      <c r="B346" s="631" t="s">
        <v>8725</v>
      </c>
      <c r="C346" s="631" t="s">
        <v>7581</v>
      </c>
      <c r="D346" s="702" t="s">
        <v>7591</v>
      </c>
      <c r="E346" s="703" t="s">
        <v>8726</v>
      </c>
      <c r="F346" s="703">
        <v>875</v>
      </c>
      <c r="G346" s="704" t="s">
        <v>8727</v>
      </c>
      <c r="H346" s="705" t="s">
        <v>3945</v>
      </c>
      <c r="I346" s="613" t="s">
        <v>8728</v>
      </c>
      <c r="J346" s="637"/>
      <c r="K346" s="611"/>
      <c r="L346" s="110"/>
      <c r="M346" s="110"/>
    </row>
    <row r="347" spans="1:13" ht="30">
      <c r="A347" s="689">
        <v>335</v>
      </c>
      <c r="B347" s="631" t="s">
        <v>8729</v>
      </c>
      <c r="C347" s="631" t="s">
        <v>7581</v>
      </c>
      <c r="D347" s="702" t="s">
        <v>7591</v>
      </c>
      <c r="E347" s="703">
        <v>47</v>
      </c>
      <c r="F347" s="703">
        <v>625</v>
      </c>
      <c r="G347" s="704" t="s">
        <v>8730</v>
      </c>
      <c r="H347" s="705" t="s">
        <v>8191</v>
      </c>
      <c r="I347" s="613" t="s">
        <v>8731</v>
      </c>
      <c r="J347" s="637"/>
      <c r="K347" s="611"/>
      <c r="L347" s="110"/>
      <c r="M347" s="110"/>
    </row>
    <row r="348" spans="1:13" ht="30">
      <c r="A348" s="689">
        <v>336</v>
      </c>
      <c r="B348" s="631" t="s">
        <v>8732</v>
      </c>
      <c r="C348" s="631" t="s">
        <v>7581</v>
      </c>
      <c r="D348" s="702" t="s">
        <v>7591</v>
      </c>
      <c r="E348" s="703">
        <v>48</v>
      </c>
      <c r="F348" s="703">
        <v>250</v>
      </c>
      <c r="G348" s="704" t="s">
        <v>8733</v>
      </c>
      <c r="H348" s="705" t="s">
        <v>8242</v>
      </c>
      <c r="I348" s="613" t="s">
        <v>8734</v>
      </c>
      <c r="J348" s="637"/>
      <c r="K348" s="611"/>
      <c r="L348" s="110"/>
      <c r="M348" s="110"/>
    </row>
    <row r="349" spans="1:13" ht="45">
      <c r="A349" s="689">
        <v>337</v>
      </c>
      <c r="B349" s="631" t="s">
        <v>8735</v>
      </c>
      <c r="C349" s="631" t="s">
        <v>7581</v>
      </c>
      <c r="D349" s="702" t="s">
        <v>7591</v>
      </c>
      <c r="E349" s="703" t="s">
        <v>8736</v>
      </c>
      <c r="F349" s="703">
        <v>250</v>
      </c>
      <c r="G349" s="704" t="s">
        <v>8737</v>
      </c>
      <c r="H349" s="705" t="s">
        <v>8637</v>
      </c>
      <c r="I349" s="613" t="s">
        <v>8738</v>
      </c>
      <c r="J349" s="637"/>
      <c r="K349" s="611"/>
      <c r="L349" s="110"/>
      <c r="M349" s="110"/>
    </row>
    <row r="350" spans="1:13" ht="30">
      <c r="A350" s="689">
        <v>338</v>
      </c>
      <c r="B350" s="631" t="s">
        <v>8739</v>
      </c>
      <c r="C350" s="631" t="s">
        <v>7581</v>
      </c>
      <c r="D350" s="702" t="s">
        <v>7698</v>
      </c>
      <c r="E350" s="703">
        <v>50</v>
      </c>
      <c r="F350" s="703">
        <v>250</v>
      </c>
      <c r="G350" s="704" t="s">
        <v>8740</v>
      </c>
      <c r="H350" s="705" t="s">
        <v>8741</v>
      </c>
      <c r="I350" s="613" t="s">
        <v>8415</v>
      </c>
      <c r="J350" s="637"/>
      <c r="K350" s="611"/>
      <c r="L350" s="110"/>
      <c r="M350" s="110"/>
    </row>
    <row r="351" spans="1:13" ht="30">
      <c r="A351" s="689">
        <v>339</v>
      </c>
      <c r="B351" s="631" t="s">
        <v>8742</v>
      </c>
      <c r="C351" s="631" t="s">
        <v>7581</v>
      </c>
      <c r="D351" s="702" t="s">
        <v>7698</v>
      </c>
      <c r="E351" s="703">
        <v>50</v>
      </c>
      <c r="F351" s="703">
        <v>250</v>
      </c>
      <c r="G351" s="704" t="s">
        <v>8743</v>
      </c>
      <c r="H351" s="705" t="s">
        <v>8744</v>
      </c>
      <c r="I351" s="613" t="s">
        <v>8415</v>
      </c>
      <c r="J351" s="637"/>
      <c r="K351" s="611"/>
      <c r="L351" s="110"/>
      <c r="M351" s="110"/>
    </row>
    <row r="352" spans="1:13" ht="30">
      <c r="A352" s="689">
        <v>340</v>
      </c>
      <c r="B352" s="631" t="s">
        <v>8745</v>
      </c>
      <c r="C352" s="631" t="s">
        <v>7581</v>
      </c>
      <c r="D352" s="702" t="s">
        <v>7698</v>
      </c>
      <c r="E352" s="703">
        <v>27.1</v>
      </c>
      <c r="F352" s="703">
        <v>250</v>
      </c>
      <c r="G352" s="704" t="s">
        <v>8746</v>
      </c>
      <c r="H352" s="705" t="s">
        <v>3730</v>
      </c>
      <c r="I352" s="613" t="s">
        <v>8747</v>
      </c>
      <c r="J352" s="637"/>
      <c r="K352" s="611"/>
      <c r="L352" s="110"/>
      <c r="M352" s="110"/>
    </row>
    <row r="353" spans="1:13" ht="30">
      <c r="A353" s="689">
        <v>341</v>
      </c>
      <c r="B353" s="631" t="s">
        <v>8748</v>
      </c>
      <c r="C353" s="631" t="s">
        <v>7581</v>
      </c>
      <c r="D353" s="702" t="s">
        <v>7850</v>
      </c>
      <c r="E353" s="703" t="s">
        <v>8749</v>
      </c>
      <c r="F353" s="703">
        <v>360</v>
      </c>
      <c r="G353" s="704" t="s">
        <v>8750</v>
      </c>
      <c r="H353" s="705" t="s">
        <v>8751</v>
      </c>
      <c r="I353" s="613" t="s">
        <v>8752</v>
      </c>
      <c r="J353" s="637"/>
      <c r="K353" s="611"/>
      <c r="L353" s="110"/>
      <c r="M353" s="110"/>
    </row>
    <row r="354" spans="1:13" ht="30">
      <c r="A354" s="689">
        <v>342</v>
      </c>
      <c r="B354" s="631" t="s">
        <v>8753</v>
      </c>
      <c r="C354" s="631" t="s">
        <v>7581</v>
      </c>
      <c r="D354" s="702" t="s">
        <v>7850</v>
      </c>
      <c r="E354" s="703" t="s">
        <v>8754</v>
      </c>
      <c r="F354" s="703">
        <v>360</v>
      </c>
      <c r="G354" s="704" t="s">
        <v>8755</v>
      </c>
      <c r="H354" s="705" t="s">
        <v>8756</v>
      </c>
      <c r="I354" s="613" t="s">
        <v>8757</v>
      </c>
      <c r="J354" s="637"/>
      <c r="K354" s="611"/>
      <c r="L354" s="110"/>
      <c r="M354" s="110"/>
    </row>
    <row r="355" spans="1:13" ht="30">
      <c r="A355" s="689">
        <v>343</v>
      </c>
      <c r="B355" s="631" t="s">
        <v>8758</v>
      </c>
      <c r="C355" s="631" t="s">
        <v>7581</v>
      </c>
      <c r="D355" s="702" t="s">
        <v>7850</v>
      </c>
      <c r="E355" s="703" t="s">
        <v>8759</v>
      </c>
      <c r="F355" s="703">
        <v>360</v>
      </c>
      <c r="G355" s="704" t="s">
        <v>8760</v>
      </c>
      <c r="H355" s="705" t="s">
        <v>8761</v>
      </c>
      <c r="I355" s="613" t="s">
        <v>6086</v>
      </c>
      <c r="J355" s="637"/>
      <c r="K355" s="611"/>
      <c r="L355" s="110"/>
      <c r="M355" s="110"/>
    </row>
    <row r="356" spans="1:13" ht="30">
      <c r="A356" s="689">
        <v>344</v>
      </c>
      <c r="B356" s="631" t="s">
        <v>8762</v>
      </c>
      <c r="C356" s="631" t="s">
        <v>7581</v>
      </c>
      <c r="D356" s="702" t="s">
        <v>7850</v>
      </c>
      <c r="E356" s="703" t="s">
        <v>8763</v>
      </c>
      <c r="F356" s="703">
        <v>360</v>
      </c>
      <c r="G356" s="704" t="s">
        <v>8764</v>
      </c>
      <c r="H356" s="705" t="s">
        <v>8765</v>
      </c>
      <c r="I356" s="613" t="s">
        <v>8766</v>
      </c>
      <c r="J356" s="637"/>
      <c r="K356" s="611"/>
      <c r="L356" s="110"/>
      <c r="M356" s="110"/>
    </row>
    <row r="357" spans="1:13" ht="30">
      <c r="A357" s="689">
        <v>345</v>
      </c>
      <c r="B357" s="631" t="s">
        <v>8767</v>
      </c>
      <c r="C357" s="631" t="s">
        <v>7581</v>
      </c>
      <c r="D357" s="702" t="s">
        <v>7850</v>
      </c>
      <c r="E357" s="703" t="s">
        <v>8768</v>
      </c>
      <c r="F357" s="703">
        <v>360</v>
      </c>
      <c r="G357" s="704" t="s">
        <v>8769</v>
      </c>
      <c r="H357" s="705" t="s">
        <v>8770</v>
      </c>
      <c r="I357" s="613" t="s">
        <v>8771</v>
      </c>
      <c r="J357" s="637"/>
      <c r="K357" s="611"/>
      <c r="L357" s="110"/>
      <c r="M357" s="110"/>
    </row>
    <row r="358" spans="1:13" ht="30">
      <c r="A358" s="689">
        <v>346</v>
      </c>
      <c r="B358" s="631" t="s">
        <v>8772</v>
      </c>
      <c r="C358" s="631" t="s">
        <v>7581</v>
      </c>
      <c r="D358" s="702" t="s">
        <v>7850</v>
      </c>
      <c r="E358" s="703">
        <v>24.5</v>
      </c>
      <c r="F358" s="703">
        <v>360</v>
      </c>
      <c r="G358" s="704" t="s">
        <v>8773</v>
      </c>
      <c r="H358" s="705" t="s">
        <v>8774</v>
      </c>
      <c r="I358" s="613" t="s">
        <v>8775</v>
      </c>
      <c r="J358" s="637"/>
      <c r="K358" s="611"/>
      <c r="L358" s="110"/>
      <c r="M358" s="110"/>
    </row>
    <row r="359" spans="1:13" ht="30">
      <c r="A359" s="689">
        <v>347</v>
      </c>
      <c r="B359" s="631" t="s">
        <v>8776</v>
      </c>
      <c r="C359" s="631" t="s">
        <v>7581</v>
      </c>
      <c r="D359" s="702" t="s">
        <v>7591</v>
      </c>
      <c r="E359" s="703" t="s">
        <v>8777</v>
      </c>
      <c r="F359" s="703">
        <v>400</v>
      </c>
      <c r="G359" s="704" t="s">
        <v>8778</v>
      </c>
      <c r="H359" s="705" t="s">
        <v>8779</v>
      </c>
      <c r="I359" s="613" t="s">
        <v>8780</v>
      </c>
      <c r="J359" s="637"/>
      <c r="K359" s="611"/>
      <c r="L359" s="110"/>
      <c r="M359" s="110"/>
    </row>
    <row r="360" spans="1:13" ht="30">
      <c r="A360" s="689">
        <v>348</v>
      </c>
      <c r="B360" s="631" t="s">
        <v>8781</v>
      </c>
      <c r="C360" s="631" t="s">
        <v>7581</v>
      </c>
      <c r="D360" s="702" t="s">
        <v>7591</v>
      </c>
      <c r="E360" s="703" t="s">
        <v>8782</v>
      </c>
      <c r="F360" s="703">
        <v>300</v>
      </c>
      <c r="G360" s="704" t="s">
        <v>8783</v>
      </c>
      <c r="H360" s="705" t="s">
        <v>6081</v>
      </c>
      <c r="I360" s="613" t="s">
        <v>8784</v>
      </c>
      <c r="J360" s="637"/>
      <c r="K360" s="611"/>
      <c r="L360" s="110"/>
      <c r="M360" s="110"/>
    </row>
    <row r="361" spans="1:13" ht="30">
      <c r="A361" s="689">
        <v>349</v>
      </c>
      <c r="B361" s="631" t="s">
        <v>8785</v>
      </c>
      <c r="C361" s="631" t="s">
        <v>7581</v>
      </c>
      <c r="D361" s="702" t="s">
        <v>7591</v>
      </c>
      <c r="E361" s="703" t="s">
        <v>8786</v>
      </c>
      <c r="F361" s="703">
        <v>400</v>
      </c>
      <c r="G361" s="704" t="s">
        <v>8787</v>
      </c>
      <c r="H361" s="705" t="s">
        <v>8788</v>
      </c>
      <c r="I361" s="613" t="s">
        <v>8789</v>
      </c>
      <c r="J361" s="637"/>
      <c r="K361" s="611"/>
      <c r="L361" s="110"/>
      <c r="M361" s="110"/>
    </row>
    <row r="362" spans="1:13" ht="30">
      <c r="A362" s="689">
        <v>350</v>
      </c>
      <c r="B362" s="631" t="s">
        <v>8790</v>
      </c>
      <c r="C362" s="631" t="s">
        <v>7581</v>
      </c>
      <c r="D362" s="702" t="s">
        <v>7591</v>
      </c>
      <c r="E362" s="703" t="s">
        <v>8791</v>
      </c>
      <c r="F362" s="703">
        <v>300</v>
      </c>
      <c r="G362" s="704" t="s">
        <v>8792</v>
      </c>
      <c r="H362" s="705" t="s">
        <v>8793</v>
      </c>
      <c r="I362" s="613" t="s">
        <v>8668</v>
      </c>
      <c r="J362" s="637"/>
      <c r="K362" s="611"/>
      <c r="L362" s="110"/>
      <c r="M362" s="110"/>
    </row>
    <row r="363" spans="1:13" ht="30">
      <c r="A363" s="689">
        <v>351</v>
      </c>
      <c r="B363" s="631" t="s">
        <v>8794</v>
      </c>
      <c r="C363" s="631" t="s">
        <v>7581</v>
      </c>
      <c r="D363" s="702" t="s">
        <v>7591</v>
      </c>
      <c r="E363" s="703">
        <v>24</v>
      </c>
      <c r="F363" s="703">
        <v>300</v>
      </c>
      <c r="G363" s="704" t="s">
        <v>8795</v>
      </c>
      <c r="H363" s="705" t="s">
        <v>8796</v>
      </c>
      <c r="I363" s="613" t="s">
        <v>8797</v>
      </c>
      <c r="J363" s="637"/>
      <c r="K363" s="611"/>
      <c r="L363" s="110"/>
      <c r="M363" s="110"/>
    </row>
    <row r="364" spans="1:13" ht="30">
      <c r="A364" s="689">
        <v>352</v>
      </c>
      <c r="B364" s="631" t="s">
        <v>8798</v>
      </c>
      <c r="C364" s="631" t="s">
        <v>7581</v>
      </c>
      <c r="D364" s="702" t="s">
        <v>7591</v>
      </c>
      <c r="E364" s="703" t="s">
        <v>8799</v>
      </c>
      <c r="F364" s="703">
        <v>300</v>
      </c>
      <c r="G364" s="704" t="s">
        <v>8800</v>
      </c>
      <c r="H364" s="705" t="s">
        <v>7977</v>
      </c>
      <c r="I364" s="613" t="s">
        <v>3731</v>
      </c>
      <c r="J364" s="637"/>
      <c r="K364" s="611"/>
      <c r="L364" s="110"/>
      <c r="M364" s="110"/>
    </row>
    <row r="365" spans="1:13" ht="30">
      <c r="A365" s="689">
        <v>353</v>
      </c>
      <c r="B365" s="631" t="s">
        <v>8801</v>
      </c>
      <c r="C365" s="631" t="s">
        <v>7581</v>
      </c>
      <c r="D365" s="702" t="s">
        <v>7591</v>
      </c>
      <c r="E365" s="703" t="s">
        <v>8802</v>
      </c>
      <c r="F365" s="703">
        <v>1000</v>
      </c>
      <c r="G365" s="704" t="s">
        <v>8803</v>
      </c>
      <c r="H365" s="705" t="s">
        <v>8804</v>
      </c>
      <c r="I365" s="613" t="s">
        <v>8805</v>
      </c>
      <c r="J365" s="637"/>
      <c r="K365" s="611"/>
      <c r="L365" s="110"/>
      <c r="M365" s="110"/>
    </row>
    <row r="366" spans="1:13" ht="30">
      <c r="A366" s="689">
        <v>354</v>
      </c>
      <c r="B366" s="631" t="s">
        <v>8806</v>
      </c>
      <c r="C366" s="631" t="s">
        <v>7581</v>
      </c>
      <c r="D366" s="702" t="s">
        <v>7591</v>
      </c>
      <c r="E366" s="703">
        <v>25</v>
      </c>
      <c r="F366" s="703">
        <v>315</v>
      </c>
      <c r="G366" s="704" t="s">
        <v>8807</v>
      </c>
      <c r="H366" s="705" t="s">
        <v>8808</v>
      </c>
      <c r="I366" s="613" t="s">
        <v>8345</v>
      </c>
      <c r="J366" s="637"/>
      <c r="K366" s="611"/>
      <c r="L366" s="110"/>
      <c r="M366" s="110"/>
    </row>
    <row r="367" spans="1:13" ht="30">
      <c r="A367" s="689">
        <v>355</v>
      </c>
      <c r="B367" s="631" t="s">
        <v>8809</v>
      </c>
      <c r="C367" s="631" t="s">
        <v>7581</v>
      </c>
      <c r="D367" s="702" t="s">
        <v>7591</v>
      </c>
      <c r="E367" s="703">
        <v>100</v>
      </c>
      <c r="F367" s="703">
        <v>250</v>
      </c>
      <c r="G367" s="704" t="s">
        <v>8810</v>
      </c>
      <c r="H367" s="705" t="s">
        <v>7963</v>
      </c>
      <c r="I367" s="613" t="s">
        <v>8811</v>
      </c>
      <c r="J367" s="637"/>
      <c r="K367" s="611"/>
      <c r="L367" s="110"/>
      <c r="M367" s="110"/>
    </row>
    <row r="368" spans="1:13" ht="30">
      <c r="A368" s="689">
        <v>356</v>
      </c>
      <c r="B368" s="631" t="s">
        <v>8554</v>
      </c>
      <c r="C368" s="631" t="s">
        <v>7581</v>
      </c>
      <c r="D368" s="702" t="s">
        <v>7698</v>
      </c>
      <c r="E368" s="703">
        <v>37</v>
      </c>
      <c r="F368" s="703">
        <v>250</v>
      </c>
      <c r="G368" s="704" t="s">
        <v>8812</v>
      </c>
      <c r="H368" s="705" t="s">
        <v>8813</v>
      </c>
      <c r="I368" s="613" t="s">
        <v>8814</v>
      </c>
      <c r="J368" s="637"/>
      <c r="K368" s="611"/>
      <c r="L368" s="110"/>
      <c r="M368" s="110"/>
    </row>
    <row r="369" spans="1:13" ht="45">
      <c r="A369" s="689">
        <v>357</v>
      </c>
      <c r="B369" s="631" t="s">
        <v>8815</v>
      </c>
      <c r="C369" s="631" t="s">
        <v>7581</v>
      </c>
      <c r="D369" s="702" t="s">
        <v>7850</v>
      </c>
      <c r="E369" s="703">
        <v>50</v>
      </c>
      <c r="F369" s="703">
        <v>250</v>
      </c>
      <c r="G369" s="704" t="s">
        <v>8816</v>
      </c>
      <c r="H369" s="705" t="s">
        <v>7906</v>
      </c>
      <c r="I369" s="613" t="s">
        <v>8817</v>
      </c>
      <c r="J369" s="637"/>
      <c r="K369" s="611"/>
      <c r="L369" s="110"/>
      <c r="M369" s="110"/>
    </row>
    <row r="370" spans="1:13" ht="30">
      <c r="A370" s="689">
        <v>358</v>
      </c>
      <c r="B370" s="631" t="s">
        <v>8818</v>
      </c>
      <c r="C370" s="631" t="s">
        <v>7581</v>
      </c>
      <c r="D370" s="702" t="s">
        <v>7850</v>
      </c>
      <c r="E370" s="703">
        <v>30</v>
      </c>
      <c r="F370" s="703">
        <v>250</v>
      </c>
      <c r="G370" s="704" t="s">
        <v>8819</v>
      </c>
      <c r="H370" s="705" t="s">
        <v>3945</v>
      </c>
      <c r="I370" s="613" t="s">
        <v>8820</v>
      </c>
      <c r="J370" s="637"/>
      <c r="K370" s="611"/>
      <c r="L370" s="110"/>
      <c r="M370" s="110"/>
    </row>
    <row r="371" spans="1:13" ht="30">
      <c r="A371" s="689">
        <v>359</v>
      </c>
      <c r="B371" s="631" t="s">
        <v>8821</v>
      </c>
      <c r="C371" s="631" t="s">
        <v>7581</v>
      </c>
      <c r="D371" s="702" t="s">
        <v>7850</v>
      </c>
      <c r="E371" s="703">
        <v>36</v>
      </c>
      <c r="F371" s="703">
        <v>250</v>
      </c>
      <c r="G371" s="704" t="s">
        <v>8822</v>
      </c>
      <c r="H371" s="705" t="s">
        <v>8823</v>
      </c>
      <c r="I371" s="613" t="s">
        <v>8824</v>
      </c>
      <c r="J371" s="637"/>
      <c r="K371" s="611"/>
      <c r="L371" s="110"/>
      <c r="M371" s="110"/>
    </row>
    <row r="372" spans="1:13" ht="30">
      <c r="A372" s="689">
        <v>360</v>
      </c>
      <c r="B372" s="631" t="s">
        <v>8825</v>
      </c>
      <c r="C372" s="631" t="s">
        <v>7581</v>
      </c>
      <c r="D372" s="702" t="s">
        <v>7850</v>
      </c>
      <c r="E372" s="703">
        <v>25</v>
      </c>
      <c r="F372" s="703">
        <v>250</v>
      </c>
      <c r="G372" s="704" t="s">
        <v>8826</v>
      </c>
      <c r="H372" s="705" t="s">
        <v>8043</v>
      </c>
      <c r="I372" s="613" t="s">
        <v>8827</v>
      </c>
      <c r="J372" s="637"/>
      <c r="K372" s="611"/>
      <c r="L372" s="110"/>
      <c r="M372" s="110"/>
    </row>
    <row r="373" spans="1:13" ht="30">
      <c r="A373" s="689">
        <v>361</v>
      </c>
      <c r="B373" s="631" t="s">
        <v>8828</v>
      </c>
      <c r="C373" s="631" t="s">
        <v>7581</v>
      </c>
      <c r="D373" s="702" t="s">
        <v>7591</v>
      </c>
      <c r="E373" s="703">
        <v>60</v>
      </c>
      <c r="F373" s="703" t="s">
        <v>8370</v>
      </c>
      <c r="G373" s="704" t="s">
        <v>8829</v>
      </c>
      <c r="H373" s="705" t="s">
        <v>8830</v>
      </c>
      <c r="I373" s="613" t="s">
        <v>3870</v>
      </c>
      <c r="J373" s="637"/>
      <c r="K373" s="611"/>
      <c r="L373" s="110"/>
      <c r="M373" s="110"/>
    </row>
    <row r="374" spans="1:13" ht="30">
      <c r="A374" s="689">
        <v>362</v>
      </c>
      <c r="B374" s="631" t="s">
        <v>8831</v>
      </c>
      <c r="C374" s="631" t="s">
        <v>7581</v>
      </c>
      <c r="D374" s="702" t="s">
        <v>7591</v>
      </c>
      <c r="E374" s="703">
        <v>60</v>
      </c>
      <c r="F374" s="703" t="s">
        <v>8370</v>
      </c>
      <c r="G374" s="704" t="s">
        <v>8832</v>
      </c>
      <c r="H374" s="705" t="s">
        <v>8833</v>
      </c>
      <c r="I374" s="613" t="s">
        <v>8703</v>
      </c>
      <c r="J374" s="637"/>
      <c r="K374" s="611"/>
      <c r="L374" s="110"/>
      <c r="M374" s="110"/>
    </row>
    <row r="375" spans="1:13" ht="30">
      <c r="A375" s="689">
        <v>363</v>
      </c>
      <c r="B375" s="631" t="s">
        <v>8834</v>
      </c>
      <c r="C375" s="631" t="s">
        <v>7581</v>
      </c>
      <c r="D375" s="702" t="s">
        <v>7698</v>
      </c>
      <c r="E375" s="703">
        <v>60</v>
      </c>
      <c r="F375" s="703" t="s">
        <v>8370</v>
      </c>
      <c r="G375" s="704" t="s">
        <v>8835</v>
      </c>
      <c r="H375" s="705" t="s">
        <v>8836</v>
      </c>
      <c r="I375" s="613" t="s">
        <v>8837</v>
      </c>
      <c r="J375" s="637"/>
      <c r="K375" s="611"/>
      <c r="L375" s="110"/>
      <c r="M375" s="110"/>
    </row>
    <row r="376" spans="1:13" ht="30">
      <c r="A376" s="689">
        <v>364</v>
      </c>
      <c r="B376" s="631" t="s">
        <v>8838</v>
      </c>
      <c r="C376" s="631" t="s">
        <v>7581</v>
      </c>
      <c r="D376" s="702" t="s">
        <v>7591</v>
      </c>
      <c r="E376" s="703">
        <v>60</v>
      </c>
      <c r="F376" s="703" t="s">
        <v>8370</v>
      </c>
      <c r="G376" s="704" t="s">
        <v>8839</v>
      </c>
      <c r="H376" s="705" t="s">
        <v>8840</v>
      </c>
      <c r="I376" s="613" t="s">
        <v>8841</v>
      </c>
      <c r="J376" s="637"/>
      <c r="K376" s="611"/>
      <c r="L376" s="110"/>
      <c r="M376" s="110"/>
    </row>
    <row r="377" spans="1:13" ht="30">
      <c r="A377" s="689">
        <v>365</v>
      </c>
      <c r="B377" s="631" t="s">
        <v>8842</v>
      </c>
      <c r="C377" s="631" t="s">
        <v>7581</v>
      </c>
      <c r="D377" s="702" t="s">
        <v>7600</v>
      </c>
      <c r="E377" s="703">
        <v>27</v>
      </c>
      <c r="F377" s="703" t="s">
        <v>8087</v>
      </c>
      <c r="G377" s="704" t="s">
        <v>8843</v>
      </c>
      <c r="H377" s="705" t="s">
        <v>8844</v>
      </c>
      <c r="I377" s="613" t="s">
        <v>8845</v>
      </c>
      <c r="J377" s="637"/>
      <c r="K377" s="611"/>
      <c r="L377" s="110"/>
      <c r="M377" s="110"/>
    </row>
    <row r="378" spans="1:13" ht="30">
      <c r="A378" s="689">
        <v>366</v>
      </c>
      <c r="B378" s="631" t="s">
        <v>8846</v>
      </c>
      <c r="C378" s="631" t="s">
        <v>7581</v>
      </c>
      <c r="D378" s="702" t="s">
        <v>7600</v>
      </c>
      <c r="E378" s="703">
        <v>30</v>
      </c>
      <c r="F378" s="703" t="s">
        <v>8087</v>
      </c>
      <c r="G378" s="704" t="s">
        <v>8847</v>
      </c>
      <c r="H378" s="705" t="s">
        <v>8470</v>
      </c>
      <c r="I378" s="613" t="s">
        <v>8848</v>
      </c>
      <c r="J378" s="637"/>
      <c r="K378" s="611"/>
      <c r="L378" s="110"/>
      <c r="M378" s="110"/>
    </row>
    <row r="379" spans="1:13" ht="30">
      <c r="A379" s="689">
        <v>367</v>
      </c>
      <c r="B379" s="631" t="s">
        <v>8849</v>
      </c>
      <c r="C379" s="631" t="s">
        <v>7581</v>
      </c>
      <c r="D379" s="702" t="s">
        <v>7600</v>
      </c>
      <c r="E379" s="703">
        <v>24</v>
      </c>
      <c r="F379" s="703" t="s">
        <v>8087</v>
      </c>
      <c r="G379" s="704" t="s">
        <v>8850</v>
      </c>
      <c r="H379" s="705" t="s">
        <v>8851</v>
      </c>
      <c r="I379" s="613" t="s">
        <v>8852</v>
      </c>
      <c r="J379" s="637"/>
      <c r="K379" s="611"/>
      <c r="L379" s="110"/>
      <c r="M379" s="110"/>
    </row>
    <row r="380" spans="1:13" ht="30">
      <c r="A380" s="689">
        <v>368</v>
      </c>
      <c r="B380" s="631" t="s">
        <v>8853</v>
      </c>
      <c r="C380" s="631" t="s">
        <v>7581</v>
      </c>
      <c r="D380" s="702" t="s">
        <v>7698</v>
      </c>
      <c r="E380" s="703">
        <v>45</v>
      </c>
      <c r="F380" s="703">
        <v>250</v>
      </c>
      <c r="G380" s="704" t="s">
        <v>8854</v>
      </c>
      <c r="H380" s="705" t="s">
        <v>8855</v>
      </c>
      <c r="I380" s="613" t="s">
        <v>8856</v>
      </c>
      <c r="J380" s="637"/>
      <c r="K380" s="611"/>
      <c r="L380" s="110"/>
      <c r="M380" s="110"/>
    </row>
    <row r="381" spans="1:13" ht="30">
      <c r="A381" s="689">
        <v>369</v>
      </c>
      <c r="B381" s="631" t="s">
        <v>8857</v>
      </c>
      <c r="C381" s="631" t="s">
        <v>7581</v>
      </c>
      <c r="D381" s="702" t="s">
        <v>7591</v>
      </c>
      <c r="E381" s="703">
        <v>70</v>
      </c>
      <c r="F381" s="703" t="s">
        <v>8370</v>
      </c>
      <c r="G381" s="704" t="s">
        <v>8858</v>
      </c>
      <c r="H381" s="705" t="s">
        <v>8859</v>
      </c>
      <c r="I381" s="613" t="s">
        <v>8860</v>
      </c>
      <c r="J381" s="637"/>
      <c r="K381" s="611"/>
      <c r="L381" s="110"/>
      <c r="M381" s="110"/>
    </row>
    <row r="382" spans="1:13" ht="30">
      <c r="A382" s="689">
        <v>370</v>
      </c>
      <c r="B382" s="631" t="s">
        <v>8861</v>
      </c>
      <c r="C382" s="631" t="s">
        <v>7581</v>
      </c>
      <c r="D382" s="702" t="s">
        <v>7591</v>
      </c>
      <c r="E382" s="703">
        <v>60</v>
      </c>
      <c r="F382" s="703" t="s">
        <v>8370</v>
      </c>
      <c r="G382" s="704" t="s">
        <v>8862</v>
      </c>
      <c r="H382" s="705" t="s">
        <v>8836</v>
      </c>
      <c r="I382" s="613" t="s">
        <v>8837</v>
      </c>
      <c r="J382" s="637"/>
      <c r="K382" s="611"/>
      <c r="L382" s="110"/>
      <c r="M382" s="110"/>
    </row>
    <row r="383" spans="1:13" ht="30">
      <c r="A383" s="689">
        <v>371</v>
      </c>
      <c r="B383" s="631" t="s">
        <v>8863</v>
      </c>
      <c r="C383" s="631" t="s">
        <v>7581</v>
      </c>
      <c r="D383" s="702" t="s">
        <v>7591</v>
      </c>
      <c r="E383" s="703">
        <v>60</v>
      </c>
      <c r="F383" s="703" t="s">
        <v>8370</v>
      </c>
      <c r="G383" s="704" t="s">
        <v>8864</v>
      </c>
      <c r="H383" s="705" t="s">
        <v>8865</v>
      </c>
      <c r="I383" s="613" t="s">
        <v>8866</v>
      </c>
      <c r="J383" s="637"/>
      <c r="K383" s="611"/>
      <c r="L383" s="110"/>
      <c r="M383" s="110"/>
    </row>
    <row r="384" spans="1:13" ht="30">
      <c r="A384" s="689">
        <v>372</v>
      </c>
      <c r="B384" s="631" t="s">
        <v>8867</v>
      </c>
      <c r="C384" s="631" t="s">
        <v>7581</v>
      </c>
      <c r="D384" s="702" t="s">
        <v>7591</v>
      </c>
      <c r="E384" s="703">
        <v>70</v>
      </c>
      <c r="F384" s="703" t="s">
        <v>8370</v>
      </c>
      <c r="G384" s="704" t="s">
        <v>8868</v>
      </c>
      <c r="H384" s="705" t="s">
        <v>8869</v>
      </c>
      <c r="I384" s="613" t="s">
        <v>8377</v>
      </c>
      <c r="J384" s="637"/>
      <c r="K384" s="611"/>
      <c r="L384" s="110"/>
      <c r="M384" s="110"/>
    </row>
    <row r="385" spans="1:13" ht="30">
      <c r="A385" s="689">
        <v>373</v>
      </c>
      <c r="B385" s="631" t="s">
        <v>8870</v>
      </c>
      <c r="C385" s="631" t="s">
        <v>7581</v>
      </c>
      <c r="D385" s="702" t="s">
        <v>7591</v>
      </c>
      <c r="E385" s="703">
        <v>50</v>
      </c>
      <c r="F385" s="703" t="s">
        <v>8370</v>
      </c>
      <c r="G385" s="704" t="s">
        <v>8871</v>
      </c>
      <c r="H385" s="705" t="s">
        <v>8872</v>
      </c>
      <c r="I385" s="613" t="s">
        <v>8873</v>
      </c>
      <c r="J385" s="637"/>
      <c r="K385" s="611"/>
      <c r="L385" s="110"/>
      <c r="M385" s="110"/>
    </row>
    <row r="386" spans="1:13" ht="30">
      <c r="A386" s="689">
        <v>374</v>
      </c>
      <c r="B386" s="631" t="s">
        <v>8874</v>
      </c>
      <c r="C386" s="631" t="s">
        <v>7581</v>
      </c>
      <c r="D386" s="702" t="s">
        <v>7591</v>
      </c>
      <c r="E386" s="703">
        <v>45</v>
      </c>
      <c r="F386" s="703">
        <v>250</v>
      </c>
      <c r="G386" s="704" t="s">
        <v>8875</v>
      </c>
      <c r="H386" s="705" t="s">
        <v>8242</v>
      </c>
      <c r="I386" s="613" t="s">
        <v>8876</v>
      </c>
      <c r="J386" s="637"/>
      <c r="K386" s="611"/>
      <c r="L386" s="110"/>
      <c r="M386" s="110"/>
    </row>
    <row r="387" spans="1:13" ht="30">
      <c r="A387" s="689">
        <v>375</v>
      </c>
      <c r="B387" s="631" t="s">
        <v>8877</v>
      </c>
      <c r="C387" s="631" t="s">
        <v>7581</v>
      </c>
      <c r="D387" s="702" t="s">
        <v>7591</v>
      </c>
      <c r="E387" s="703">
        <v>290</v>
      </c>
      <c r="F387" s="703">
        <v>250</v>
      </c>
      <c r="G387" s="704" t="s">
        <v>8878</v>
      </c>
      <c r="H387" s="705" t="s">
        <v>8242</v>
      </c>
      <c r="I387" s="613" t="s">
        <v>8879</v>
      </c>
      <c r="J387" s="637"/>
      <c r="K387" s="611"/>
      <c r="L387" s="110"/>
      <c r="M387" s="110"/>
    </row>
    <row r="388" spans="1:13" ht="30">
      <c r="A388" s="689">
        <v>376</v>
      </c>
      <c r="B388" s="631" t="s">
        <v>8880</v>
      </c>
      <c r="C388" s="631" t="s">
        <v>7581</v>
      </c>
      <c r="D388" s="702" t="s">
        <v>7591</v>
      </c>
      <c r="E388" s="703">
        <v>256</v>
      </c>
      <c r="F388" s="703">
        <v>250</v>
      </c>
      <c r="G388" s="704" t="s">
        <v>8881</v>
      </c>
      <c r="H388" s="705" t="s">
        <v>8882</v>
      </c>
      <c r="I388" s="613" t="s">
        <v>8883</v>
      </c>
      <c r="J388" s="637"/>
      <c r="K388" s="611"/>
      <c r="L388" s="110"/>
      <c r="M388" s="110"/>
    </row>
    <row r="389" spans="1:13" ht="30">
      <c r="A389" s="689">
        <v>377</v>
      </c>
      <c r="B389" s="631" t="s">
        <v>8884</v>
      </c>
      <c r="C389" s="631" t="s">
        <v>7581</v>
      </c>
      <c r="D389" s="702" t="s">
        <v>7591</v>
      </c>
      <c r="E389" s="703">
        <v>312</v>
      </c>
      <c r="F389" s="703">
        <v>250</v>
      </c>
      <c r="G389" s="704" t="s">
        <v>8885</v>
      </c>
      <c r="H389" s="705" t="s">
        <v>7936</v>
      </c>
      <c r="I389" s="613" t="s">
        <v>8886</v>
      </c>
      <c r="J389" s="637"/>
      <c r="K389" s="611"/>
      <c r="L389" s="110"/>
      <c r="M389" s="110"/>
    </row>
    <row r="390" spans="1:13" ht="30">
      <c r="A390" s="689">
        <v>378</v>
      </c>
      <c r="B390" s="631" t="s">
        <v>8887</v>
      </c>
      <c r="C390" s="631" t="s">
        <v>7581</v>
      </c>
      <c r="D390" s="702" t="s">
        <v>7591</v>
      </c>
      <c r="E390" s="703">
        <v>60</v>
      </c>
      <c r="F390" s="703" t="s">
        <v>8370</v>
      </c>
      <c r="G390" s="704" t="s">
        <v>8888</v>
      </c>
      <c r="H390" s="705" t="s">
        <v>8089</v>
      </c>
      <c r="I390" s="613" t="s">
        <v>8889</v>
      </c>
      <c r="J390" s="637"/>
      <c r="K390" s="611"/>
      <c r="L390" s="110"/>
      <c r="M390" s="110"/>
    </row>
    <row r="391" spans="1:13" ht="30">
      <c r="A391" s="689">
        <v>379</v>
      </c>
      <c r="B391" s="631" t="s">
        <v>8890</v>
      </c>
      <c r="C391" s="631" t="s">
        <v>7581</v>
      </c>
      <c r="D391" s="702" t="s">
        <v>7850</v>
      </c>
      <c r="E391" s="703">
        <v>20</v>
      </c>
      <c r="F391" s="703">
        <v>250</v>
      </c>
      <c r="G391" s="704" t="s">
        <v>8891</v>
      </c>
      <c r="H391" s="705" t="s">
        <v>8387</v>
      </c>
      <c r="I391" s="613" t="s">
        <v>8892</v>
      </c>
      <c r="J391" s="637"/>
      <c r="K391" s="611"/>
      <c r="L391" s="110"/>
      <c r="M391" s="110"/>
    </row>
    <row r="392" spans="1:13" ht="60">
      <c r="A392" s="689">
        <v>380</v>
      </c>
      <c r="B392" s="631" t="s">
        <v>8893</v>
      </c>
      <c r="C392" s="631" t="s">
        <v>7581</v>
      </c>
      <c r="D392" s="702" t="s">
        <v>7591</v>
      </c>
      <c r="E392" s="703" t="s">
        <v>8894</v>
      </c>
      <c r="F392" s="703">
        <v>7886.3</v>
      </c>
      <c r="G392" s="704" t="s">
        <v>8895</v>
      </c>
      <c r="H392" s="705" t="s">
        <v>7977</v>
      </c>
      <c r="I392" s="613" t="s">
        <v>8896</v>
      </c>
      <c r="J392" s="637"/>
      <c r="K392" s="611"/>
      <c r="L392" s="110"/>
      <c r="M392" s="110"/>
    </row>
    <row r="393" spans="1:13" ht="30">
      <c r="A393" s="689">
        <v>381</v>
      </c>
      <c r="B393" s="631" t="s">
        <v>8897</v>
      </c>
      <c r="C393" s="631" t="s">
        <v>7581</v>
      </c>
      <c r="D393" s="702" t="s">
        <v>7850</v>
      </c>
      <c r="E393" s="703">
        <v>30</v>
      </c>
      <c r="F393" s="703">
        <v>250</v>
      </c>
      <c r="G393" s="704" t="s">
        <v>8898</v>
      </c>
      <c r="H393" s="705" t="s">
        <v>8637</v>
      </c>
      <c r="I393" s="613" t="s">
        <v>8899</v>
      </c>
      <c r="J393" s="637"/>
      <c r="K393" s="611"/>
      <c r="L393" s="110"/>
      <c r="M393" s="110"/>
    </row>
    <row r="394" spans="1:13" ht="30">
      <c r="A394" s="689">
        <v>382</v>
      </c>
      <c r="B394" s="631" t="s">
        <v>8900</v>
      </c>
      <c r="C394" s="631" t="s">
        <v>7581</v>
      </c>
      <c r="D394" s="702" t="s">
        <v>7591</v>
      </c>
      <c r="E394" s="703">
        <v>30</v>
      </c>
      <c r="F394" s="703">
        <v>250</v>
      </c>
      <c r="G394" s="704" t="s">
        <v>8901</v>
      </c>
      <c r="H394" s="705" t="s">
        <v>8104</v>
      </c>
      <c r="I394" s="613" t="s">
        <v>8902</v>
      </c>
      <c r="J394" s="637"/>
      <c r="K394" s="611"/>
      <c r="L394" s="110"/>
      <c r="M394" s="110"/>
    </row>
    <row r="395" spans="1:13" ht="30">
      <c r="A395" s="689">
        <v>383</v>
      </c>
      <c r="B395" s="631" t="s">
        <v>8903</v>
      </c>
      <c r="C395" s="631" t="s">
        <v>7581</v>
      </c>
      <c r="D395" s="702" t="s">
        <v>7850</v>
      </c>
      <c r="E395" s="703" t="s">
        <v>8904</v>
      </c>
      <c r="F395" s="703">
        <v>250</v>
      </c>
      <c r="G395" s="704" t="s">
        <v>8905</v>
      </c>
      <c r="H395" s="705" t="s">
        <v>8906</v>
      </c>
      <c r="I395" s="613" t="s">
        <v>8907</v>
      </c>
      <c r="J395" s="637"/>
      <c r="K395" s="611"/>
      <c r="L395" s="110"/>
      <c r="M395" s="110"/>
    </row>
    <row r="396" spans="1:13" ht="45">
      <c r="A396" s="689">
        <v>384</v>
      </c>
      <c r="B396" s="631" t="s">
        <v>8908</v>
      </c>
      <c r="C396" s="631" t="s">
        <v>7581</v>
      </c>
      <c r="D396" s="702" t="s">
        <v>7591</v>
      </c>
      <c r="E396" s="703">
        <v>117</v>
      </c>
      <c r="F396" s="703">
        <v>2029.5625</v>
      </c>
      <c r="G396" s="704" t="s">
        <v>8909</v>
      </c>
      <c r="H396" s="705" t="s">
        <v>7915</v>
      </c>
      <c r="I396" s="613" t="s">
        <v>8910</v>
      </c>
      <c r="J396" s="637"/>
      <c r="K396" s="611"/>
      <c r="L396" s="110"/>
      <c r="M396" s="110"/>
    </row>
    <row r="397" spans="1:13" ht="45">
      <c r="A397" s="689">
        <v>385</v>
      </c>
      <c r="B397" s="631" t="s">
        <v>8911</v>
      </c>
      <c r="C397" s="631" t="s">
        <v>7581</v>
      </c>
      <c r="D397" s="702" t="s">
        <v>7591</v>
      </c>
      <c r="E397" s="703">
        <v>70</v>
      </c>
      <c r="F397" s="703">
        <v>2500</v>
      </c>
      <c r="G397" s="704" t="s">
        <v>8912</v>
      </c>
      <c r="H397" s="705" t="s">
        <v>8913</v>
      </c>
      <c r="I397" s="613" t="s">
        <v>8914</v>
      </c>
      <c r="J397" s="637"/>
      <c r="K397" s="611"/>
      <c r="L397" s="110"/>
      <c r="M397" s="110"/>
    </row>
    <row r="398" spans="1:13" ht="30">
      <c r="A398" s="689">
        <v>386</v>
      </c>
      <c r="B398" s="631" t="s">
        <v>8915</v>
      </c>
      <c r="C398" s="631" t="s">
        <v>7581</v>
      </c>
      <c r="D398" s="702" t="s">
        <v>7591</v>
      </c>
      <c r="E398" s="703">
        <v>88</v>
      </c>
      <c r="F398" s="703" t="s">
        <v>8916</v>
      </c>
      <c r="G398" s="704" t="s">
        <v>8917</v>
      </c>
      <c r="H398" s="705" t="s">
        <v>8836</v>
      </c>
      <c r="I398" s="613" t="s">
        <v>8918</v>
      </c>
      <c r="J398" s="637"/>
      <c r="K398" s="611"/>
      <c r="L398" s="110"/>
      <c r="M398" s="110"/>
    </row>
    <row r="399" spans="1:13" ht="30">
      <c r="A399" s="689">
        <v>387</v>
      </c>
      <c r="B399" s="631" t="s">
        <v>8919</v>
      </c>
      <c r="C399" s="631" t="s">
        <v>7581</v>
      </c>
      <c r="D399" s="702" t="s">
        <v>7850</v>
      </c>
      <c r="E399" s="703">
        <v>216</v>
      </c>
      <c r="F399" s="703" t="s">
        <v>8087</v>
      </c>
      <c r="G399" s="704" t="s">
        <v>8920</v>
      </c>
      <c r="H399" s="705" t="s">
        <v>8921</v>
      </c>
      <c r="I399" s="613" t="s">
        <v>8922</v>
      </c>
      <c r="J399" s="637"/>
      <c r="K399" s="611"/>
      <c r="L399" s="110"/>
      <c r="M399" s="110"/>
    </row>
    <row r="400" spans="1:13" ht="30">
      <c r="A400" s="689">
        <v>388</v>
      </c>
      <c r="B400" s="631" t="s">
        <v>8923</v>
      </c>
      <c r="C400" s="631" t="s">
        <v>7581</v>
      </c>
      <c r="D400" s="702" t="s">
        <v>7591</v>
      </c>
      <c r="E400" s="703">
        <v>45</v>
      </c>
      <c r="F400" s="703" t="s">
        <v>8370</v>
      </c>
      <c r="G400" s="704" t="s">
        <v>8924</v>
      </c>
      <c r="H400" s="705" t="s">
        <v>8123</v>
      </c>
      <c r="I400" s="613" t="s">
        <v>8925</v>
      </c>
      <c r="J400" s="637"/>
      <c r="K400" s="611"/>
      <c r="L400" s="110"/>
      <c r="M400" s="110"/>
    </row>
    <row r="401" spans="1:13" ht="30">
      <c r="A401" s="689">
        <v>389</v>
      </c>
      <c r="B401" s="631" t="s">
        <v>8926</v>
      </c>
      <c r="C401" s="631" t="s">
        <v>7581</v>
      </c>
      <c r="D401" s="702" t="s">
        <v>7591</v>
      </c>
      <c r="E401" s="703">
        <v>90</v>
      </c>
      <c r="F401" s="703" t="s">
        <v>8370</v>
      </c>
      <c r="G401" s="704" t="s">
        <v>8927</v>
      </c>
      <c r="H401" s="705" t="s">
        <v>8207</v>
      </c>
      <c r="I401" s="613" t="s">
        <v>8928</v>
      </c>
      <c r="J401" s="637"/>
      <c r="K401" s="611"/>
      <c r="L401" s="110"/>
      <c r="M401" s="110"/>
    </row>
    <row r="402" spans="1:13" ht="30">
      <c r="A402" s="689">
        <v>390</v>
      </c>
      <c r="B402" s="631" t="s">
        <v>8929</v>
      </c>
      <c r="C402" s="631" t="s">
        <v>7581</v>
      </c>
      <c r="D402" s="702" t="s">
        <v>7591</v>
      </c>
      <c r="E402" s="703" t="s">
        <v>8930</v>
      </c>
      <c r="F402" s="703">
        <v>250</v>
      </c>
      <c r="G402" s="704" t="s">
        <v>8931</v>
      </c>
      <c r="H402" s="705" t="s">
        <v>6866</v>
      </c>
      <c r="I402" s="613" t="s">
        <v>8932</v>
      </c>
      <c r="J402" s="637"/>
      <c r="K402" s="611"/>
      <c r="L402" s="110"/>
      <c r="M402" s="110"/>
    </row>
    <row r="403" spans="1:13" ht="30">
      <c r="A403" s="689">
        <v>391</v>
      </c>
      <c r="B403" s="631" t="s">
        <v>8933</v>
      </c>
      <c r="C403" s="631" t="s">
        <v>7581</v>
      </c>
      <c r="D403" s="702" t="s">
        <v>7591</v>
      </c>
      <c r="E403" s="703" t="s">
        <v>8934</v>
      </c>
      <c r="F403" s="703">
        <v>250</v>
      </c>
      <c r="G403" s="704" t="s">
        <v>8935</v>
      </c>
      <c r="H403" s="705" t="s">
        <v>8936</v>
      </c>
      <c r="I403" s="613" t="s">
        <v>8937</v>
      </c>
      <c r="J403" s="637"/>
      <c r="K403" s="611"/>
      <c r="L403" s="110"/>
      <c r="M403" s="110"/>
    </row>
    <row r="404" spans="1:13" ht="45">
      <c r="A404" s="689">
        <v>392</v>
      </c>
      <c r="B404" s="631" t="s">
        <v>8938</v>
      </c>
      <c r="C404" s="631" t="s">
        <v>7581</v>
      </c>
      <c r="D404" s="702" t="s">
        <v>7591</v>
      </c>
      <c r="E404" s="703">
        <v>40</v>
      </c>
      <c r="F404" s="703">
        <v>250</v>
      </c>
      <c r="G404" s="704" t="s">
        <v>8939</v>
      </c>
      <c r="H404" s="705" t="s">
        <v>8940</v>
      </c>
      <c r="I404" s="613" t="s">
        <v>8941</v>
      </c>
      <c r="J404" s="637"/>
      <c r="K404" s="611"/>
      <c r="L404" s="110"/>
      <c r="M404" s="110"/>
    </row>
    <row r="405" spans="1:13" ht="30">
      <c r="A405" s="689">
        <v>393</v>
      </c>
      <c r="B405" s="631" t="s">
        <v>8942</v>
      </c>
      <c r="C405" s="631" t="s">
        <v>7581</v>
      </c>
      <c r="D405" s="702" t="s">
        <v>7591</v>
      </c>
      <c r="E405" s="703">
        <v>25</v>
      </c>
      <c r="F405" s="703" t="s">
        <v>8370</v>
      </c>
      <c r="G405" s="704" t="s">
        <v>8943</v>
      </c>
      <c r="H405" s="705" t="s">
        <v>8944</v>
      </c>
      <c r="I405" s="613" t="s">
        <v>8928</v>
      </c>
      <c r="J405" s="637"/>
      <c r="K405" s="611"/>
      <c r="L405" s="110"/>
      <c r="M405" s="110"/>
    </row>
    <row r="406" spans="1:13" ht="30">
      <c r="A406" s="689">
        <v>394</v>
      </c>
      <c r="B406" s="631" t="s">
        <v>8945</v>
      </c>
      <c r="C406" s="631" t="s">
        <v>7581</v>
      </c>
      <c r="D406" s="702" t="s">
        <v>7698</v>
      </c>
      <c r="E406" s="703">
        <v>36</v>
      </c>
      <c r="F406" s="703">
        <v>200</v>
      </c>
      <c r="G406" s="704" t="s">
        <v>8946</v>
      </c>
      <c r="H406" s="705" t="s">
        <v>6707</v>
      </c>
      <c r="I406" s="613" t="s">
        <v>8947</v>
      </c>
      <c r="J406" s="637"/>
      <c r="K406" s="611"/>
      <c r="L406" s="110"/>
      <c r="M406" s="110"/>
    </row>
    <row r="407" spans="1:13" ht="30">
      <c r="A407" s="689">
        <v>395</v>
      </c>
      <c r="B407" s="631" t="s">
        <v>8948</v>
      </c>
      <c r="C407" s="631" t="s">
        <v>7581</v>
      </c>
      <c r="D407" s="702" t="s">
        <v>7591</v>
      </c>
      <c r="E407" s="703">
        <v>100</v>
      </c>
      <c r="F407" s="703">
        <v>375</v>
      </c>
      <c r="G407" s="704" t="s">
        <v>8949</v>
      </c>
      <c r="H407" s="705" t="s">
        <v>8950</v>
      </c>
      <c r="I407" s="613" t="s">
        <v>8951</v>
      </c>
      <c r="J407" s="637"/>
      <c r="K407" s="611"/>
      <c r="L407" s="110"/>
      <c r="M407" s="110"/>
    </row>
    <row r="408" spans="1:13" ht="30">
      <c r="A408" s="689">
        <v>396</v>
      </c>
      <c r="B408" s="631" t="s">
        <v>8952</v>
      </c>
      <c r="C408" s="631" t="s">
        <v>7581</v>
      </c>
      <c r="D408" s="702" t="s">
        <v>7850</v>
      </c>
      <c r="E408" s="703" t="s">
        <v>8953</v>
      </c>
      <c r="F408" s="703">
        <v>360</v>
      </c>
      <c r="G408" s="704" t="s">
        <v>8954</v>
      </c>
      <c r="H408" s="705" t="s">
        <v>7886</v>
      </c>
      <c r="I408" s="613" t="s">
        <v>8955</v>
      </c>
      <c r="J408" s="637"/>
      <c r="K408" s="611"/>
      <c r="L408" s="110"/>
      <c r="M408" s="110"/>
    </row>
    <row r="409" spans="1:13" ht="30">
      <c r="A409" s="689">
        <v>397</v>
      </c>
      <c r="B409" s="631" t="s">
        <v>8956</v>
      </c>
      <c r="C409" s="631" t="s">
        <v>7581</v>
      </c>
      <c r="D409" s="702" t="s">
        <v>7850</v>
      </c>
      <c r="E409" s="703">
        <v>23.5</v>
      </c>
      <c r="F409" s="703">
        <v>360</v>
      </c>
      <c r="G409" s="704" t="s">
        <v>8957</v>
      </c>
      <c r="H409" s="705" t="s">
        <v>8958</v>
      </c>
      <c r="I409" s="613" t="s">
        <v>8959</v>
      </c>
      <c r="J409" s="637"/>
      <c r="K409" s="611"/>
      <c r="L409" s="110"/>
      <c r="M409" s="110"/>
    </row>
    <row r="410" spans="1:13" ht="30">
      <c r="A410" s="689">
        <v>398</v>
      </c>
      <c r="B410" s="631" t="s">
        <v>8424</v>
      </c>
      <c r="C410" s="631" t="s">
        <v>7581</v>
      </c>
      <c r="D410" s="702" t="s">
        <v>7591</v>
      </c>
      <c r="E410" s="703" t="s">
        <v>8960</v>
      </c>
      <c r="F410" s="703" t="s">
        <v>8087</v>
      </c>
      <c r="G410" s="704" t="s">
        <v>8961</v>
      </c>
      <c r="H410" s="705" t="s">
        <v>7229</v>
      </c>
      <c r="I410" s="613" t="s">
        <v>8962</v>
      </c>
      <c r="J410" s="637"/>
      <c r="K410" s="611"/>
      <c r="L410" s="110"/>
      <c r="M410" s="110"/>
    </row>
    <row r="411" spans="1:13" ht="30">
      <c r="A411" s="689">
        <v>399</v>
      </c>
      <c r="B411" s="631" t="s">
        <v>8963</v>
      </c>
      <c r="C411" s="631" t="s">
        <v>7581</v>
      </c>
      <c r="D411" s="702" t="s">
        <v>7632</v>
      </c>
      <c r="E411" s="703">
        <v>140</v>
      </c>
      <c r="F411" s="703">
        <v>250</v>
      </c>
      <c r="G411" s="704" t="s">
        <v>8028</v>
      </c>
      <c r="H411" s="705" t="s">
        <v>8029</v>
      </c>
      <c r="I411" s="613" t="s">
        <v>8030</v>
      </c>
      <c r="J411" s="637"/>
      <c r="K411" s="611"/>
      <c r="L411" s="110"/>
      <c r="M411" s="110"/>
    </row>
    <row r="412" spans="1:13" ht="30">
      <c r="A412" s="689">
        <v>400</v>
      </c>
      <c r="B412" s="631" t="s">
        <v>8964</v>
      </c>
      <c r="C412" s="631" t="s">
        <v>7581</v>
      </c>
      <c r="D412" s="702" t="s">
        <v>7591</v>
      </c>
      <c r="E412" s="703" t="s">
        <v>8965</v>
      </c>
      <c r="F412" s="703">
        <v>750</v>
      </c>
      <c r="G412" s="704" t="s">
        <v>8966</v>
      </c>
      <c r="H412" s="705" t="s">
        <v>8967</v>
      </c>
      <c r="I412" s="613" t="s">
        <v>8968</v>
      </c>
      <c r="J412" s="637"/>
      <c r="K412" s="611"/>
      <c r="L412" s="110"/>
      <c r="M412" s="110"/>
    </row>
    <row r="413" spans="1:13" ht="30">
      <c r="A413" s="689">
        <v>401</v>
      </c>
      <c r="B413" s="631" t="s">
        <v>8969</v>
      </c>
      <c r="C413" s="631" t="s">
        <v>7581</v>
      </c>
      <c r="D413" s="702" t="s">
        <v>7591</v>
      </c>
      <c r="E413" s="703">
        <v>28.8</v>
      </c>
      <c r="F413" s="703">
        <v>500</v>
      </c>
      <c r="G413" s="704" t="s">
        <v>8970</v>
      </c>
      <c r="H413" s="705" t="s">
        <v>6724</v>
      </c>
      <c r="I413" s="613" t="s">
        <v>8971</v>
      </c>
      <c r="J413" s="637"/>
      <c r="K413" s="611"/>
      <c r="L413" s="110"/>
      <c r="M413" s="110"/>
    </row>
    <row r="414" spans="1:13" ht="30">
      <c r="A414" s="689">
        <v>402</v>
      </c>
      <c r="B414" s="631" t="s">
        <v>8972</v>
      </c>
      <c r="C414" s="631" t="s">
        <v>7581</v>
      </c>
      <c r="D414" s="702" t="s">
        <v>7591</v>
      </c>
      <c r="E414" s="703" t="s">
        <v>8973</v>
      </c>
      <c r="F414" s="703">
        <v>625</v>
      </c>
      <c r="G414" s="704" t="s">
        <v>8974</v>
      </c>
      <c r="H414" s="705" t="s">
        <v>8975</v>
      </c>
      <c r="I414" s="613" t="s">
        <v>8976</v>
      </c>
      <c r="J414" s="637"/>
      <c r="K414" s="611"/>
      <c r="L414" s="110"/>
      <c r="M414" s="110"/>
    </row>
    <row r="415" spans="1:13" ht="30">
      <c r="A415" s="689">
        <v>403</v>
      </c>
      <c r="B415" s="631" t="s">
        <v>8977</v>
      </c>
      <c r="C415" s="631" t="s">
        <v>7581</v>
      </c>
      <c r="D415" s="702" t="s">
        <v>7591</v>
      </c>
      <c r="E415" s="703" t="s">
        <v>8978</v>
      </c>
      <c r="F415" s="703">
        <v>625</v>
      </c>
      <c r="G415" s="704" t="s">
        <v>8979</v>
      </c>
      <c r="H415" s="705" t="s">
        <v>8980</v>
      </c>
      <c r="I415" s="613" t="s">
        <v>8981</v>
      </c>
      <c r="J415" s="637"/>
      <c r="K415" s="611"/>
      <c r="L415" s="110"/>
      <c r="M415" s="110"/>
    </row>
    <row r="416" spans="1:13" ht="30">
      <c r="A416" s="689">
        <v>404</v>
      </c>
      <c r="B416" s="631" t="s">
        <v>8982</v>
      </c>
      <c r="C416" s="631" t="s">
        <v>7581</v>
      </c>
      <c r="D416" s="702" t="s">
        <v>7591</v>
      </c>
      <c r="E416" s="703">
        <v>29</v>
      </c>
      <c r="F416" s="703">
        <v>500</v>
      </c>
      <c r="G416" s="704" t="s">
        <v>8983</v>
      </c>
      <c r="H416" s="705" t="s">
        <v>8984</v>
      </c>
      <c r="I416" s="613" t="s">
        <v>8985</v>
      </c>
      <c r="J416" s="637"/>
      <c r="K416" s="611"/>
      <c r="L416" s="110"/>
      <c r="M416" s="110"/>
    </row>
    <row r="417" spans="1:13" ht="30">
      <c r="A417" s="689">
        <v>405</v>
      </c>
      <c r="B417" s="631" t="s">
        <v>8986</v>
      </c>
      <c r="C417" s="631" t="s">
        <v>7581</v>
      </c>
      <c r="D417" s="702" t="s">
        <v>7591</v>
      </c>
      <c r="E417" s="703" t="s">
        <v>8987</v>
      </c>
      <c r="F417" s="703">
        <v>1500</v>
      </c>
      <c r="G417" s="704" t="s">
        <v>8988</v>
      </c>
      <c r="H417" s="705" t="s">
        <v>7893</v>
      </c>
      <c r="I417" s="613" t="s">
        <v>8989</v>
      </c>
      <c r="J417" s="637"/>
      <c r="K417" s="611"/>
      <c r="L417" s="110"/>
      <c r="M417" s="110"/>
    </row>
    <row r="418" spans="1:13" ht="30">
      <c r="A418" s="689">
        <v>406</v>
      </c>
      <c r="B418" s="631" t="s">
        <v>8990</v>
      </c>
      <c r="C418" s="631" t="s">
        <v>7581</v>
      </c>
      <c r="D418" s="702" t="s">
        <v>7591</v>
      </c>
      <c r="E418" s="703" t="s">
        <v>8991</v>
      </c>
      <c r="F418" s="703">
        <v>750</v>
      </c>
      <c r="G418" s="704" t="s">
        <v>8992</v>
      </c>
      <c r="H418" s="705" t="s">
        <v>8993</v>
      </c>
      <c r="I418" s="613" t="s">
        <v>8994</v>
      </c>
      <c r="J418" s="637"/>
      <c r="K418" s="611"/>
      <c r="L418" s="110"/>
      <c r="M418" s="110"/>
    </row>
    <row r="419" spans="1:13" ht="30">
      <c r="A419" s="689">
        <v>407</v>
      </c>
      <c r="B419" s="631" t="s">
        <v>8995</v>
      </c>
      <c r="C419" s="631" t="s">
        <v>7581</v>
      </c>
      <c r="D419" s="702" t="s">
        <v>7591</v>
      </c>
      <c r="E419" s="703" t="s">
        <v>8996</v>
      </c>
      <c r="F419" s="703">
        <v>1000</v>
      </c>
      <c r="G419" s="704" t="s">
        <v>8997</v>
      </c>
      <c r="H419" s="705" t="s">
        <v>3884</v>
      </c>
      <c r="I419" s="613" t="s">
        <v>8998</v>
      </c>
      <c r="J419" s="637"/>
      <c r="K419" s="611"/>
      <c r="L419" s="110"/>
      <c r="M419" s="110"/>
    </row>
    <row r="420" spans="1:13" ht="30">
      <c r="A420" s="689">
        <v>408</v>
      </c>
      <c r="B420" s="631" t="s">
        <v>8999</v>
      </c>
      <c r="C420" s="631" t="s">
        <v>7581</v>
      </c>
      <c r="D420" s="702" t="s">
        <v>7591</v>
      </c>
      <c r="E420" s="703" t="s">
        <v>9000</v>
      </c>
      <c r="F420" s="703">
        <v>625</v>
      </c>
      <c r="G420" s="704" t="s">
        <v>9001</v>
      </c>
      <c r="H420" s="705" t="s">
        <v>9002</v>
      </c>
      <c r="I420" s="613" t="s">
        <v>9003</v>
      </c>
      <c r="J420" s="637"/>
      <c r="K420" s="611"/>
      <c r="L420" s="110"/>
      <c r="M420" s="110"/>
    </row>
    <row r="421" spans="1:13" ht="30">
      <c r="A421" s="689">
        <v>409</v>
      </c>
      <c r="B421" s="631" t="s">
        <v>9004</v>
      </c>
      <c r="C421" s="631" t="s">
        <v>7581</v>
      </c>
      <c r="D421" s="702" t="s">
        <v>7591</v>
      </c>
      <c r="E421" s="703" t="s">
        <v>9005</v>
      </c>
      <c r="F421" s="703">
        <v>750</v>
      </c>
      <c r="G421" s="704" t="s">
        <v>9006</v>
      </c>
      <c r="H421" s="705" t="s">
        <v>8610</v>
      </c>
      <c r="I421" s="613" t="s">
        <v>9007</v>
      </c>
      <c r="J421" s="637"/>
      <c r="K421" s="611"/>
      <c r="L421" s="110"/>
      <c r="M421" s="110"/>
    </row>
    <row r="422" spans="1:13" ht="30">
      <c r="A422" s="689">
        <v>410</v>
      </c>
      <c r="B422" s="631" t="s">
        <v>9008</v>
      </c>
      <c r="C422" s="631" t="s">
        <v>7581</v>
      </c>
      <c r="D422" s="702" t="s">
        <v>7591</v>
      </c>
      <c r="E422" s="703">
        <v>41</v>
      </c>
      <c r="F422" s="703">
        <v>750</v>
      </c>
      <c r="G422" s="704" t="s">
        <v>9009</v>
      </c>
      <c r="H422" s="705" t="s">
        <v>8245</v>
      </c>
      <c r="I422" s="613" t="s">
        <v>9010</v>
      </c>
      <c r="J422" s="637"/>
      <c r="K422" s="611"/>
      <c r="L422" s="110"/>
      <c r="M422" s="110"/>
    </row>
    <row r="423" spans="1:13" ht="30">
      <c r="A423" s="689">
        <v>411</v>
      </c>
      <c r="B423" s="631" t="s">
        <v>9011</v>
      </c>
      <c r="C423" s="631" t="s">
        <v>7581</v>
      </c>
      <c r="D423" s="702" t="s">
        <v>7591</v>
      </c>
      <c r="E423" s="703" t="s">
        <v>9012</v>
      </c>
      <c r="F423" s="703">
        <v>625</v>
      </c>
      <c r="G423" s="704" t="s">
        <v>9013</v>
      </c>
      <c r="H423" s="705" t="s">
        <v>9014</v>
      </c>
      <c r="I423" s="613" t="s">
        <v>9015</v>
      </c>
      <c r="J423" s="637"/>
      <c r="K423" s="611"/>
      <c r="L423" s="110"/>
      <c r="M423" s="110"/>
    </row>
    <row r="424" spans="1:13" ht="30">
      <c r="A424" s="689">
        <v>412</v>
      </c>
      <c r="B424" s="631" t="s">
        <v>9016</v>
      </c>
      <c r="C424" s="631" t="s">
        <v>7581</v>
      </c>
      <c r="D424" s="702" t="s">
        <v>7591</v>
      </c>
      <c r="E424" s="703" t="s">
        <v>9017</v>
      </c>
      <c r="F424" s="703">
        <v>1000</v>
      </c>
      <c r="G424" s="704" t="s">
        <v>9018</v>
      </c>
      <c r="H424" s="705" t="s">
        <v>3856</v>
      </c>
      <c r="I424" s="613" t="s">
        <v>9019</v>
      </c>
      <c r="J424" s="637"/>
      <c r="K424" s="611"/>
      <c r="L424" s="110"/>
      <c r="M424" s="110"/>
    </row>
    <row r="425" spans="1:13" ht="45">
      <c r="A425" s="689">
        <v>413</v>
      </c>
      <c r="B425" s="631" t="s">
        <v>9020</v>
      </c>
      <c r="C425" s="631" t="s">
        <v>7581</v>
      </c>
      <c r="D425" s="702" t="s">
        <v>7591</v>
      </c>
      <c r="E425" s="703" t="s">
        <v>9021</v>
      </c>
      <c r="F425" s="703">
        <v>500</v>
      </c>
      <c r="G425" s="704" t="s">
        <v>9022</v>
      </c>
      <c r="H425" s="705" t="s">
        <v>8238</v>
      </c>
      <c r="I425" s="613" t="s">
        <v>8445</v>
      </c>
      <c r="J425" s="637"/>
      <c r="K425" s="611"/>
      <c r="L425" s="110"/>
      <c r="M425" s="110"/>
    </row>
    <row r="426" spans="1:13" ht="30">
      <c r="A426" s="689">
        <v>414</v>
      </c>
      <c r="B426" s="631" t="s">
        <v>9023</v>
      </c>
      <c r="C426" s="631" t="s">
        <v>7581</v>
      </c>
      <c r="D426" s="702" t="s">
        <v>7591</v>
      </c>
      <c r="E426" s="703" t="s">
        <v>9024</v>
      </c>
      <c r="F426" s="703">
        <v>1000</v>
      </c>
      <c r="G426" s="704" t="s">
        <v>9025</v>
      </c>
      <c r="H426" s="705" t="s">
        <v>9026</v>
      </c>
      <c r="I426" s="613" t="s">
        <v>8208</v>
      </c>
      <c r="J426" s="637"/>
      <c r="K426" s="611"/>
      <c r="L426" s="110"/>
      <c r="M426" s="110"/>
    </row>
    <row r="427" spans="1:13" ht="30">
      <c r="A427" s="689">
        <v>415</v>
      </c>
      <c r="B427" s="631" t="s">
        <v>9027</v>
      </c>
      <c r="C427" s="631" t="s">
        <v>7581</v>
      </c>
      <c r="D427" s="702" t="s">
        <v>7591</v>
      </c>
      <c r="E427" s="703" t="s">
        <v>9028</v>
      </c>
      <c r="F427" s="703">
        <v>750</v>
      </c>
      <c r="G427" s="704" t="s">
        <v>9029</v>
      </c>
      <c r="H427" s="705" t="s">
        <v>7886</v>
      </c>
      <c r="I427" s="613" t="s">
        <v>8537</v>
      </c>
      <c r="J427" s="637"/>
      <c r="K427" s="611"/>
      <c r="L427" s="110"/>
      <c r="M427" s="110"/>
    </row>
    <row r="428" spans="1:13" ht="30">
      <c r="A428" s="689">
        <v>416</v>
      </c>
      <c r="B428" s="631" t="s">
        <v>9030</v>
      </c>
      <c r="C428" s="631" t="s">
        <v>7581</v>
      </c>
      <c r="D428" s="702" t="s">
        <v>7591</v>
      </c>
      <c r="E428" s="703" t="s">
        <v>9031</v>
      </c>
      <c r="F428" s="703">
        <v>625</v>
      </c>
      <c r="G428" s="704" t="s">
        <v>9032</v>
      </c>
      <c r="H428" s="705" t="s">
        <v>9033</v>
      </c>
      <c r="I428" s="613" t="s">
        <v>9034</v>
      </c>
      <c r="J428" s="637"/>
      <c r="K428" s="611"/>
      <c r="L428" s="110"/>
      <c r="M428" s="110"/>
    </row>
    <row r="429" spans="1:13" ht="30">
      <c r="A429" s="689">
        <v>417</v>
      </c>
      <c r="B429" s="631" t="s">
        <v>9035</v>
      </c>
      <c r="C429" s="631" t="s">
        <v>7581</v>
      </c>
      <c r="D429" s="702" t="s">
        <v>7591</v>
      </c>
      <c r="E429" s="703" t="s">
        <v>9036</v>
      </c>
      <c r="F429" s="703">
        <v>625</v>
      </c>
      <c r="G429" s="704" t="s">
        <v>9037</v>
      </c>
      <c r="H429" s="705" t="s">
        <v>9033</v>
      </c>
      <c r="I429" s="613" t="s">
        <v>9038</v>
      </c>
      <c r="J429" s="637"/>
      <c r="K429" s="611"/>
      <c r="L429" s="110"/>
      <c r="M429" s="110"/>
    </row>
    <row r="430" spans="1:13" ht="30">
      <c r="A430" s="689">
        <v>418</v>
      </c>
      <c r="B430" s="631" t="s">
        <v>9039</v>
      </c>
      <c r="C430" s="631" t="s">
        <v>7581</v>
      </c>
      <c r="D430" s="702" t="s">
        <v>7591</v>
      </c>
      <c r="E430" s="703" t="s">
        <v>9040</v>
      </c>
      <c r="F430" s="703">
        <v>750</v>
      </c>
      <c r="G430" s="704" t="s">
        <v>9041</v>
      </c>
      <c r="H430" s="705" t="s">
        <v>9042</v>
      </c>
      <c r="I430" s="613" t="s">
        <v>9043</v>
      </c>
      <c r="J430" s="637"/>
      <c r="K430" s="611"/>
      <c r="L430" s="110"/>
      <c r="M430" s="110"/>
    </row>
    <row r="431" spans="1:13" ht="30">
      <c r="A431" s="689">
        <v>419</v>
      </c>
      <c r="B431" s="631" t="s">
        <v>9044</v>
      </c>
      <c r="C431" s="631" t="s">
        <v>7581</v>
      </c>
      <c r="D431" s="702" t="s">
        <v>7591</v>
      </c>
      <c r="E431" s="703" t="s">
        <v>9045</v>
      </c>
      <c r="F431" s="703">
        <v>750</v>
      </c>
      <c r="G431" s="704" t="s">
        <v>9046</v>
      </c>
      <c r="H431" s="705" t="s">
        <v>8268</v>
      </c>
      <c r="I431" s="613" t="s">
        <v>9047</v>
      </c>
      <c r="J431" s="637"/>
      <c r="K431" s="611"/>
      <c r="L431" s="110"/>
      <c r="M431" s="110"/>
    </row>
    <row r="432" spans="1:13" ht="30">
      <c r="A432" s="689">
        <v>420</v>
      </c>
      <c r="B432" s="631" t="s">
        <v>9048</v>
      </c>
      <c r="C432" s="631" t="s">
        <v>7581</v>
      </c>
      <c r="D432" s="702" t="s">
        <v>7591</v>
      </c>
      <c r="E432" s="703" t="s">
        <v>9049</v>
      </c>
      <c r="F432" s="703">
        <v>750</v>
      </c>
      <c r="G432" s="704" t="s">
        <v>9050</v>
      </c>
      <c r="H432" s="705" t="s">
        <v>8614</v>
      </c>
      <c r="I432" s="613" t="s">
        <v>9051</v>
      </c>
      <c r="J432" s="637"/>
      <c r="K432" s="611"/>
      <c r="L432" s="110"/>
      <c r="M432" s="110"/>
    </row>
    <row r="433" spans="1:13" ht="30">
      <c r="A433" s="689">
        <v>421</v>
      </c>
      <c r="B433" s="631" t="s">
        <v>9052</v>
      </c>
      <c r="C433" s="631" t="s">
        <v>7581</v>
      </c>
      <c r="D433" s="702" t="s">
        <v>7591</v>
      </c>
      <c r="E433" s="703" t="s">
        <v>9053</v>
      </c>
      <c r="F433" s="703">
        <v>1375</v>
      </c>
      <c r="G433" s="704" t="s">
        <v>9054</v>
      </c>
      <c r="H433" s="705" t="s">
        <v>8855</v>
      </c>
      <c r="I433" s="613" t="s">
        <v>9055</v>
      </c>
      <c r="J433" s="637"/>
      <c r="K433" s="611"/>
      <c r="L433" s="110"/>
      <c r="M433" s="110"/>
    </row>
    <row r="434" spans="1:13" ht="30">
      <c r="A434" s="689">
        <v>422</v>
      </c>
      <c r="B434" s="631" t="s">
        <v>9056</v>
      </c>
      <c r="C434" s="631" t="s">
        <v>7581</v>
      </c>
      <c r="D434" s="702" t="s">
        <v>7591</v>
      </c>
      <c r="E434" s="703" t="s">
        <v>9057</v>
      </c>
      <c r="F434" s="703">
        <v>625</v>
      </c>
      <c r="G434" s="704" t="s">
        <v>9058</v>
      </c>
      <c r="H434" s="705" t="s">
        <v>9059</v>
      </c>
      <c r="I434" s="613" t="s">
        <v>9060</v>
      </c>
      <c r="J434" s="637"/>
      <c r="K434" s="611"/>
      <c r="L434" s="110"/>
      <c r="M434" s="110"/>
    </row>
    <row r="435" spans="1:13" ht="30">
      <c r="A435" s="689">
        <v>423</v>
      </c>
      <c r="B435" s="631" t="s">
        <v>9061</v>
      </c>
      <c r="C435" s="631" t="s">
        <v>7581</v>
      </c>
      <c r="D435" s="702" t="s">
        <v>7591</v>
      </c>
      <c r="E435" s="703" t="s">
        <v>9062</v>
      </c>
      <c r="F435" s="703">
        <v>1250</v>
      </c>
      <c r="G435" s="704" t="s">
        <v>9063</v>
      </c>
      <c r="H435" s="705" t="s">
        <v>8572</v>
      </c>
      <c r="I435" s="613" t="s">
        <v>9064</v>
      </c>
      <c r="J435" s="637"/>
      <c r="K435" s="611"/>
      <c r="L435" s="110"/>
      <c r="M435" s="110"/>
    </row>
    <row r="436" spans="1:13" ht="45">
      <c r="A436" s="689">
        <v>424</v>
      </c>
      <c r="B436" s="631" t="s">
        <v>9065</v>
      </c>
      <c r="C436" s="631" t="s">
        <v>7581</v>
      </c>
      <c r="D436" s="702" t="s">
        <v>7591</v>
      </c>
      <c r="E436" s="703">
        <v>55</v>
      </c>
      <c r="F436" s="703">
        <v>1000</v>
      </c>
      <c r="G436" s="704" t="s">
        <v>9066</v>
      </c>
      <c r="H436" s="705" t="s">
        <v>9067</v>
      </c>
      <c r="I436" s="613" t="s">
        <v>9068</v>
      </c>
      <c r="J436" s="637"/>
      <c r="K436" s="611"/>
      <c r="L436" s="110"/>
      <c r="M436" s="110"/>
    </row>
    <row r="437" spans="1:13" ht="30">
      <c r="A437" s="689">
        <v>425</v>
      </c>
      <c r="B437" s="631" t="s">
        <v>9069</v>
      </c>
      <c r="C437" s="631" t="s">
        <v>7581</v>
      </c>
      <c r="D437" s="702" t="s">
        <v>7591</v>
      </c>
      <c r="E437" s="703">
        <v>41</v>
      </c>
      <c r="F437" s="703">
        <v>500</v>
      </c>
      <c r="G437" s="704" t="s">
        <v>9070</v>
      </c>
      <c r="H437" s="705" t="s">
        <v>7963</v>
      </c>
      <c r="I437" s="613" t="s">
        <v>9071</v>
      </c>
      <c r="J437" s="637"/>
      <c r="K437" s="611"/>
      <c r="L437" s="110"/>
      <c r="M437" s="110"/>
    </row>
    <row r="438" spans="1:13" ht="30">
      <c r="A438" s="689">
        <v>426</v>
      </c>
      <c r="B438" s="631" t="s">
        <v>9072</v>
      </c>
      <c r="C438" s="631" t="s">
        <v>7581</v>
      </c>
      <c r="D438" s="702" t="s">
        <v>7591</v>
      </c>
      <c r="E438" s="703" t="s">
        <v>9073</v>
      </c>
      <c r="F438" s="703">
        <v>1250</v>
      </c>
      <c r="G438" s="704" t="s">
        <v>9074</v>
      </c>
      <c r="H438" s="705" t="s">
        <v>9075</v>
      </c>
      <c r="I438" s="613" t="s">
        <v>9076</v>
      </c>
      <c r="J438" s="637"/>
      <c r="K438" s="611"/>
      <c r="L438" s="110"/>
      <c r="M438" s="110"/>
    </row>
    <row r="439" spans="1:13" ht="30">
      <c r="A439" s="689">
        <v>427</v>
      </c>
      <c r="B439" s="631" t="s">
        <v>9077</v>
      </c>
      <c r="C439" s="631" t="s">
        <v>7581</v>
      </c>
      <c r="D439" s="702" t="s">
        <v>7591</v>
      </c>
      <c r="E439" s="703" t="s">
        <v>9078</v>
      </c>
      <c r="F439" s="703">
        <v>1500</v>
      </c>
      <c r="G439" s="704" t="s">
        <v>9079</v>
      </c>
      <c r="H439" s="705" t="s">
        <v>9080</v>
      </c>
      <c r="I439" s="613" t="s">
        <v>9068</v>
      </c>
      <c r="J439" s="637"/>
      <c r="K439" s="611"/>
      <c r="L439" s="110"/>
      <c r="M439" s="110"/>
    </row>
    <row r="440" spans="1:13" ht="30">
      <c r="A440" s="689">
        <v>428</v>
      </c>
      <c r="B440" s="631" t="s">
        <v>9081</v>
      </c>
      <c r="C440" s="631" t="s">
        <v>7581</v>
      </c>
      <c r="D440" s="702" t="s">
        <v>9082</v>
      </c>
      <c r="E440" s="703">
        <v>96</v>
      </c>
      <c r="F440" s="703" t="s">
        <v>8087</v>
      </c>
      <c r="G440" s="704" t="s">
        <v>9083</v>
      </c>
      <c r="H440" s="705" t="s">
        <v>9014</v>
      </c>
      <c r="I440" s="613" t="s">
        <v>9084</v>
      </c>
      <c r="J440" s="637"/>
      <c r="K440" s="611"/>
      <c r="L440" s="110"/>
      <c r="M440" s="110"/>
    </row>
    <row r="441" spans="1:13" ht="30">
      <c r="A441" s="689">
        <v>429</v>
      </c>
      <c r="B441" s="631" t="s">
        <v>9085</v>
      </c>
      <c r="C441" s="631" t="s">
        <v>7581</v>
      </c>
      <c r="D441" s="702" t="s">
        <v>9082</v>
      </c>
      <c r="E441" s="703" t="s">
        <v>9086</v>
      </c>
      <c r="F441" s="703" t="s">
        <v>8087</v>
      </c>
      <c r="G441" s="704" t="s">
        <v>9087</v>
      </c>
      <c r="H441" s="705" t="s">
        <v>3730</v>
      </c>
      <c r="I441" s="613" t="s">
        <v>9088</v>
      </c>
      <c r="J441" s="637"/>
      <c r="K441" s="611"/>
      <c r="L441" s="110"/>
      <c r="M441" s="110"/>
    </row>
    <row r="442" spans="1:13" ht="30">
      <c r="A442" s="689">
        <v>430</v>
      </c>
      <c r="B442" s="631" t="s">
        <v>9089</v>
      </c>
      <c r="C442" s="631" t="s">
        <v>7581</v>
      </c>
      <c r="D442" s="702" t="s">
        <v>9082</v>
      </c>
      <c r="E442" s="703">
        <v>50</v>
      </c>
      <c r="F442" s="703">
        <v>375</v>
      </c>
      <c r="G442" s="704" t="s">
        <v>9090</v>
      </c>
      <c r="H442" s="705" t="s">
        <v>9091</v>
      </c>
      <c r="I442" s="613" t="s">
        <v>9092</v>
      </c>
      <c r="J442" s="637"/>
      <c r="K442" s="611"/>
      <c r="L442" s="110"/>
      <c r="M442" s="110"/>
    </row>
    <row r="443" spans="1:13" ht="30">
      <c r="A443" s="689">
        <v>431</v>
      </c>
      <c r="B443" s="631" t="s">
        <v>9093</v>
      </c>
      <c r="C443" s="631" t="s">
        <v>7581</v>
      </c>
      <c r="D443" s="702" t="s">
        <v>7591</v>
      </c>
      <c r="E443" s="703" t="s">
        <v>9094</v>
      </c>
      <c r="F443" s="703">
        <v>400</v>
      </c>
      <c r="G443" s="704" t="s">
        <v>9095</v>
      </c>
      <c r="H443" s="705" t="s">
        <v>9096</v>
      </c>
      <c r="I443" s="613" t="s">
        <v>9097</v>
      </c>
      <c r="J443" s="637"/>
      <c r="K443" s="611"/>
      <c r="L443" s="110"/>
      <c r="M443" s="110"/>
    </row>
    <row r="444" spans="1:13" ht="45">
      <c r="A444" s="689">
        <v>432</v>
      </c>
      <c r="B444" s="631" t="s">
        <v>9098</v>
      </c>
      <c r="C444" s="631" t="s">
        <v>7581</v>
      </c>
      <c r="D444" s="702" t="s">
        <v>7591</v>
      </c>
      <c r="E444" s="703">
        <v>175</v>
      </c>
      <c r="F444" s="703">
        <v>400</v>
      </c>
      <c r="G444" s="704" t="s">
        <v>9099</v>
      </c>
      <c r="H444" s="705" t="s">
        <v>6871</v>
      </c>
      <c r="I444" s="613" t="s">
        <v>9100</v>
      </c>
      <c r="J444" s="637"/>
      <c r="K444" s="611"/>
      <c r="L444" s="110"/>
      <c r="M444" s="110"/>
    </row>
    <row r="445" spans="1:13" ht="30">
      <c r="A445" s="689">
        <v>433</v>
      </c>
      <c r="B445" s="631" t="s">
        <v>9101</v>
      </c>
      <c r="C445" s="631" t="s">
        <v>7581</v>
      </c>
      <c r="D445" s="702" t="s">
        <v>7591</v>
      </c>
      <c r="E445" s="703" t="s">
        <v>9102</v>
      </c>
      <c r="F445" s="703">
        <v>400</v>
      </c>
      <c r="G445" s="704" t="s">
        <v>9103</v>
      </c>
      <c r="H445" s="705" t="s">
        <v>9042</v>
      </c>
      <c r="I445" s="613" t="s">
        <v>8634</v>
      </c>
      <c r="J445" s="637"/>
      <c r="K445" s="611"/>
      <c r="L445" s="110"/>
      <c r="M445" s="110"/>
    </row>
    <row r="446" spans="1:13" ht="30">
      <c r="A446" s="689">
        <v>434</v>
      </c>
      <c r="B446" s="631" t="s">
        <v>9104</v>
      </c>
      <c r="C446" s="631" t="s">
        <v>7581</v>
      </c>
      <c r="D446" s="702" t="s">
        <v>9082</v>
      </c>
      <c r="E446" s="703">
        <v>17</v>
      </c>
      <c r="F446" s="703">
        <v>250</v>
      </c>
      <c r="G446" s="704" t="s">
        <v>9105</v>
      </c>
      <c r="H446" s="705" t="s">
        <v>8076</v>
      </c>
      <c r="I446" s="613" t="s">
        <v>6086</v>
      </c>
      <c r="J446" s="637"/>
      <c r="K446" s="611"/>
      <c r="L446" s="110"/>
      <c r="M446" s="110"/>
    </row>
    <row r="447" spans="1:13" ht="30">
      <c r="A447" s="689">
        <v>435</v>
      </c>
      <c r="B447" s="631" t="s">
        <v>9106</v>
      </c>
      <c r="C447" s="631" t="s">
        <v>7581</v>
      </c>
      <c r="D447" s="702" t="s">
        <v>9082</v>
      </c>
      <c r="E447" s="703">
        <v>30</v>
      </c>
      <c r="F447" s="703">
        <v>250</v>
      </c>
      <c r="G447" s="704" t="s">
        <v>9107</v>
      </c>
      <c r="H447" s="705" t="s">
        <v>9108</v>
      </c>
      <c r="I447" s="613" t="s">
        <v>9109</v>
      </c>
      <c r="J447" s="637"/>
      <c r="K447" s="611"/>
      <c r="L447" s="110"/>
      <c r="M447" s="110"/>
    </row>
    <row r="448" spans="1:13" ht="30">
      <c r="A448" s="689">
        <v>436</v>
      </c>
      <c r="B448" s="631" t="s">
        <v>9110</v>
      </c>
      <c r="C448" s="631" t="s">
        <v>7581</v>
      </c>
      <c r="D448" s="702" t="s">
        <v>7591</v>
      </c>
      <c r="E448" s="703">
        <v>70</v>
      </c>
      <c r="F448" s="703">
        <v>375</v>
      </c>
      <c r="G448" s="704" t="s">
        <v>9111</v>
      </c>
      <c r="H448" s="705" t="s">
        <v>9112</v>
      </c>
      <c r="I448" s="613" t="s">
        <v>9113</v>
      </c>
      <c r="J448" s="637"/>
      <c r="K448" s="611"/>
      <c r="L448" s="110"/>
      <c r="M448" s="110"/>
    </row>
    <row r="449" spans="1:13" ht="30">
      <c r="A449" s="689">
        <v>437</v>
      </c>
      <c r="B449" s="631" t="s">
        <v>9114</v>
      </c>
      <c r="C449" s="631" t="s">
        <v>7581</v>
      </c>
      <c r="D449" s="702" t="s">
        <v>7591</v>
      </c>
      <c r="E449" s="703">
        <v>80</v>
      </c>
      <c r="F449" s="703" t="s">
        <v>7926</v>
      </c>
      <c r="G449" s="704" t="s">
        <v>9115</v>
      </c>
      <c r="H449" s="705" t="s">
        <v>9116</v>
      </c>
      <c r="I449" s="613" t="s">
        <v>9117</v>
      </c>
      <c r="J449" s="637"/>
      <c r="K449" s="611"/>
      <c r="L449" s="110"/>
      <c r="M449" s="110"/>
    </row>
    <row r="450" spans="1:13" ht="30">
      <c r="A450" s="689">
        <v>438</v>
      </c>
      <c r="B450" s="631" t="s">
        <v>9118</v>
      </c>
      <c r="C450" s="631" t="s">
        <v>7581</v>
      </c>
      <c r="D450" s="702" t="s">
        <v>7591</v>
      </c>
      <c r="E450" s="703">
        <v>75</v>
      </c>
      <c r="F450" s="703">
        <v>375</v>
      </c>
      <c r="G450" s="704" t="s">
        <v>9119</v>
      </c>
      <c r="H450" s="705" t="s">
        <v>8215</v>
      </c>
      <c r="I450" s="613" t="s">
        <v>9120</v>
      </c>
      <c r="J450" s="637"/>
      <c r="K450" s="611"/>
      <c r="L450" s="110"/>
      <c r="M450" s="110"/>
    </row>
    <row r="451" spans="1:13" ht="30">
      <c r="A451" s="689">
        <v>439</v>
      </c>
      <c r="B451" s="631" t="s">
        <v>9121</v>
      </c>
      <c r="C451" s="631" t="s">
        <v>7581</v>
      </c>
      <c r="D451" s="702" t="s">
        <v>7591</v>
      </c>
      <c r="E451" s="703">
        <v>55</v>
      </c>
      <c r="F451" s="703">
        <v>250</v>
      </c>
      <c r="G451" s="704" t="s">
        <v>9122</v>
      </c>
      <c r="H451" s="705" t="s">
        <v>7901</v>
      </c>
      <c r="I451" s="613" t="s">
        <v>9123</v>
      </c>
      <c r="J451" s="637"/>
      <c r="K451" s="611"/>
      <c r="L451" s="110"/>
      <c r="M451" s="110"/>
    </row>
    <row r="452" spans="1:13" ht="30">
      <c r="A452" s="689">
        <v>440</v>
      </c>
      <c r="B452" s="631" t="s">
        <v>9124</v>
      </c>
      <c r="C452" s="631" t="s">
        <v>7581</v>
      </c>
      <c r="D452" s="702" t="s">
        <v>7591</v>
      </c>
      <c r="E452" s="703">
        <v>80</v>
      </c>
      <c r="F452" s="703">
        <v>375</v>
      </c>
      <c r="G452" s="704" t="s">
        <v>9125</v>
      </c>
      <c r="H452" s="705" t="s">
        <v>7893</v>
      </c>
      <c r="I452" s="613" t="s">
        <v>8250</v>
      </c>
      <c r="J452" s="637"/>
      <c r="K452" s="611"/>
      <c r="L452" s="110"/>
      <c r="M452" s="110"/>
    </row>
    <row r="453" spans="1:13" ht="30">
      <c r="A453" s="689">
        <v>441</v>
      </c>
      <c r="B453" s="631" t="s">
        <v>9126</v>
      </c>
      <c r="C453" s="631" t="s">
        <v>7581</v>
      </c>
      <c r="D453" s="702" t="s">
        <v>7591</v>
      </c>
      <c r="E453" s="703">
        <v>60</v>
      </c>
      <c r="F453" s="703">
        <v>300</v>
      </c>
      <c r="G453" s="704" t="s">
        <v>9127</v>
      </c>
      <c r="H453" s="705" t="s">
        <v>7969</v>
      </c>
      <c r="I453" s="613" t="s">
        <v>9128</v>
      </c>
      <c r="J453" s="637"/>
      <c r="K453" s="611"/>
      <c r="L453" s="110"/>
      <c r="M453" s="110"/>
    </row>
    <row r="454" spans="1:13" ht="30">
      <c r="A454" s="689">
        <v>442</v>
      </c>
      <c r="B454" s="631" t="s">
        <v>9129</v>
      </c>
      <c r="C454" s="631" t="s">
        <v>7581</v>
      </c>
      <c r="D454" s="702" t="s">
        <v>7591</v>
      </c>
      <c r="E454" s="703" t="s">
        <v>8464</v>
      </c>
      <c r="F454" s="703">
        <v>300</v>
      </c>
      <c r="G454" s="704" t="s">
        <v>9130</v>
      </c>
      <c r="H454" s="705" t="s">
        <v>9033</v>
      </c>
      <c r="I454" s="613" t="s">
        <v>9131</v>
      </c>
      <c r="J454" s="637"/>
      <c r="K454" s="611"/>
      <c r="L454" s="110"/>
      <c r="M454" s="110"/>
    </row>
    <row r="455" spans="1:13" ht="30">
      <c r="A455" s="689">
        <v>443</v>
      </c>
      <c r="B455" s="631" t="s">
        <v>9132</v>
      </c>
      <c r="C455" s="631" t="s">
        <v>7581</v>
      </c>
      <c r="D455" s="702" t="s">
        <v>7591</v>
      </c>
      <c r="E455" s="703">
        <v>30</v>
      </c>
      <c r="F455" s="703">
        <v>300</v>
      </c>
      <c r="G455" s="704" t="s">
        <v>9133</v>
      </c>
      <c r="H455" s="705" t="s">
        <v>9134</v>
      </c>
      <c r="I455" s="613" t="s">
        <v>9135</v>
      </c>
      <c r="J455" s="637"/>
      <c r="K455" s="611"/>
      <c r="L455" s="110"/>
      <c r="M455" s="110"/>
    </row>
    <row r="456" spans="1:13" ht="30">
      <c r="A456" s="689">
        <v>444</v>
      </c>
      <c r="B456" s="631" t="s">
        <v>9136</v>
      </c>
      <c r="C456" s="631" t="s">
        <v>7581</v>
      </c>
      <c r="D456" s="702" t="s">
        <v>7591</v>
      </c>
      <c r="E456" s="703">
        <v>30</v>
      </c>
      <c r="F456" s="703">
        <v>300</v>
      </c>
      <c r="G456" s="704" t="s">
        <v>9137</v>
      </c>
      <c r="H456" s="705" t="s">
        <v>3730</v>
      </c>
      <c r="I456" s="613" t="s">
        <v>9138</v>
      </c>
      <c r="J456" s="637"/>
      <c r="K456" s="611"/>
      <c r="L456" s="110"/>
      <c r="M456" s="110"/>
    </row>
    <row r="457" spans="1:13" ht="30">
      <c r="A457" s="689">
        <v>445</v>
      </c>
      <c r="B457" s="631" t="s">
        <v>9139</v>
      </c>
      <c r="C457" s="631" t="s">
        <v>7581</v>
      </c>
      <c r="D457" s="702" t="s">
        <v>7591</v>
      </c>
      <c r="E457" s="703">
        <v>60</v>
      </c>
      <c r="F457" s="703">
        <v>300</v>
      </c>
      <c r="G457" s="704" t="s">
        <v>9140</v>
      </c>
      <c r="H457" s="705" t="s">
        <v>3730</v>
      </c>
      <c r="I457" s="613" t="s">
        <v>9141</v>
      </c>
      <c r="J457" s="637"/>
      <c r="K457" s="611"/>
      <c r="L457" s="110"/>
      <c r="M457" s="110"/>
    </row>
    <row r="458" spans="1:13" ht="30">
      <c r="A458" s="689">
        <v>446</v>
      </c>
      <c r="B458" s="631" t="s">
        <v>9142</v>
      </c>
      <c r="C458" s="631" t="s">
        <v>7581</v>
      </c>
      <c r="D458" s="702" t="s">
        <v>7591</v>
      </c>
      <c r="E458" s="703">
        <v>60</v>
      </c>
      <c r="F458" s="703">
        <v>300</v>
      </c>
      <c r="G458" s="704" t="s">
        <v>9143</v>
      </c>
      <c r="H458" s="705" t="s">
        <v>9144</v>
      </c>
      <c r="I458" s="613" t="s">
        <v>9145</v>
      </c>
      <c r="J458" s="637"/>
      <c r="K458" s="611"/>
      <c r="L458" s="110"/>
      <c r="M458" s="110"/>
    </row>
    <row r="459" spans="1:13" ht="45">
      <c r="A459" s="689">
        <v>447</v>
      </c>
      <c r="B459" s="631" t="s">
        <v>9146</v>
      </c>
      <c r="C459" s="631" t="s">
        <v>7581</v>
      </c>
      <c r="D459" s="702" t="s">
        <v>7591</v>
      </c>
      <c r="E459" s="703">
        <v>110</v>
      </c>
      <c r="F459" s="703">
        <v>625</v>
      </c>
      <c r="G459" s="704" t="s">
        <v>9147</v>
      </c>
      <c r="H459" s="705" t="s">
        <v>6724</v>
      </c>
      <c r="I459" s="613" t="s">
        <v>8360</v>
      </c>
      <c r="J459" s="637"/>
      <c r="K459" s="611"/>
      <c r="L459" s="110"/>
      <c r="M459" s="110"/>
    </row>
    <row r="460" spans="1:13" ht="30">
      <c r="A460" s="689">
        <v>448</v>
      </c>
      <c r="B460" s="631" t="s">
        <v>9148</v>
      </c>
      <c r="C460" s="631" t="s">
        <v>7581</v>
      </c>
      <c r="D460" s="702" t="s">
        <v>7600</v>
      </c>
      <c r="E460" s="703">
        <v>36</v>
      </c>
      <c r="F460" s="703">
        <v>125</v>
      </c>
      <c r="G460" s="704" t="s">
        <v>9149</v>
      </c>
      <c r="H460" s="705" t="s">
        <v>9150</v>
      </c>
      <c r="I460" s="613" t="s">
        <v>9151</v>
      </c>
      <c r="J460" s="637"/>
      <c r="K460" s="611"/>
      <c r="L460" s="110"/>
      <c r="M460" s="110"/>
    </row>
    <row r="461" spans="1:13" ht="30">
      <c r="A461" s="689">
        <v>449</v>
      </c>
      <c r="B461" s="631" t="s">
        <v>9152</v>
      </c>
      <c r="C461" s="631" t="s">
        <v>7581</v>
      </c>
      <c r="D461" s="702" t="s">
        <v>7591</v>
      </c>
      <c r="E461" s="703">
        <v>105</v>
      </c>
      <c r="F461" s="703" t="s">
        <v>7926</v>
      </c>
      <c r="G461" s="704" t="s">
        <v>9153</v>
      </c>
      <c r="H461" s="705" t="s">
        <v>8548</v>
      </c>
      <c r="I461" s="613" t="s">
        <v>9154</v>
      </c>
      <c r="J461" s="637"/>
      <c r="K461" s="611"/>
      <c r="L461" s="110"/>
      <c r="M461" s="110"/>
    </row>
    <row r="462" spans="1:13" ht="30">
      <c r="A462" s="689">
        <v>450</v>
      </c>
      <c r="B462" s="631" t="s">
        <v>9155</v>
      </c>
      <c r="C462" s="631" t="s">
        <v>7581</v>
      </c>
      <c r="D462" s="702" t="s">
        <v>7591</v>
      </c>
      <c r="E462" s="703">
        <v>75</v>
      </c>
      <c r="F462" s="703">
        <v>375</v>
      </c>
      <c r="G462" s="704" t="s">
        <v>9156</v>
      </c>
      <c r="H462" s="705" t="s">
        <v>8249</v>
      </c>
      <c r="I462" s="613" t="s">
        <v>9157</v>
      </c>
      <c r="J462" s="637"/>
      <c r="K462" s="611"/>
      <c r="L462" s="110"/>
      <c r="M462" s="110"/>
    </row>
    <row r="463" spans="1:13" ht="30">
      <c r="A463" s="689">
        <v>451</v>
      </c>
      <c r="B463" s="631" t="s">
        <v>9158</v>
      </c>
      <c r="C463" s="631" t="s">
        <v>7581</v>
      </c>
      <c r="D463" s="702" t="s">
        <v>7591</v>
      </c>
      <c r="E463" s="703">
        <v>65</v>
      </c>
      <c r="F463" s="703">
        <v>375</v>
      </c>
      <c r="G463" s="704" t="s">
        <v>9159</v>
      </c>
      <c r="H463" s="705" t="s">
        <v>6707</v>
      </c>
      <c r="I463" s="613" t="s">
        <v>5573</v>
      </c>
      <c r="J463" s="637"/>
      <c r="K463" s="611"/>
      <c r="L463" s="110"/>
      <c r="M463" s="110"/>
    </row>
    <row r="464" spans="1:13" ht="30">
      <c r="A464" s="689">
        <v>452</v>
      </c>
      <c r="B464" s="631" t="s">
        <v>9160</v>
      </c>
      <c r="C464" s="631" t="s">
        <v>7581</v>
      </c>
      <c r="D464" s="702" t="s">
        <v>7591</v>
      </c>
      <c r="E464" s="702">
        <v>30</v>
      </c>
      <c r="F464" s="703">
        <v>250</v>
      </c>
      <c r="G464" s="704" t="s">
        <v>9161</v>
      </c>
      <c r="H464" s="705" t="s">
        <v>9162</v>
      </c>
      <c r="I464" s="613" t="s">
        <v>9163</v>
      </c>
      <c r="J464" s="637"/>
      <c r="K464" s="611"/>
      <c r="L464" s="110"/>
      <c r="M464" s="110"/>
    </row>
    <row r="465" spans="1:13" ht="30">
      <c r="A465" s="689">
        <v>453</v>
      </c>
      <c r="B465" s="631" t="s">
        <v>9164</v>
      </c>
      <c r="C465" s="631" t="s">
        <v>7581</v>
      </c>
      <c r="D465" s="702" t="s">
        <v>7591</v>
      </c>
      <c r="E465" s="703">
        <v>63</v>
      </c>
      <c r="F465" s="703">
        <v>375</v>
      </c>
      <c r="G465" s="704" t="s">
        <v>9165</v>
      </c>
      <c r="H465" s="705" t="s">
        <v>3863</v>
      </c>
      <c r="I465" s="613" t="s">
        <v>6086</v>
      </c>
      <c r="J465" s="637"/>
      <c r="K465" s="611"/>
      <c r="L465" s="110"/>
      <c r="M465" s="110"/>
    </row>
    <row r="466" spans="1:13" ht="30">
      <c r="A466" s="689">
        <v>454</v>
      </c>
      <c r="B466" s="631" t="s">
        <v>9166</v>
      </c>
      <c r="C466" s="631" t="s">
        <v>7581</v>
      </c>
      <c r="D466" s="702" t="s">
        <v>7591</v>
      </c>
      <c r="E466" s="703">
        <v>30</v>
      </c>
      <c r="F466" s="703">
        <v>300</v>
      </c>
      <c r="G466" s="704" t="s">
        <v>9167</v>
      </c>
      <c r="H466" s="705" t="s">
        <v>7919</v>
      </c>
      <c r="I466" s="613" t="s">
        <v>9168</v>
      </c>
      <c r="J466" s="637"/>
      <c r="K466" s="611"/>
      <c r="L466" s="110"/>
      <c r="M466" s="110"/>
    </row>
    <row r="467" spans="1:13" ht="30">
      <c r="A467" s="689">
        <v>455</v>
      </c>
      <c r="B467" s="631" t="s">
        <v>9169</v>
      </c>
      <c r="C467" s="631" t="s">
        <v>7581</v>
      </c>
      <c r="D467" s="702" t="s">
        <v>7591</v>
      </c>
      <c r="E467" s="703">
        <v>50</v>
      </c>
      <c r="F467" s="703">
        <v>300</v>
      </c>
      <c r="G467" s="704" t="s">
        <v>9170</v>
      </c>
      <c r="H467" s="705" t="s">
        <v>9171</v>
      </c>
      <c r="I467" s="613" t="s">
        <v>9172</v>
      </c>
      <c r="J467" s="637"/>
      <c r="K467" s="611"/>
      <c r="L467" s="110"/>
      <c r="M467" s="110"/>
    </row>
    <row r="468" spans="1:13" ht="30">
      <c r="A468" s="689">
        <v>456</v>
      </c>
      <c r="B468" s="631" t="s">
        <v>9173</v>
      </c>
      <c r="C468" s="631" t="s">
        <v>7581</v>
      </c>
      <c r="D468" s="702" t="s">
        <v>7591</v>
      </c>
      <c r="E468" s="703">
        <v>60</v>
      </c>
      <c r="F468" s="703">
        <v>300</v>
      </c>
      <c r="G468" s="704" t="s">
        <v>9174</v>
      </c>
      <c r="H468" s="705" t="s">
        <v>9175</v>
      </c>
      <c r="I468" s="613" t="s">
        <v>9176</v>
      </c>
      <c r="J468" s="637"/>
      <c r="K468" s="611"/>
      <c r="L468" s="110"/>
      <c r="M468" s="110"/>
    </row>
    <row r="469" spans="1:13" ht="30">
      <c r="A469" s="689">
        <v>457</v>
      </c>
      <c r="B469" s="631" t="s">
        <v>9177</v>
      </c>
      <c r="C469" s="631" t="s">
        <v>7581</v>
      </c>
      <c r="D469" s="702" t="s">
        <v>7591</v>
      </c>
      <c r="E469" s="703">
        <v>30</v>
      </c>
      <c r="F469" s="703">
        <v>300</v>
      </c>
      <c r="G469" s="704" t="s">
        <v>9178</v>
      </c>
      <c r="H469" s="705" t="s">
        <v>7915</v>
      </c>
      <c r="I469" s="613" t="s">
        <v>9179</v>
      </c>
      <c r="J469" s="637"/>
      <c r="K469" s="611"/>
      <c r="L469" s="110"/>
      <c r="M469" s="110"/>
    </row>
    <row r="470" spans="1:13" ht="30">
      <c r="A470" s="689">
        <v>458</v>
      </c>
      <c r="B470" s="631" t="s">
        <v>9180</v>
      </c>
      <c r="C470" s="631" t="s">
        <v>7581</v>
      </c>
      <c r="D470" s="702" t="s">
        <v>7600</v>
      </c>
      <c r="E470" s="703">
        <v>52</v>
      </c>
      <c r="F470" s="703">
        <v>125</v>
      </c>
      <c r="G470" s="704" t="s">
        <v>9181</v>
      </c>
      <c r="H470" s="705" t="s">
        <v>7969</v>
      </c>
      <c r="I470" s="613" t="s">
        <v>8510</v>
      </c>
      <c r="J470" s="637"/>
      <c r="K470" s="611"/>
      <c r="L470" s="110"/>
      <c r="M470" s="110"/>
    </row>
    <row r="471" spans="1:13" ht="45">
      <c r="A471" s="689">
        <v>459</v>
      </c>
      <c r="B471" s="631" t="s">
        <v>9182</v>
      </c>
      <c r="C471" s="631" t="s">
        <v>7581</v>
      </c>
      <c r="D471" s="702" t="s">
        <v>7850</v>
      </c>
      <c r="E471" s="703">
        <v>210</v>
      </c>
      <c r="F471" s="703">
        <v>750</v>
      </c>
      <c r="G471" s="704" t="s">
        <v>9183</v>
      </c>
      <c r="H471" s="705" t="s">
        <v>8261</v>
      </c>
      <c r="I471" s="613" t="s">
        <v>9184</v>
      </c>
      <c r="J471" s="637"/>
      <c r="K471" s="611"/>
      <c r="L471" s="110"/>
      <c r="M471" s="110"/>
    </row>
    <row r="472" spans="1:13" ht="30">
      <c r="A472" s="689">
        <v>460</v>
      </c>
      <c r="B472" s="631" t="s">
        <v>9185</v>
      </c>
      <c r="C472" s="631" t="s">
        <v>7581</v>
      </c>
      <c r="D472" s="702" t="s">
        <v>9082</v>
      </c>
      <c r="E472" s="703">
        <v>78</v>
      </c>
      <c r="F472" s="703">
        <v>225</v>
      </c>
      <c r="G472" s="704" t="s">
        <v>9186</v>
      </c>
      <c r="H472" s="705" t="s">
        <v>9187</v>
      </c>
      <c r="I472" s="613" t="s">
        <v>9188</v>
      </c>
      <c r="J472" s="637"/>
      <c r="K472" s="611"/>
      <c r="L472" s="110"/>
      <c r="M472" s="110"/>
    </row>
    <row r="473" spans="1:13" ht="30">
      <c r="A473" s="689">
        <v>461</v>
      </c>
      <c r="B473" s="631" t="s">
        <v>9189</v>
      </c>
      <c r="C473" s="631" t="s">
        <v>7581</v>
      </c>
      <c r="D473" s="702" t="s">
        <v>9082</v>
      </c>
      <c r="E473" s="703" t="s">
        <v>9190</v>
      </c>
      <c r="F473" s="703">
        <v>225</v>
      </c>
      <c r="G473" s="704" t="s">
        <v>9191</v>
      </c>
      <c r="H473" s="705" t="s">
        <v>8975</v>
      </c>
      <c r="I473" s="613" t="s">
        <v>9192</v>
      </c>
      <c r="J473" s="637"/>
      <c r="K473" s="611"/>
      <c r="L473" s="110"/>
      <c r="M473" s="110"/>
    </row>
    <row r="474" spans="1:13" ht="30">
      <c r="A474" s="689">
        <v>462</v>
      </c>
      <c r="B474" s="631" t="s">
        <v>9193</v>
      </c>
      <c r="C474" s="631" t="s">
        <v>7581</v>
      </c>
      <c r="D474" s="702" t="s">
        <v>7600</v>
      </c>
      <c r="E474" s="703">
        <v>30</v>
      </c>
      <c r="F474" s="703">
        <v>125</v>
      </c>
      <c r="G474" s="704" t="s">
        <v>9194</v>
      </c>
      <c r="H474" s="705" t="s">
        <v>9195</v>
      </c>
      <c r="I474" s="613" t="s">
        <v>9196</v>
      </c>
      <c r="J474" s="637"/>
      <c r="K474" s="611"/>
      <c r="L474" s="110"/>
      <c r="M474" s="110"/>
    </row>
    <row r="475" spans="1:13" ht="30">
      <c r="A475" s="689">
        <v>463</v>
      </c>
      <c r="B475" s="631" t="s">
        <v>9197</v>
      </c>
      <c r="C475" s="631" t="s">
        <v>7581</v>
      </c>
      <c r="D475" s="702" t="s">
        <v>7600</v>
      </c>
      <c r="E475" s="703">
        <v>312</v>
      </c>
      <c r="F475" s="703">
        <v>250</v>
      </c>
      <c r="G475" s="704" t="s">
        <v>9198</v>
      </c>
      <c r="H475" s="705" t="s">
        <v>7936</v>
      </c>
      <c r="I475" s="613" t="s">
        <v>8886</v>
      </c>
      <c r="J475" s="637"/>
      <c r="K475" s="611"/>
      <c r="L475" s="110"/>
      <c r="M475" s="110"/>
    </row>
    <row r="476" spans="1:13" ht="30">
      <c r="A476" s="689">
        <v>464</v>
      </c>
      <c r="B476" s="631" t="s">
        <v>9199</v>
      </c>
      <c r="C476" s="631" t="s">
        <v>7581</v>
      </c>
      <c r="D476" s="702" t="s">
        <v>7600</v>
      </c>
      <c r="E476" s="703">
        <v>38</v>
      </c>
      <c r="F476" s="703">
        <v>250</v>
      </c>
      <c r="G476" s="704" t="s">
        <v>9200</v>
      </c>
      <c r="H476" s="705" t="s">
        <v>8330</v>
      </c>
      <c r="I476" s="613" t="s">
        <v>9201</v>
      </c>
      <c r="J476" s="637"/>
      <c r="K476" s="611"/>
      <c r="L476" s="110"/>
      <c r="M476" s="110"/>
    </row>
    <row r="477" spans="1:13" ht="30">
      <c r="A477" s="689">
        <v>465</v>
      </c>
      <c r="B477" s="631" t="s">
        <v>9202</v>
      </c>
      <c r="C477" s="631" t="s">
        <v>7581</v>
      </c>
      <c r="D477" s="702" t="s">
        <v>7591</v>
      </c>
      <c r="E477" s="703">
        <v>50</v>
      </c>
      <c r="F477" s="703">
        <v>250</v>
      </c>
      <c r="G477" s="704" t="s">
        <v>9203</v>
      </c>
      <c r="H477" s="705" t="s">
        <v>8590</v>
      </c>
      <c r="I477" s="613" t="s">
        <v>9204</v>
      </c>
      <c r="J477" s="637"/>
      <c r="K477" s="611"/>
      <c r="L477" s="110"/>
      <c r="M477" s="110"/>
    </row>
    <row r="478" spans="1:13" ht="30">
      <c r="A478" s="689">
        <v>466</v>
      </c>
      <c r="B478" s="631" t="s">
        <v>9205</v>
      </c>
      <c r="C478" s="631" t="s">
        <v>7581</v>
      </c>
      <c r="D478" s="702" t="s">
        <v>7591</v>
      </c>
      <c r="E478" s="703">
        <v>50</v>
      </c>
      <c r="F478" s="703">
        <v>250</v>
      </c>
      <c r="G478" s="704" t="s">
        <v>9206</v>
      </c>
      <c r="H478" s="705" t="s">
        <v>3852</v>
      </c>
      <c r="I478" s="613" t="s">
        <v>9207</v>
      </c>
      <c r="J478" s="637"/>
      <c r="K478" s="611"/>
      <c r="L478" s="110"/>
      <c r="M478" s="110"/>
    </row>
    <row r="479" spans="1:13" ht="30">
      <c r="A479" s="689">
        <v>467</v>
      </c>
      <c r="B479" s="631" t="s">
        <v>9208</v>
      </c>
      <c r="C479" s="631" t="s">
        <v>7581</v>
      </c>
      <c r="D479" s="702" t="s">
        <v>7591</v>
      </c>
      <c r="E479" s="703" t="s">
        <v>9209</v>
      </c>
      <c r="F479" s="703">
        <v>750</v>
      </c>
      <c r="G479" s="704" t="s">
        <v>9210</v>
      </c>
      <c r="H479" s="705" t="s">
        <v>9211</v>
      </c>
      <c r="I479" s="613" t="s">
        <v>9212</v>
      </c>
      <c r="J479" s="637"/>
      <c r="K479" s="611"/>
      <c r="L479" s="110"/>
      <c r="M479" s="110"/>
    </row>
    <row r="480" spans="1:13" ht="30">
      <c r="A480" s="689">
        <v>468</v>
      </c>
      <c r="B480" s="631" t="s">
        <v>9213</v>
      </c>
      <c r="C480" s="631" t="s">
        <v>7581</v>
      </c>
      <c r="D480" s="702" t="s">
        <v>7591</v>
      </c>
      <c r="E480" s="703" t="s">
        <v>9214</v>
      </c>
      <c r="F480" s="703">
        <v>250</v>
      </c>
      <c r="G480" s="704" t="s">
        <v>9215</v>
      </c>
      <c r="H480" s="705" t="s">
        <v>8294</v>
      </c>
      <c r="I480" s="613" t="s">
        <v>9216</v>
      </c>
      <c r="J480" s="637"/>
      <c r="K480" s="611"/>
      <c r="L480" s="110"/>
      <c r="M480" s="110"/>
    </row>
    <row r="481" spans="1:13" ht="30">
      <c r="A481" s="689">
        <v>469</v>
      </c>
      <c r="B481" s="631" t="s">
        <v>9217</v>
      </c>
      <c r="C481" s="631" t="s">
        <v>7581</v>
      </c>
      <c r="D481" s="702" t="s">
        <v>7591</v>
      </c>
      <c r="E481" s="703" t="s">
        <v>9218</v>
      </c>
      <c r="F481" s="703">
        <v>250</v>
      </c>
      <c r="G481" s="704" t="s">
        <v>9219</v>
      </c>
      <c r="H481" s="705" t="s">
        <v>9220</v>
      </c>
      <c r="I481" s="613" t="s">
        <v>9221</v>
      </c>
      <c r="J481" s="637"/>
      <c r="K481" s="611"/>
      <c r="L481" s="110"/>
      <c r="M481" s="110"/>
    </row>
    <row r="482" spans="1:13" ht="30">
      <c r="A482" s="689">
        <v>470</v>
      </c>
      <c r="B482" s="631" t="s">
        <v>9222</v>
      </c>
      <c r="C482" s="631" t="s">
        <v>7581</v>
      </c>
      <c r="D482" s="702" t="s">
        <v>7591</v>
      </c>
      <c r="E482" s="703" t="s">
        <v>9223</v>
      </c>
      <c r="F482" s="703">
        <v>300</v>
      </c>
      <c r="G482" s="704" t="s">
        <v>9224</v>
      </c>
      <c r="H482" s="705" t="s">
        <v>8099</v>
      </c>
      <c r="I482" s="613" t="s">
        <v>9225</v>
      </c>
      <c r="J482" s="637"/>
      <c r="K482" s="611"/>
      <c r="L482" s="110"/>
      <c r="M482" s="110"/>
    </row>
    <row r="483" spans="1:13" ht="30">
      <c r="A483" s="689">
        <v>471</v>
      </c>
      <c r="B483" s="631" t="s">
        <v>9226</v>
      </c>
      <c r="C483" s="631" t="s">
        <v>7581</v>
      </c>
      <c r="D483" s="702" t="s">
        <v>7591</v>
      </c>
      <c r="E483" s="703">
        <v>85</v>
      </c>
      <c r="F483" s="703">
        <v>250</v>
      </c>
      <c r="G483" s="704" t="s">
        <v>9227</v>
      </c>
      <c r="H483" s="705" t="s">
        <v>7890</v>
      </c>
      <c r="I483" s="613" t="s">
        <v>9228</v>
      </c>
      <c r="J483" s="637"/>
      <c r="K483" s="611"/>
      <c r="L483" s="110"/>
      <c r="M483" s="110"/>
    </row>
    <row r="484" spans="1:13" ht="30">
      <c r="A484" s="689">
        <v>472</v>
      </c>
      <c r="B484" s="631" t="s">
        <v>9229</v>
      </c>
      <c r="C484" s="631" t="s">
        <v>7581</v>
      </c>
      <c r="D484" s="702" t="s">
        <v>7591</v>
      </c>
      <c r="E484" s="703" t="s">
        <v>9230</v>
      </c>
      <c r="F484" s="703">
        <v>250</v>
      </c>
      <c r="G484" s="704" t="s">
        <v>9231</v>
      </c>
      <c r="H484" s="705" t="s">
        <v>7890</v>
      </c>
      <c r="I484" s="613" t="s">
        <v>9232</v>
      </c>
      <c r="J484" s="637"/>
      <c r="K484" s="611"/>
      <c r="L484" s="110"/>
      <c r="M484" s="110"/>
    </row>
    <row r="485" spans="1:13" ht="30">
      <c r="A485" s="689">
        <v>473</v>
      </c>
      <c r="B485" s="631" t="s">
        <v>9233</v>
      </c>
      <c r="C485" s="631" t="s">
        <v>7581</v>
      </c>
      <c r="D485" s="702" t="s">
        <v>7591</v>
      </c>
      <c r="E485" s="703">
        <v>30</v>
      </c>
      <c r="F485" s="703">
        <v>250</v>
      </c>
      <c r="G485" s="704" t="s">
        <v>9234</v>
      </c>
      <c r="H485" s="705" t="s">
        <v>9235</v>
      </c>
      <c r="I485" s="613" t="s">
        <v>9236</v>
      </c>
      <c r="J485" s="637"/>
      <c r="K485" s="611"/>
      <c r="L485" s="110"/>
      <c r="M485" s="110"/>
    </row>
    <row r="486" spans="1:13" ht="30">
      <c r="A486" s="689">
        <v>474</v>
      </c>
      <c r="B486" s="631" t="s">
        <v>9237</v>
      </c>
      <c r="C486" s="631" t="s">
        <v>7581</v>
      </c>
      <c r="D486" s="702" t="s">
        <v>7600</v>
      </c>
      <c r="E486" s="703">
        <v>35</v>
      </c>
      <c r="F486" s="703">
        <v>250</v>
      </c>
      <c r="G486" s="704" t="s">
        <v>9238</v>
      </c>
      <c r="H486" s="705" t="s">
        <v>7963</v>
      </c>
      <c r="I486" s="613" t="s">
        <v>9239</v>
      </c>
      <c r="J486" s="637"/>
      <c r="K486" s="611"/>
      <c r="L486" s="110"/>
      <c r="M486" s="110"/>
    </row>
    <row r="487" spans="1:13" ht="30">
      <c r="A487" s="689">
        <v>475</v>
      </c>
      <c r="B487" s="631" t="s">
        <v>9240</v>
      </c>
      <c r="C487" s="631" t="s">
        <v>7581</v>
      </c>
      <c r="D487" s="702" t="s">
        <v>7600</v>
      </c>
      <c r="E487" s="703">
        <v>34</v>
      </c>
      <c r="F487" s="703">
        <v>250</v>
      </c>
      <c r="G487" s="704" t="s">
        <v>9241</v>
      </c>
      <c r="H487" s="705" t="s">
        <v>8940</v>
      </c>
      <c r="I487" s="613" t="s">
        <v>9242</v>
      </c>
      <c r="J487" s="637"/>
      <c r="K487" s="611"/>
      <c r="L487" s="110"/>
      <c r="M487" s="110"/>
    </row>
    <row r="488" spans="1:13" ht="30">
      <c r="A488" s="689">
        <v>476</v>
      </c>
      <c r="B488" s="631" t="s">
        <v>9243</v>
      </c>
      <c r="C488" s="631" t="s">
        <v>7581</v>
      </c>
      <c r="D488" s="702" t="s">
        <v>7600</v>
      </c>
      <c r="E488" s="703">
        <v>40</v>
      </c>
      <c r="F488" s="703">
        <v>250</v>
      </c>
      <c r="G488" s="704" t="s">
        <v>9244</v>
      </c>
      <c r="H488" s="705" t="s">
        <v>9245</v>
      </c>
      <c r="I488" s="613" t="s">
        <v>9246</v>
      </c>
      <c r="J488" s="637"/>
      <c r="K488" s="611"/>
      <c r="L488" s="110"/>
      <c r="M488" s="110"/>
    </row>
    <row r="489" spans="1:13" ht="30">
      <c r="A489" s="689">
        <v>477</v>
      </c>
      <c r="B489" s="631" t="s">
        <v>9247</v>
      </c>
      <c r="C489" s="631" t="s">
        <v>7581</v>
      </c>
      <c r="D489" s="702" t="s">
        <v>7600</v>
      </c>
      <c r="E489" s="703">
        <v>40</v>
      </c>
      <c r="F489" s="703">
        <v>250</v>
      </c>
      <c r="G489" s="704" t="s">
        <v>9248</v>
      </c>
      <c r="H489" s="705" t="s">
        <v>9249</v>
      </c>
      <c r="I489" s="613" t="s">
        <v>9250</v>
      </c>
      <c r="J489" s="637"/>
      <c r="K489" s="611"/>
      <c r="L489" s="110"/>
      <c r="M489" s="110"/>
    </row>
    <row r="490" spans="1:13" ht="30">
      <c r="A490" s="689">
        <v>478</v>
      </c>
      <c r="B490" s="631" t="s">
        <v>9251</v>
      </c>
      <c r="C490" s="631" t="s">
        <v>7581</v>
      </c>
      <c r="D490" s="702" t="s">
        <v>7600</v>
      </c>
      <c r="E490" s="703">
        <v>35</v>
      </c>
      <c r="F490" s="703">
        <v>250</v>
      </c>
      <c r="G490" s="704" t="s">
        <v>9252</v>
      </c>
      <c r="H490" s="705" t="s">
        <v>8619</v>
      </c>
      <c r="I490" s="613" t="s">
        <v>9253</v>
      </c>
      <c r="J490" s="637"/>
      <c r="K490" s="611"/>
      <c r="L490" s="110"/>
      <c r="M490" s="110"/>
    </row>
    <row r="491" spans="1:13" ht="30">
      <c r="A491" s="689">
        <v>479</v>
      </c>
      <c r="B491" s="631" t="s">
        <v>9254</v>
      </c>
      <c r="C491" s="631" t="s">
        <v>7581</v>
      </c>
      <c r="D491" s="702" t="s">
        <v>7600</v>
      </c>
      <c r="E491" s="703">
        <v>45</v>
      </c>
      <c r="F491" s="703">
        <v>250</v>
      </c>
      <c r="G491" s="704" t="s">
        <v>9255</v>
      </c>
      <c r="H491" s="705" t="s">
        <v>9256</v>
      </c>
      <c r="I491" s="613" t="s">
        <v>9257</v>
      </c>
      <c r="J491" s="637"/>
      <c r="K491" s="611"/>
      <c r="L491" s="110"/>
      <c r="M491" s="110"/>
    </row>
    <row r="492" spans="1:13" ht="30">
      <c r="A492" s="689">
        <v>480</v>
      </c>
      <c r="B492" s="631" t="s">
        <v>9258</v>
      </c>
      <c r="C492" s="631" t="s">
        <v>7581</v>
      </c>
      <c r="D492" s="702" t="s">
        <v>7600</v>
      </c>
      <c r="E492" s="703">
        <v>45</v>
      </c>
      <c r="F492" s="703">
        <v>250</v>
      </c>
      <c r="G492" s="704" t="s">
        <v>9259</v>
      </c>
      <c r="H492" s="705" t="s">
        <v>9260</v>
      </c>
      <c r="I492" s="613" t="s">
        <v>9261</v>
      </c>
      <c r="J492" s="637"/>
      <c r="K492" s="611"/>
      <c r="L492" s="110"/>
      <c r="M492" s="110"/>
    </row>
    <row r="493" spans="1:13" ht="30">
      <c r="A493" s="689">
        <v>481</v>
      </c>
      <c r="B493" s="631" t="s">
        <v>9262</v>
      </c>
      <c r="C493" s="631" t="s">
        <v>7581</v>
      </c>
      <c r="D493" s="702" t="s">
        <v>7600</v>
      </c>
      <c r="E493" s="703">
        <v>37</v>
      </c>
      <c r="F493" s="703">
        <v>250</v>
      </c>
      <c r="G493" s="704" t="s">
        <v>9263</v>
      </c>
      <c r="H493" s="705" t="s">
        <v>9264</v>
      </c>
      <c r="I493" s="613" t="s">
        <v>9265</v>
      </c>
      <c r="J493" s="637"/>
      <c r="K493" s="611"/>
      <c r="L493" s="110"/>
      <c r="M493" s="110"/>
    </row>
    <row r="494" spans="1:13" ht="30">
      <c r="A494" s="689">
        <v>482</v>
      </c>
      <c r="B494" s="631" t="s">
        <v>9266</v>
      </c>
      <c r="C494" s="631" t="s">
        <v>7581</v>
      </c>
      <c r="D494" s="702" t="s">
        <v>7600</v>
      </c>
      <c r="E494" s="703">
        <v>45</v>
      </c>
      <c r="F494" s="703">
        <v>250</v>
      </c>
      <c r="G494" s="704" t="s">
        <v>9267</v>
      </c>
      <c r="H494" s="705" t="s">
        <v>8581</v>
      </c>
      <c r="I494" s="613" t="s">
        <v>9268</v>
      </c>
      <c r="J494" s="637"/>
      <c r="K494" s="611"/>
      <c r="L494" s="110"/>
      <c r="M494" s="110"/>
    </row>
    <row r="495" spans="1:13" ht="30">
      <c r="A495" s="689">
        <v>483</v>
      </c>
      <c r="B495" s="631" t="s">
        <v>9269</v>
      </c>
      <c r="C495" s="631" t="s">
        <v>7581</v>
      </c>
      <c r="D495" s="702" t="s">
        <v>7600</v>
      </c>
      <c r="E495" s="703">
        <v>41</v>
      </c>
      <c r="F495" s="703">
        <v>250</v>
      </c>
      <c r="G495" s="704" t="s">
        <v>9270</v>
      </c>
      <c r="H495" s="705" t="s">
        <v>8975</v>
      </c>
      <c r="I495" s="613" t="s">
        <v>9271</v>
      </c>
      <c r="J495" s="637"/>
      <c r="K495" s="611"/>
      <c r="L495" s="110"/>
      <c r="M495" s="110"/>
    </row>
    <row r="496" spans="1:13" ht="30">
      <c r="A496" s="689">
        <v>484</v>
      </c>
      <c r="B496" s="631" t="s">
        <v>9272</v>
      </c>
      <c r="C496" s="631" t="s">
        <v>7581</v>
      </c>
      <c r="D496" s="702" t="s">
        <v>7600</v>
      </c>
      <c r="E496" s="703">
        <v>90</v>
      </c>
      <c r="F496" s="703">
        <v>250</v>
      </c>
      <c r="G496" s="704" t="s">
        <v>9273</v>
      </c>
      <c r="H496" s="705" t="s">
        <v>3945</v>
      </c>
      <c r="I496" s="613" t="s">
        <v>9274</v>
      </c>
      <c r="J496" s="637"/>
      <c r="K496" s="611"/>
      <c r="L496" s="110"/>
      <c r="M496" s="110"/>
    </row>
    <row r="497" spans="1:13" ht="30">
      <c r="A497" s="689">
        <v>485</v>
      </c>
      <c r="B497" s="631" t="s">
        <v>9275</v>
      </c>
      <c r="C497" s="631" t="s">
        <v>7581</v>
      </c>
      <c r="D497" s="702" t="s">
        <v>7591</v>
      </c>
      <c r="E497" s="703">
        <v>40</v>
      </c>
      <c r="F497" s="703">
        <v>250</v>
      </c>
      <c r="G497" s="704" t="s">
        <v>9276</v>
      </c>
      <c r="H497" s="705" t="s">
        <v>9277</v>
      </c>
      <c r="I497" s="613" t="s">
        <v>3860</v>
      </c>
      <c r="J497" s="637"/>
      <c r="K497" s="611"/>
      <c r="L497" s="110"/>
      <c r="M497" s="110"/>
    </row>
    <row r="498" spans="1:13" ht="30">
      <c r="A498" s="689">
        <v>486</v>
      </c>
      <c r="B498" s="631" t="s">
        <v>9278</v>
      </c>
      <c r="C498" s="631" t="s">
        <v>7581</v>
      </c>
      <c r="D498" s="702" t="s">
        <v>7591</v>
      </c>
      <c r="E498" s="703">
        <v>48</v>
      </c>
      <c r="F498" s="703">
        <v>250</v>
      </c>
      <c r="G498" s="704" t="s">
        <v>9279</v>
      </c>
      <c r="H498" s="705" t="s">
        <v>7963</v>
      </c>
      <c r="I498" s="613" t="s">
        <v>8738</v>
      </c>
      <c r="J498" s="637"/>
      <c r="K498" s="611"/>
      <c r="L498" s="110"/>
      <c r="M498" s="110"/>
    </row>
    <row r="499" spans="1:13" ht="30">
      <c r="A499" s="689">
        <v>487</v>
      </c>
      <c r="B499" s="631" t="s">
        <v>9280</v>
      </c>
      <c r="C499" s="631" t="s">
        <v>7581</v>
      </c>
      <c r="D499" s="702" t="s">
        <v>7591</v>
      </c>
      <c r="E499" s="703">
        <v>80</v>
      </c>
      <c r="F499" s="703">
        <v>250</v>
      </c>
      <c r="G499" s="704" t="s">
        <v>9281</v>
      </c>
      <c r="H499" s="705" t="s">
        <v>8310</v>
      </c>
      <c r="I499" s="613" t="s">
        <v>9282</v>
      </c>
      <c r="J499" s="637"/>
      <c r="K499" s="611"/>
      <c r="L499" s="110"/>
      <c r="M499" s="110"/>
    </row>
    <row r="500" spans="1:13" ht="30">
      <c r="A500" s="689">
        <v>488</v>
      </c>
      <c r="B500" s="631" t="s">
        <v>9283</v>
      </c>
      <c r="C500" s="631" t="s">
        <v>7581</v>
      </c>
      <c r="D500" s="702" t="s">
        <v>7591</v>
      </c>
      <c r="E500" s="703" t="s">
        <v>9284</v>
      </c>
      <c r="F500" s="703">
        <v>250</v>
      </c>
      <c r="G500" s="704" t="s">
        <v>9285</v>
      </c>
      <c r="H500" s="705" t="s">
        <v>9286</v>
      </c>
      <c r="I500" s="613" t="s">
        <v>9287</v>
      </c>
      <c r="J500" s="637"/>
      <c r="K500" s="611"/>
      <c r="L500" s="110"/>
      <c r="M500" s="110"/>
    </row>
    <row r="501" spans="1:13" ht="45">
      <c r="A501" s="689">
        <v>489</v>
      </c>
      <c r="B501" s="631" t="s">
        <v>9288</v>
      </c>
      <c r="C501" s="631" t="s">
        <v>7581</v>
      </c>
      <c r="D501" s="702" t="s">
        <v>7591</v>
      </c>
      <c r="E501" s="703" t="s">
        <v>9289</v>
      </c>
      <c r="F501" s="703">
        <v>250</v>
      </c>
      <c r="G501" s="704" t="s">
        <v>9290</v>
      </c>
      <c r="H501" s="705" t="s">
        <v>8406</v>
      </c>
      <c r="I501" s="613" t="s">
        <v>9291</v>
      </c>
      <c r="J501" s="637"/>
      <c r="K501" s="611"/>
      <c r="L501" s="110"/>
      <c r="M501" s="110"/>
    </row>
    <row r="502" spans="1:13" ht="30">
      <c r="A502" s="689">
        <v>490</v>
      </c>
      <c r="B502" s="631" t="s">
        <v>9292</v>
      </c>
      <c r="C502" s="631" t="s">
        <v>7581</v>
      </c>
      <c r="D502" s="702" t="s">
        <v>7591</v>
      </c>
      <c r="E502" s="703" t="s">
        <v>9293</v>
      </c>
      <c r="F502" s="703">
        <v>250</v>
      </c>
      <c r="G502" s="704" t="s">
        <v>9294</v>
      </c>
      <c r="H502" s="705" t="s">
        <v>8619</v>
      </c>
      <c r="I502" s="613" t="s">
        <v>9295</v>
      </c>
      <c r="J502" s="637"/>
      <c r="K502" s="611"/>
      <c r="L502" s="110"/>
      <c r="M502" s="110"/>
    </row>
    <row r="503" spans="1:13" ht="30">
      <c r="A503" s="689">
        <v>491</v>
      </c>
      <c r="B503" s="631" t="s">
        <v>9296</v>
      </c>
      <c r="C503" s="631" t="s">
        <v>7581</v>
      </c>
      <c r="D503" s="702" t="s">
        <v>7591</v>
      </c>
      <c r="E503" s="703" t="s">
        <v>9218</v>
      </c>
      <c r="F503" s="703">
        <v>250</v>
      </c>
      <c r="G503" s="704" t="s">
        <v>9297</v>
      </c>
      <c r="H503" s="705" t="s">
        <v>9298</v>
      </c>
      <c r="I503" s="613" t="s">
        <v>9299</v>
      </c>
      <c r="J503" s="637"/>
      <c r="K503" s="611"/>
      <c r="L503" s="110"/>
      <c r="M503" s="110"/>
    </row>
    <row r="504" spans="1:13" ht="30">
      <c r="A504" s="689">
        <v>492</v>
      </c>
      <c r="B504" s="631" t="s">
        <v>9300</v>
      </c>
      <c r="C504" s="631" t="s">
        <v>7581</v>
      </c>
      <c r="D504" s="702" t="s">
        <v>7591</v>
      </c>
      <c r="E504" s="703" t="s">
        <v>9301</v>
      </c>
      <c r="F504" s="703">
        <v>250</v>
      </c>
      <c r="G504" s="704" t="s">
        <v>9302</v>
      </c>
      <c r="H504" s="705" t="s">
        <v>8855</v>
      </c>
      <c r="I504" s="613" t="s">
        <v>9303</v>
      </c>
      <c r="J504" s="637"/>
      <c r="K504" s="611"/>
      <c r="L504" s="110"/>
      <c r="M504" s="110"/>
    </row>
    <row r="505" spans="1:13" ht="30">
      <c r="A505" s="689">
        <v>493</v>
      </c>
      <c r="B505" s="631" t="s">
        <v>9304</v>
      </c>
      <c r="C505" s="631" t="s">
        <v>7581</v>
      </c>
      <c r="D505" s="702" t="s">
        <v>7591</v>
      </c>
      <c r="E505" s="703">
        <v>51</v>
      </c>
      <c r="F505" s="703">
        <v>250</v>
      </c>
      <c r="G505" s="704" t="s">
        <v>9305</v>
      </c>
      <c r="H505" s="705" t="s">
        <v>9306</v>
      </c>
      <c r="I505" s="613" t="s">
        <v>9307</v>
      </c>
      <c r="J505" s="637"/>
      <c r="K505" s="611"/>
      <c r="L505" s="110"/>
      <c r="M505" s="110"/>
    </row>
    <row r="506" spans="1:13" ht="30">
      <c r="A506" s="689">
        <v>494</v>
      </c>
      <c r="B506" s="631" t="s">
        <v>9308</v>
      </c>
      <c r="C506" s="631" t="s">
        <v>7581</v>
      </c>
      <c r="D506" s="702" t="s">
        <v>7591</v>
      </c>
      <c r="E506" s="703">
        <v>250</v>
      </c>
      <c r="F506" s="703">
        <v>380</v>
      </c>
      <c r="G506" s="704" t="s">
        <v>9309</v>
      </c>
      <c r="H506" s="705" t="s">
        <v>3730</v>
      </c>
      <c r="I506" s="613" t="s">
        <v>9310</v>
      </c>
      <c r="J506" s="637"/>
      <c r="K506" s="611"/>
      <c r="L506" s="110"/>
      <c r="M506" s="110"/>
    </row>
    <row r="507" spans="1:13" ht="30">
      <c r="A507" s="689">
        <v>495</v>
      </c>
      <c r="B507" s="631" t="s">
        <v>9311</v>
      </c>
      <c r="C507" s="631" t="s">
        <v>7581</v>
      </c>
      <c r="D507" s="702" t="s">
        <v>7591</v>
      </c>
      <c r="E507" s="703">
        <v>24.12</v>
      </c>
      <c r="F507" s="703">
        <v>380</v>
      </c>
      <c r="G507" s="704" t="s">
        <v>9312</v>
      </c>
      <c r="H507" s="705" t="s">
        <v>3730</v>
      </c>
      <c r="I507" s="613" t="s">
        <v>9313</v>
      </c>
      <c r="J507" s="637"/>
      <c r="K507" s="611"/>
      <c r="L507" s="110"/>
      <c r="M507" s="110"/>
    </row>
    <row r="508" spans="1:13" ht="30">
      <c r="A508" s="689">
        <v>496</v>
      </c>
      <c r="B508" s="631" t="s">
        <v>9314</v>
      </c>
      <c r="C508" s="631" t="s">
        <v>7581</v>
      </c>
      <c r="D508" s="702" t="s">
        <v>7591</v>
      </c>
      <c r="E508" s="703" t="s">
        <v>9315</v>
      </c>
      <c r="F508" s="703">
        <v>380</v>
      </c>
      <c r="G508" s="704" t="s">
        <v>9316</v>
      </c>
      <c r="H508" s="705" t="s">
        <v>8406</v>
      </c>
      <c r="I508" s="613" t="s">
        <v>8734</v>
      </c>
      <c r="J508" s="637"/>
      <c r="K508" s="611"/>
      <c r="L508" s="110"/>
      <c r="M508" s="110"/>
    </row>
    <row r="509" spans="1:13" ht="30">
      <c r="A509" s="689">
        <v>497</v>
      </c>
      <c r="B509" s="631" t="s">
        <v>9317</v>
      </c>
      <c r="C509" s="631" t="s">
        <v>7581</v>
      </c>
      <c r="D509" s="702" t="s">
        <v>7591</v>
      </c>
      <c r="E509" s="703">
        <v>353</v>
      </c>
      <c r="F509" s="703">
        <v>750</v>
      </c>
      <c r="G509" s="704" t="s">
        <v>9318</v>
      </c>
      <c r="H509" s="705" t="s">
        <v>3863</v>
      </c>
      <c r="I509" s="613" t="s">
        <v>9319</v>
      </c>
      <c r="J509" s="637"/>
      <c r="K509" s="611"/>
      <c r="L509" s="110"/>
      <c r="M509" s="110"/>
    </row>
    <row r="510" spans="1:13" ht="30">
      <c r="A510" s="689">
        <v>498</v>
      </c>
      <c r="B510" s="631" t="s">
        <v>9320</v>
      </c>
      <c r="C510" s="631" t="s">
        <v>7581</v>
      </c>
      <c r="D510" s="702" t="s">
        <v>7591</v>
      </c>
      <c r="E510" s="703" t="s">
        <v>9321</v>
      </c>
      <c r="F510" s="703" t="s">
        <v>9322</v>
      </c>
      <c r="G510" s="704" t="s">
        <v>9323</v>
      </c>
      <c r="H510" s="705" t="s">
        <v>9324</v>
      </c>
      <c r="I510" s="613" t="s">
        <v>9325</v>
      </c>
      <c r="J510" s="637"/>
      <c r="K510" s="611"/>
      <c r="L510" s="110"/>
      <c r="M510" s="110"/>
    </row>
    <row r="511" spans="1:13" ht="30">
      <c r="A511" s="689">
        <v>499</v>
      </c>
      <c r="B511" s="631" t="s">
        <v>9326</v>
      </c>
      <c r="C511" s="631" t="s">
        <v>7581</v>
      </c>
      <c r="D511" s="702" t="s">
        <v>7698</v>
      </c>
      <c r="E511" s="703" t="s">
        <v>9327</v>
      </c>
      <c r="F511" s="703">
        <v>1250</v>
      </c>
      <c r="G511" s="704" t="s">
        <v>9328</v>
      </c>
      <c r="H511" s="705" t="s">
        <v>9329</v>
      </c>
      <c r="I511" s="613" t="s">
        <v>9330</v>
      </c>
      <c r="J511" s="637"/>
      <c r="K511" s="611"/>
      <c r="L511" s="110"/>
      <c r="M511" s="110"/>
    </row>
    <row r="512" spans="1:13" ht="30">
      <c r="A512" s="689">
        <v>500</v>
      </c>
      <c r="B512" s="631" t="s">
        <v>9331</v>
      </c>
      <c r="C512" s="631" t="s">
        <v>7581</v>
      </c>
      <c r="D512" s="702" t="s">
        <v>7591</v>
      </c>
      <c r="E512" s="703">
        <v>151</v>
      </c>
      <c r="F512" s="703">
        <v>1250</v>
      </c>
      <c r="G512" s="704" t="s">
        <v>9332</v>
      </c>
      <c r="H512" s="705" t="s">
        <v>9333</v>
      </c>
      <c r="I512" s="613" t="s">
        <v>9334</v>
      </c>
      <c r="J512" s="637"/>
      <c r="K512" s="611"/>
      <c r="L512" s="110"/>
      <c r="M512" s="110"/>
    </row>
    <row r="513" spans="1:13" ht="30">
      <c r="A513" s="689">
        <v>501</v>
      </c>
      <c r="B513" s="631" t="s">
        <v>9335</v>
      </c>
      <c r="C513" s="631" t="s">
        <v>7581</v>
      </c>
      <c r="D513" s="702" t="s">
        <v>7632</v>
      </c>
      <c r="E513" s="703">
        <v>120</v>
      </c>
      <c r="F513" s="703">
        <v>875</v>
      </c>
      <c r="G513" s="704"/>
      <c r="H513" s="705"/>
      <c r="I513" s="613"/>
      <c r="J513" s="637" t="s">
        <v>9336</v>
      </c>
      <c r="K513" s="611" t="s">
        <v>9337</v>
      </c>
      <c r="L513" s="110"/>
      <c r="M513" s="110"/>
    </row>
    <row r="514" spans="1:13" ht="30">
      <c r="A514" s="689">
        <v>502</v>
      </c>
      <c r="B514" s="631" t="s">
        <v>9338</v>
      </c>
      <c r="C514" s="631" t="s">
        <v>7581</v>
      </c>
      <c r="D514" s="702" t="s">
        <v>9339</v>
      </c>
      <c r="E514" s="703">
        <v>110</v>
      </c>
      <c r="F514" s="703">
        <v>1875</v>
      </c>
      <c r="G514" s="704" t="s">
        <v>9340</v>
      </c>
      <c r="H514" s="705" t="s">
        <v>6707</v>
      </c>
      <c r="I514" s="613" t="s">
        <v>9341</v>
      </c>
      <c r="J514" s="637"/>
      <c r="K514" s="611"/>
      <c r="L514" s="110"/>
      <c r="M514" s="110"/>
    </row>
    <row r="515" spans="1:13" ht="60">
      <c r="A515" s="689">
        <v>503</v>
      </c>
      <c r="B515" s="631" t="s">
        <v>9342</v>
      </c>
      <c r="C515" s="631" t="s">
        <v>7581</v>
      </c>
      <c r="D515" s="702" t="s">
        <v>9343</v>
      </c>
      <c r="E515" s="703">
        <v>60</v>
      </c>
      <c r="F515" s="703">
        <v>1400</v>
      </c>
      <c r="G515" s="704"/>
      <c r="H515" s="705"/>
      <c r="I515" s="613"/>
      <c r="J515" s="637" t="s">
        <v>9344</v>
      </c>
      <c r="K515" s="611" t="s">
        <v>9345</v>
      </c>
      <c r="L515" s="110"/>
      <c r="M515" s="110"/>
    </row>
    <row r="516" spans="1:13" ht="30">
      <c r="A516" s="689">
        <v>504</v>
      </c>
      <c r="B516" s="631" t="s">
        <v>9346</v>
      </c>
      <c r="C516" s="631" t="s">
        <v>7581</v>
      </c>
      <c r="D516" s="702" t="s">
        <v>7698</v>
      </c>
      <c r="E516" s="703">
        <v>119.22</v>
      </c>
      <c r="F516" s="703">
        <v>1000</v>
      </c>
      <c r="G516" s="704"/>
      <c r="H516" s="705"/>
      <c r="I516" s="613"/>
      <c r="J516" s="637" t="s">
        <v>9347</v>
      </c>
      <c r="K516" s="611" t="s">
        <v>9348</v>
      </c>
      <c r="L516" s="110"/>
      <c r="M516" s="110"/>
    </row>
    <row r="517" spans="1:13" ht="30">
      <c r="A517" s="689">
        <v>505</v>
      </c>
      <c r="B517" s="631" t="s">
        <v>9349</v>
      </c>
      <c r="C517" s="631" t="s">
        <v>7581</v>
      </c>
      <c r="D517" s="702" t="s">
        <v>7600</v>
      </c>
      <c r="E517" s="703">
        <v>90</v>
      </c>
      <c r="F517" s="703">
        <v>250</v>
      </c>
      <c r="G517" s="704" t="s">
        <v>9350</v>
      </c>
      <c r="H517" s="705" t="s">
        <v>3945</v>
      </c>
      <c r="I517" s="613" t="s">
        <v>9274</v>
      </c>
      <c r="J517" s="637"/>
      <c r="K517" s="611"/>
      <c r="L517" s="110"/>
      <c r="M517" s="110"/>
    </row>
    <row r="518" spans="1:13" ht="30">
      <c r="A518" s="689">
        <v>506</v>
      </c>
      <c r="B518" s="631" t="s">
        <v>9351</v>
      </c>
      <c r="C518" s="631" t="s">
        <v>7581</v>
      </c>
      <c r="D518" s="702" t="s">
        <v>7600</v>
      </c>
      <c r="E518" s="703">
        <v>41</v>
      </c>
      <c r="F518" s="703">
        <v>250</v>
      </c>
      <c r="G518" s="704" t="s">
        <v>9352</v>
      </c>
      <c r="H518" s="705" t="s">
        <v>8975</v>
      </c>
      <c r="I518" s="613" t="s">
        <v>9271</v>
      </c>
      <c r="J518" s="637"/>
      <c r="K518" s="611"/>
      <c r="L518" s="110"/>
      <c r="M518" s="110"/>
    </row>
    <row r="519" spans="1:13" ht="30">
      <c r="A519" s="689">
        <v>507</v>
      </c>
      <c r="B519" s="631" t="s">
        <v>9353</v>
      </c>
      <c r="C519" s="631" t="s">
        <v>7581</v>
      </c>
      <c r="D519" s="702" t="s">
        <v>7591</v>
      </c>
      <c r="E519" s="703">
        <v>50</v>
      </c>
      <c r="F519" s="703">
        <v>300</v>
      </c>
      <c r="G519" s="704" t="s">
        <v>9354</v>
      </c>
      <c r="H519" s="705" t="s">
        <v>9355</v>
      </c>
      <c r="I519" s="613" t="s">
        <v>9172</v>
      </c>
      <c r="J519" s="637"/>
      <c r="K519" s="611"/>
      <c r="L519" s="110"/>
      <c r="M519" s="110"/>
    </row>
    <row r="520" spans="1:13" ht="30">
      <c r="A520" s="689">
        <v>508</v>
      </c>
      <c r="B520" s="631" t="s">
        <v>9356</v>
      </c>
      <c r="C520" s="631" t="s">
        <v>7581</v>
      </c>
      <c r="D520" s="702" t="s">
        <v>7850</v>
      </c>
      <c r="E520" s="703">
        <v>90</v>
      </c>
      <c r="F520" s="703">
        <v>500</v>
      </c>
      <c r="G520" s="704" t="s">
        <v>9357</v>
      </c>
      <c r="H520" s="705" t="s">
        <v>3895</v>
      </c>
      <c r="I520" s="613" t="s">
        <v>9358</v>
      </c>
      <c r="J520" s="637"/>
      <c r="K520" s="611"/>
      <c r="L520" s="110"/>
      <c r="M520" s="110"/>
    </row>
    <row r="521" spans="1:13" ht="30">
      <c r="A521" s="689">
        <v>509</v>
      </c>
      <c r="B521" s="631" t="s">
        <v>9359</v>
      </c>
      <c r="C521" s="631" t="s">
        <v>7581</v>
      </c>
      <c r="D521" s="702" t="s">
        <v>7850</v>
      </c>
      <c r="E521" s="703">
        <v>73</v>
      </c>
      <c r="F521" s="703">
        <v>300</v>
      </c>
      <c r="G521" s="704" t="s">
        <v>9360</v>
      </c>
      <c r="H521" s="705" t="s">
        <v>8683</v>
      </c>
      <c r="I521" s="613" t="s">
        <v>9361</v>
      </c>
      <c r="J521" s="637"/>
      <c r="K521" s="611"/>
      <c r="L521" s="110"/>
      <c r="M521" s="110"/>
    </row>
    <row r="522" spans="1:13" ht="30">
      <c r="A522" s="689">
        <v>510</v>
      </c>
      <c r="B522" s="631" t="s">
        <v>9362</v>
      </c>
      <c r="C522" s="631" t="s">
        <v>7581</v>
      </c>
      <c r="D522" s="702" t="s">
        <v>7850</v>
      </c>
      <c r="E522" s="703">
        <v>71.98</v>
      </c>
      <c r="F522" s="703">
        <v>380</v>
      </c>
      <c r="G522" s="704"/>
      <c r="H522" s="705"/>
      <c r="I522" s="613"/>
      <c r="J522" s="637" t="s">
        <v>9363</v>
      </c>
      <c r="K522" s="611" t="s">
        <v>9364</v>
      </c>
      <c r="L522" s="110"/>
      <c r="M522" s="110"/>
    </row>
    <row r="523" spans="1:13" ht="30">
      <c r="A523" s="689">
        <v>511</v>
      </c>
      <c r="B523" s="631" t="s">
        <v>9365</v>
      </c>
      <c r="C523" s="631" t="s">
        <v>7581</v>
      </c>
      <c r="D523" s="702" t="s">
        <v>8392</v>
      </c>
      <c r="E523" s="703">
        <v>36.020000000000003</v>
      </c>
      <c r="F523" s="703">
        <v>250</v>
      </c>
      <c r="G523" s="704" t="s">
        <v>9366</v>
      </c>
      <c r="H523" s="705" t="s">
        <v>9367</v>
      </c>
      <c r="I523" s="613" t="s">
        <v>9368</v>
      </c>
      <c r="J523" s="637"/>
      <c r="K523" s="611"/>
      <c r="L523" s="110"/>
      <c r="M523" s="110"/>
    </row>
    <row r="524" spans="1:13" ht="30">
      <c r="A524" s="689">
        <v>512</v>
      </c>
      <c r="B524" s="631" t="s">
        <v>9369</v>
      </c>
      <c r="C524" s="631" t="s">
        <v>7581</v>
      </c>
      <c r="D524" s="702" t="s">
        <v>7600</v>
      </c>
      <c r="E524" s="703">
        <v>100.44</v>
      </c>
      <c r="F524" s="703">
        <v>125</v>
      </c>
      <c r="G524" s="704" t="s">
        <v>9370</v>
      </c>
      <c r="H524" s="705" t="s">
        <v>8466</v>
      </c>
      <c r="I524" s="613" t="s">
        <v>9371</v>
      </c>
      <c r="J524" s="637"/>
      <c r="K524" s="611"/>
      <c r="L524" s="110"/>
      <c r="M524" s="110"/>
    </row>
    <row r="525" spans="1:13" ht="30">
      <c r="A525" s="689">
        <v>513</v>
      </c>
      <c r="B525" s="631" t="s">
        <v>9372</v>
      </c>
      <c r="C525" s="631" t="s">
        <v>7581</v>
      </c>
      <c r="D525" s="702" t="s">
        <v>9373</v>
      </c>
      <c r="E525" s="703">
        <v>30</v>
      </c>
      <c r="F525" s="703">
        <v>250</v>
      </c>
      <c r="G525" s="704" t="s">
        <v>9374</v>
      </c>
      <c r="H525" s="705" t="s">
        <v>9375</v>
      </c>
      <c r="I525" s="613" t="s">
        <v>6183</v>
      </c>
      <c r="J525" s="637"/>
      <c r="K525" s="611"/>
      <c r="L525" s="110"/>
      <c r="M525" s="110"/>
    </row>
    <row r="526" spans="1:13" ht="30">
      <c r="A526" s="689">
        <v>514</v>
      </c>
      <c r="B526" s="631" t="s">
        <v>9376</v>
      </c>
      <c r="C526" s="631" t="s">
        <v>7581</v>
      </c>
      <c r="D526" s="702" t="s">
        <v>9373</v>
      </c>
      <c r="E526" s="703">
        <v>130</v>
      </c>
      <c r="F526" s="703">
        <v>250</v>
      </c>
      <c r="G526" s="704" t="s">
        <v>9377</v>
      </c>
      <c r="H526" s="705" t="s">
        <v>3877</v>
      </c>
      <c r="I526" s="613" t="s">
        <v>3896</v>
      </c>
      <c r="J526" s="637"/>
      <c r="K526" s="611"/>
      <c r="L526" s="110"/>
      <c r="M526" s="110"/>
    </row>
    <row r="527" spans="1:13" ht="30">
      <c r="A527" s="689">
        <v>515</v>
      </c>
      <c r="B527" s="631" t="s">
        <v>9378</v>
      </c>
      <c r="C527" s="631" t="s">
        <v>7581</v>
      </c>
      <c r="D527" s="702" t="s">
        <v>9373</v>
      </c>
      <c r="E527" s="703">
        <v>165</v>
      </c>
      <c r="F527" s="703">
        <v>250</v>
      </c>
      <c r="G527" s="704" t="s">
        <v>9379</v>
      </c>
      <c r="H527" s="705" t="s">
        <v>9380</v>
      </c>
      <c r="I527" s="613" t="s">
        <v>9381</v>
      </c>
      <c r="J527" s="637"/>
      <c r="K527" s="611"/>
      <c r="L527" s="110"/>
      <c r="M527" s="110"/>
    </row>
    <row r="528" spans="1:13" ht="30">
      <c r="A528" s="689">
        <v>516</v>
      </c>
      <c r="B528" s="631" t="s">
        <v>9382</v>
      </c>
      <c r="C528" s="631" t="s">
        <v>7581</v>
      </c>
      <c r="D528" s="702" t="s">
        <v>9373</v>
      </c>
      <c r="E528" s="703">
        <v>110</v>
      </c>
      <c r="F528" s="703">
        <v>250</v>
      </c>
      <c r="G528" s="704" t="s">
        <v>9383</v>
      </c>
      <c r="H528" s="705" t="s">
        <v>8859</v>
      </c>
      <c r="I528" s="613" t="s">
        <v>9384</v>
      </c>
      <c r="J528" s="637"/>
      <c r="K528" s="611"/>
      <c r="L528" s="110"/>
      <c r="M528" s="110"/>
    </row>
    <row r="529" spans="1:13" ht="30">
      <c r="A529" s="689">
        <v>517</v>
      </c>
      <c r="B529" s="631" t="s">
        <v>9385</v>
      </c>
      <c r="C529" s="631" t="s">
        <v>7581</v>
      </c>
      <c r="D529" s="702" t="s">
        <v>9373</v>
      </c>
      <c r="E529" s="703">
        <v>30</v>
      </c>
      <c r="F529" s="703">
        <v>250</v>
      </c>
      <c r="G529" s="704" t="s">
        <v>9386</v>
      </c>
      <c r="H529" s="705" t="s">
        <v>9387</v>
      </c>
      <c r="I529" s="613" t="s">
        <v>9388</v>
      </c>
      <c r="J529" s="637"/>
      <c r="K529" s="611"/>
      <c r="L529" s="110"/>
      <c r="M529" s="110"/>
    </row>
    <row r="530" spans="1:13" ht="30">
      <c r="A530" s="689">
        <v>518</v>
      </c>
      <c r="B530" s="631" t="s">
        <v>9389</v>
      </c>
      <c r="C530" s="631" t="s">
        <v>7581</v>
      </c>
      <c r="D530" s="702" t="s">
        <v>9373</v>
      </c>
      <c r="E530" s="703">
        <v>30</v>
      </c>
      <c r="F530" s="703">
        <v>250</v>
      </c>
      <c r="G530" s="704" t="s">
        <v>9390</v>
      </c>
      <c r="H530" s="705" t="s">
        <v>9391</v>
      </c>
      <c r="I530" s="613" t="s">
        <v>9392</v>
      </c>
      <c r="J530" s="637"/>
      <c r="K530" s="611"/>
      <c r="L530" s="110"/>
      <c r="M530" s="110"/>
    </row>
    <row r="531" spans="1:13" ht="30">
      <c r="A531" s="689">
        <v>519</v>
      </c>
      <c r="B531" s="631" t="s">
        <v>9393</v>
      </c>
      <c r="C531" s="631" t="s">
        <v>7581</v>
      </c>
      <c r="D531" s="702" t="s">
        <v>9373</v>
      </c>
      <c r="E531" s="703">
        <v>54</v>
      </c>
      <c r="F531" s="703">
        <v>250</v>
      </c>
      <c r="G531" s="704" t="s">
        <v>9394</v>
      </c>
      <c r="H531" s="705" t="s">
        <v>3863</v>
      </c>
      <c r="I531" s="613" t="s">
        <v>9395</v>
      </c>
      <c r="J531" s="637"/>
      <c r="K531" s="611"/>
      <c r="L531" s="110"/>
      <c r="M531" s="110"/>
    </row>
    <row r="532" spans="1:13" ht="30">
      <c r="A532" s="689">
        <v>520</v>
      </c>
      <c r="B532" s="631" t="s">
        <v>9396</v>
      </c>
      <c r="C532" s="631" t="s">
        <v>7581</v>
      </c>
      <c r="D532" s="702" t="s">
        <v>9373</v>
      </c>
      <c r="E532" s="703">
        <v>30</v>
      </c>
      <c r="F532" s="703">
        <v>250</v>
      </c>
      <c r="G532" s="704" t="s">
        <v>9397</v>
      </c>
      <c r="H532" s="705" t="s">
        <v>9398</v>
      </c>
      <c r="I532" s="613" t="s">
        <v>9399</v>
      </c>
      <c r="J532" s="637"/>
      <c r="K532" s="611"/>
      <c r="L532" s="110"/>
      <c r="M532" s="110"/>
    </row>
    <row r="533" spans="1:13" ht="30">
      <c r="A533" s="689">
        <v>521</v>
      </c>
      <c r="B533" s="631" t="s">
        <v>9400</v>
      </c>
      <c r="C533" s="631" t="s">
        <v>7581</v>
      </c>
      <c r="D533" s="702" t="s">
        <v>9339</v>
      </c>
      <c r="E533" s="703">
        <v>30</v>
      </c>
      <c r="F533" s="703">
        <v>375</v>
      </c>
      <c r="G533" s="704" t="s">
        <v>9401</v>
      </c>
      <c r="H533" s="705" t="s">
        <v>8906</v>
      </c>
      <c r="I533" s="613" t="s">
        <v>6086</v>
      </c>
      <c r="J533" s="637"/>
      <c r="K533" s="611"/>
      <c r="L533" s="110"/>
      <c r="M533" s="110"/>
    </row>
    <row r="534" spans="1:13" ht="30">
      <c r="A534" s="689">
        <v>522</v>
      </c>
      <c r="B534" s="631" t="s">
        <v>9402</v>
      </c>
      <c r="C534" s="631" t="s">
        <v>7581</v>
      </c>
      <c r="D534" s="702" t="s">
        <v>9339</v>
      </c>
      <c r="E534" s="703">
        <v>30</v>
      </c>
      <c r="F534" s="703">
        <v>375</v>
      </c>
      <c r="G534" s="704" t="s">
        <v>9403</v>
      </c>
      <c r="H534" s="705" t="s">
        <v>9404</v>
      </c>
      <c r="I534" s="613" t="s">
        <v>9268</v>
      </c>
      <c r="J534" s="637"/>
      <c r="K534" s="611"/>
      <c r="L534" s="110"/>
      <c r="M534" s="110"/>
    </row>
    <row r="535" spans="1:13" ht="30">
      <c r="A535" s="689">
        <v>523</v>
      </c>
      <c r="B535" s="631" t="s">
        <v>9405</v>
      </c>
      <c r="C535" s="631" t="s">
        <v>7581</v>
      </c>
      <c r="D535" s="702" t="s">
        <v>9339</v>
      </c>
      <c r="E535" s="703">
        <v>27.8</v>
      </c>
      <c r="F535" s="703">
        <v>375</v>
      </c>
      <c r="G535" s="704" t="s">
        <v>9406</v>
      </c>
      <c r="H535" s="705" t="s">
        <v>9380</v>
      </c>
      <c r="I535" s="613" t="s">
        <v>8914</v>
      </c>
      <c r="J535" s="637"/>
      <c r="K535" s="611"/>
      <c r="L535" s="110"/>
      <c r="M535" s="110"/>
    </row>
    <row r="536" spans="1:13" ht="30">
      <c r="A536" s="689">
        <v>524</v>
      </c>
      <c r="B536" s="631" t="s">
        <v>9407</v>
      </c>
      <c r="C536" s="631" t="s">
        <v>7581</v>
      </c>
      <c r="D536" s="702" t="s">
        <v>9339</v>
      </c>
      <c r="E536" s="703">
        <v>30</v>
      </c>
      <c r="F536" s="703">
        <v>375</v>
      </c>
      <c r="G536" s="704" t="s">
        <v>9408</v>
      </c>
      <c r="H536" s="705" t="s">
        <v>9409</v>
      </c>
      <c r="I536" s="613" t="s">
        <v>9410</v>
      </c>
      <c r="J536" s="637"/>
      <c r="K536" s="611"/>
      <c r="L536" s="110"/>
      <c r="M536" s="110"/>
    </row>
    <row r="537" spans="1:13" ht="30">
      <c r="A537" s="689">
        <v>525</v>
      </c>
      <c r="B537" s="631" t="s">
        <v>9411</v>
      </c>
      <c r="C537" s="631" t="s">
        <v>7581</v>
      </c>
      <c r="D537" s="702" t="s">
        <v>9373</v>
      </c>
      <c r="E537" s="703">
        <v>30</v>
      </c>
      <c r="F537" s="703">
        <v>250</v>
      </c>
      <c r="G537" s="704" t="s">
        <v>9412</v>
      </c>
      <c r="H537" s="705" t="s">
        <v>3848</v>
      </c>
      <c r="I537" s="613" t="s">
        <v>9413</v>
      </c>
      <c r="J537" s="637"/>
      <c r="K537" s="611"/>
      <c r="L537" s="110"/>
      <c r="M537" s="110"/>
    </row>
    <row r="538" spans="1:13" ht="45">
      <c r="A538" s="689">
        <v>526</v>
      </c>
      <c r="B538" s="631" t="s">
        <v>9414</v>
      </c>
      <c r="C538" s="631" t="s">
        <v>7581</v>
      </c>
      <c r="D538" s="702" t="s">
        <v>9373</v>
      </c>
      <c r="E538" s="703">
        <v>30</v>
      </c>
      <c r="F538" s="703">
        <v>250</v>
      </c>
      <c r="G538" s="704" t="s">
        <v>9415</v>
      </c>
      <c r="H538" s="705" t="s">
        <v>7886</v>
      </c>
      <c r="I538" s="613" t="s">
        <v>9416</v>
      </c>
      <c r="J538" s="637"/>
      <c r="K538" s="611"/>
      <c r="L538" s="110"/>
      <c r="M538" s="110"/>
    </row>
    <row r="539" spans="1:13" ht="30">
      <c r="A539" s="689">
        <v>527</v>
      </c>
      <c r="B539" s="631" t="s">
        <v>9417</v>
      </c>
      <c r="C539" s="631" t="s">
        <v>7581</v>
      </c>
      <c r="D539" s="702" t="s">
        <v>9373</v>
      </c>
      <c r="E539" s="703">
        <v>30</v>
      </c>
      <c r="F539" s="703">
        <v>250</v>
      </c>
      <c r="G539" s="704" t="s">
        <v>9418</v>
      </c>
      <c r="H539" s="705" t="s">
        <v>8089</v>
      </c>
      <c r="I539" s="613" t="s">
        <v>9419</v>
      </c>
      <c r="J539" s="637"/>
      <c r="K539" s="611"/>
      <c r="L539" s="110"/>
      <c r="M539" s="110"/>
    </row>
    <row r="540" spans="1:13" ht="30">
      <c r="A540" s="689">
        <v>528</v>
      </c>
      <c r="B540" s="631" t="s">
        <v>9420</v>
      </c>
      <c r="C540" s="631" t="s">
        <v>7581</v>
      </c>
      <c r="D540" s="702" t="s">
        <v>9373</v>
      </c>
      <c r="E540" s="703">
        <v>30</v>
      </c>
      <c r="F540" s="703">
        <v>250</v>
      </c>
      <c r="G540" s="704" t="s">
        <v>9421</v>
      </c>
      <c r="H540" s="705" t="s">
        <v>8466</v>
      </c>
      <c r="I540" s="613" t="s">
        <v>8507</v>
      </c>
      <c r="J540" s="637"/>
      <c r="K540" s="611"/>
      <c r="L540" s="110"/>
      <c r="M540" s="110"/>
    </row>
    <row r="541" spans="1:13" ht="30">
      <c r="A541" s="689">
        <v>529</v>
      </c>
      <c r="B541" s="611" t="s">
        <v>9422</v>
      </c>
      <c r="C541" s="631" t="s">
        <v>7581</v>
      </c>
      <c r="D541" s="689" t="s">
        <v>7734</v>
      </c>
      <c r="E541" s="689">
        <v>50</v>
      </c>
      <c r="F541" s="689">
        <v>500</v>
      </c>
      <c r="G541" s="689">
        <v>61007002755</v>
      </c>
      <c r="H541" s="613" t="s">
        <v>9423</v>
      </c>
      <c r="I541" s="613" t="s">
        <v>9088</v>
      </c>
      <c r="J541" s="613"/>
      <c r="K541" s="611"/>
      <c r="L541" s="110"/>
      <c r="M541" s="110"/>
    </row>
    <row r="542" spans="1:13" ht="30">
      <c r="A542" s="689">
        <v>530</v>
      </c>
      <c r="B542" s="631" t="s">
        <v>9424</v>
      </c>
      <c r="C542" s="631" t="s">
        <v>7581</v>
      </c>
      <c r="D542" s="689" t="s">
        <v>7591</v>
      </c>
      <c r="E542" s="703">
        <v>30</v>
      </c>
      <c r="F542" s="703">
        <v>375</v>
      </c>
      <c r="G542" s="704" t="s">
        <v>9425</v>
      </c>
      <c r="H542" s="705" t="s">
        <v>3730</v>
      </c>
      <c r="I542" s="613" t="s">
        <v>9426</v>
      </c>
      <c r="J542" s="637"/>
      <c r="K542" s="611"/>
      <c r="L542" s="110"/>
      <c r="M542" s="110"/>
    </row>
    <row r="543" spans="1:13" ht="30">
      <c r="A543" s="689">
        <v>531</v>
      </c>
      <c r="B543" s="631" t="s">
        <v>9427</v>
      </c>
      <c r="C543" s="631" t="s">
        <v>7581</v>
      </c>
      <c r="D543" s="689" t="s">
        <v>7591</v>
      </c>
      <c r="E543" s="703">
        <v>35</v>
      </c>
      <c r="F543" s="703">
        <v>375</v>
      </c>
      <c r="G543" s="704" t="s">
        <v>9428</v>
      </c>
      <c r="H543" s="705" t="s">
        <v>9429</v>
      </c>
      <c r="I543" s="613" t="s">
        <v>9430</v>
      </c>
      <c r="J543" s="637"/>
      <c r="K543" s="611"/>
      <c r="L543" s="110"/>
      <c r="M543" s="110"/>
    </row>
    <row r="544" spans="1:13" ht="30">
      <c r="A544" s="689">
        <v>532</v>
      </c>
      <c r="B544" s="631" t="s">
        <v>9431</v>
      </c>
      <c r="C544" s="631" t="s">
        <v>7581</v>
      </c>
      <c r="D544" s="689" t="s">
        <v>7600</v>
      </c>
      <c r="E544" s="703">
        <v>30</v>
      </c>
      <c r="F544" s="703">
        <v>250</v>
      </c>
      <c r="G544" s="704" t="s">
        <v>9432</v>
      </c>
      <c r="H544" s="705" t="s">
        <v>9429</v>
      </c>
      <c r="I544" s="613" t="s">
        <v>9433</v>
      </c>
      <c r="J544" s="637"/>
      <c r="K544" s="611"/>
      <c r="L544" s="110"/>
      <c r="M544" s="110"/>
    </row>
    <row r="545" spans="1:13" ht="30">
      <c r="A545" s="689">
        <v>533</v>
      </c>
      <c r="B545" s="631" t="s">
        <v>9434</v>
      </c>
      <c r="C545" s="631" t="s">
        <v>7581</v>
      </c>
      <c r="D545" s="689" t="s">
        <v>9435</v>
      </c>
      <c r="E545" s="703">
        <v>20</v>
      </c>
      <c r="F545" s="703">
        <v>150</v>
      </c>
      <c r="G545" s="704" t="s">
        <v>9436</v>
      </c>
      <c r="H545" s="705" t="s">
        <v>9437</v>
      </c>
      <c r="I545" s="613" t="s">
        <v>9038</v>
      </c>
      <c r="J545" s="637"/>
      <c r="K545" s="611"/>
      <c r="L545" s="110"/>
      <c r="M545" s="110"/>
    </row>
    <row r="546" spans="1:13" ht="30">
      <c r="A546" s="689">
        <v>534</v>
      </c>
      <c r="B546" s="631" t="s">
        <v>8009</v>
      </c>
      <c r="C546" s="631" t="s">
        <v>7581</v>
      </c>
      <c r="D546" s="702" t="s">
        <v>7656</v>
      </c>
      <c r="E546" s="703">
        <v>250</v>
      </c>
      <c r="F546" s="703">
        <v>1000</v>
      </c>
      <c r="G546" s="704" t="s">
        <v>8010</v>
      </c>
      <c r="H546" s="705" t="s">
        <v>6670</v>
      </c>
      <c r="I546" s="613" t="s">
        <v>8011</v>
      </c>
      <c r="J546" s="637"/>
      <c r="K546" s="611"/>
      <c r="L546" s="110"/>
      <c r="M546" s="110"/>
    </row>
    <row r="547" spans="1:13" ht="30">
      <c r="A547" s="689">
        <v>535</v>
      </c>
      <c r="B547" s="631" t="s">
        <v>9438</v>
      </c>
      <c r="C547" s="631" t="s">
        <v>7581</v>
      </c>
      <c r="D547" s="702" t="s">
        <v>9373</v>
      </c>
      <c r="E547" s="703">
        <v>70</v>
      </c>
      <c r="F547" s="703">
        <v>375</v>
      </c>
      <c r="G547" s="704" t="s">
        <v>9439</v>
      </c>
      <c r="H547" s="705" t="s">
        <v>9440</v>
      </c>
      <c r="I547" s="613" t="s">
        <v>9441</v>
      </c>
      <c r="J547" s="637"/>
      <c r="K547" s="611"/>
      <c r="L547" s="110"/>
      <c r="M547" s="110"/>
    </row>
    <row r="548" spans="1:13" ht="30">
      <c r="A548" s="689">
        <v>536</v>
      </c>
      <c r="B548" s="631" t="s">
        <v>9442</v>
      </c>
      <c r="C548" s="631" t="s">
        <v>7581</v>
      </c>
      <c r="D548" s="702" t="s">
        <v>9373</v>
      </c>
      <c r="E548" s="703">
        <v>66.900000000000006</v>
      </c>
      <c r="F548" s="703">
        <v>375</v>
      </c>
      <c r="G548" s="704" t="s">
        <v>9443</v>
      </c>
      <c r="H548" s="705" t="s">
        <v>9444</v>
      </c>
      <c r="I548" s="613" t="s">
        <v>9445</v>
      </c>
      <c r="J548" s="637"/>
      <c r="K548" s="611"/>
      <c r="L548" s="110"/>
      <c r="M548" s="110"/>
    </row>
    <row r="549" spans="1:13" ht="30">
      <c r="A549" s="689">
        <v>537</v>
      </c>
      <c r="B549" s="631" t="s">
        <v>9446</v>
      </c>
      <c r="C549" s="631" t="s">
        <v>7581</v>
      </c>
      <c r="D549" s="702" t="s">
        <v>9373</v>
      </c>
      <c r="E549" s="703">
        <v>75</v>
      </c>
      <c r="F549" s="703">
        <v>375</v>
      </c>
      <c r="G549" s="704" t="s">
        <v>9447</v>
      </c>
      <c r="H549" s="705" t="s">
        <v>9448</v>
      </c>
      <c r="I549" s="613" t="s">
        <v>9449</v>
      </c>
      <c r="J549" s="637"/>
      <c r="K549" s="611"/>
      <c r="L549" s="110"/>
      <c r="M549" s="110"/>
    </row>
    <row r="550" spans="1:13" ht="30">
      <c r="A550" s="689">
        <v>538</v>
      </c>
      <c r="B550" s="631" t="s">
        <v>9450</v>
      </c>
      <c r="C550" s="631" t="s">
        <v>7581</v>
      </c>
      <c r="D550" s="702" t="s">
        <v>9373</v>
      </c>
      <c r="E550" s="703">
        <v>60</v>
      </c>
      <c r="F550" s="703">
        <v>375</v>
      </c>
      <c r="G550" s="704" t="s">
        <v>9451</v>
      </c>
      <c r="H550" s="705" t="s">
        <v>9452</v>
      </c>
      <c r="I550" s="613" t="s">
        <v>9453</v>
      </c>
      <c r="J550" s="637"/>
      <c r="K550" s="611"/>
      <c r="L550" s="110"/>
      <c r="M550" s="110"/>
    </row>
    <row r="551" spans="1:13" ht="30">
      <c r="A551" s="689">
        <v>539</v>
      </c>
      <c r="B551" s="631" t="s">
        <v>9454</v>
      </c>
      <c r="C551" s="631" t="s">
        <v>7581</v>
      </c>
      <c r="D551" s="702" t="s">
        <v>9373</v>
      </c>
      <c r="E551" s="703">
        <v>67.3</v>
      </c>
      <c r="F551" s="703">
        <v>375</v>
      </c>
      <c r="G551" s="704"/>
      <c r="H551" s="705"/>
      <c r="I551" s="613"/>
      <c r="J551" s="704" t="s">
        <v>9455</v>
      </c>
      <c r="K551" s="611" t="s">
        <v>9456</v>
      </c>
      <c r="L551" s="110"/>
      <c r="M551" s="110"/>
    </row>
    <row r="552" spans="1:13" ht="45">
      <c r="A552" s="689">
        <v>540</v>
      </c>
      <c r="B552" s="631" t="s">
        <v>9457</v>
      </c>
      <c r="C552" s="631" t="s">
        <v>7581</v>
      </c>
      <c r="D552" s="702" t="s">
        <v>7595</v>
      </c>
      <c r="E552" s="703">
        <v>115.92</v>
      </c>
      <c r="F552" s="703">
        <v>2409</v>
      </c>
      <c r="G552" s="704"/>
      <c r="H552" s="705"/>
      <c r="I552" s="613"/>
      <c r="J552" s="637" t="s">
        <v>9458</v>
      </c>
      <c r="K552" s="611" t="s">
        <v>9459</v>
      </c>
      <c r="L552" s="110"/>
      <c r="M552" s="110"/>
    </row>
    <row r="553" spans="1:13" ht="45">
      <c r="A553" s="689">
        <v>541</v>
      </c>
      <c r="B553" s="631" t="s">
        <v>9460</v>
      </c>
      <c r="C553" s="631" t="s">
        <v>7581</v>
      </c>
      <c r="D553" s="702" t="s">
        <v>7600</v>
      </c>
      <c r="E553" s="703">
        <v>183.25</v>
      </c>
      <c r="F553" s="703">
        <v>2409</v>
      </c>
      <c r="G553" s="704"/>
      <c r="H553" s="705"/>
      <c r="I553" s="613"/>
      <c r="J553" s="637" t="s">
        <v>9461</v>
      </c>
      <c r="K553" s="611" t="s">
        <v>9462</v>
      </c>
      <c r="L553" s="110"/>
      <c r="M553" s="110"/>
    </row>
    <row r="554" spans="1:13" ht="45">
      <c r="A554" s="689">
        <v>542</v>
      </c>
      <c r="B554" s="631" t="s">
        <v>9463</v>
      </c>
      <c r="C554" s="631" t="s">
        <v>7581</v>
      </c>
      <c r="D554" s="702" t="s">
        <v>7591</v>
      </c>
      <c r="E554" s="703">
        <v>107</v>
      </c>
      <c r="F554" s="703">
        <v>500</v>
      </c>
      <c r="G554" s="704" t="s">
        <v>9464</v>
      </c>
      <c r="H554" s="705" t="s">
        <v>9465</v>
      </c>
      <c r="I554" s="613" t="s">
        <v>9466</v>
      </c>
      <c r="J554" s="637"/>
      <c r="K554" s="611"/>
      <c r="L554" s="110"/>
      <c r="M554" s="110"/>
    </row>
    <row r="555" spans="1:13" ht="45">
      <c r="A555" s="689">
        <v>543</v>
      </c>
      <c r="B555" s="631" t="s">
        <v>8018</v>
      </c>
      <c r="C555" s="631" t="s">
        <v>7581</v>
      </c>
      <c r="D555" s="702" t="s">
        <v>7599</v>
      </c>
      <c r="E555" s="703" t="s">
        <v>8019</v>
      </c>
      <c r="F555" s="703">
        <v>625</v>
      </c>
      <c r="G555" s="704" t="s">
        <v>8020</v>
      </c>
      <c r="H555" s="705" t="s">
        <v>7963</v>
      </c>
      <c r="I555" s="613" t="s">
        <v>8021</v>
      </c>
      <c r="J555" s="637"/>
      <c r="K555" s="611"/>
      <c r="L555" s="110"/>
      <c r="M555" s="110"/>
    </row>
    <row r="556" spans="1:13" ht="30">
      <c r="A556" s="689">
        <v>544</v>
      </c>
      <c r="B556" s="631" t="s">
        <v>7865</v>
      </c>
      <c r="C556" s="631" t="s">
        <v>7581</v>
      </c>
      <c r="D556" s="702" t="s">
        <v>9467</v>
      </c>
      <c r="E556" s="703">
        <v>80</v>
      </c>
      <c r="F556" s="703">
        <v>287.64999999999998</v>
      </c>
      <c r="G556" s="704"/>
      <c r="H556" s="705"/>
      <c r="I556" s="613"/>
      <c r="J556" s="637" t="s">
        <v>7866</v>
      </c>
      <c r="K556" s="611" t="s">
        <v>7867</v>
      </c>
      <c r="L556" s="110"/>
      <c r="M556" s="110"/>
    </row>
    <row r="557" spans="1:13" ht="30">
      <c r="A557" s="689">
        <v>545</v>
      </c>
      <c r="B557" s="631" t="s">
        <v>8834</v>
      </c>
      <c r="C557" s="631" t="s">
        <v>7581</v>
      </c>
      <c r="D557" s="702" t="s">
        <v>9468</v>
      </c>
      <c r="E557" s="703">
        <v>60</v>
      </c>
      <c r="F557" s="703" t="s">
        <v>8370</v>
      </c>
      <c r="G557" s="704" t="s">
        <v>8835</v>
      </c>
      <c r="H557" s="705" t="s">
        <v>8836</v>
      </c>
      <c r="I557" s="613" t="s">
        <v>8837</v>
      </c>
      <c r="J557" s="637"/>
      <c r="K557" s="611"/>
      <c r="L557" s="110"/>
      <c r="M557" s="110"/>
    </row>
    <row r="558" spans="1:13" ht="30">
      <c r="A558" s="689">
        <v>546</v>
      </c>
      <c r="B558" s="631" t="s">
        <v>7908</v>
      </c>
      <c r="C558" s="631" t="s">
        <v>7581</v>
      </c>
      <c r="D558" s="702" t="s">
        <v>7599</v>
      </c>
      <c r="E558" s="703">
        <v>107</v>
      </c>
      <c r="F558" s="703">
        <v>1000</v>
      </c>
      <c r="G558" s="704">
        <v>62005023736</v>
      </c>
      <c r="H558" s="705" t="s">
        <v>7910</v>
      </c>
      <c r="I558" s="613" t="s">
        <v>7911</v>
      </c>
      <c r="J558" s="637"/>
      <c r="K558" s="611"/>
      <c r="L558" s="110"/>
      <c r="M558" s="110"/>
    </row>
    <row r="559" spans="1:13" ht="30">
      <c r="A559" s="689">
        <v>547</v>
      </c>
      <c r="B559" s="631" t="s">
        <v>9469</v>
      </c>
      <c r="C559" s="631" t="s">
        <v>7581</v>
      </c>
      <c r="D559" s="702" t="s">
        <v>7591</v>
      </c>
      <c r="E559" s="703">
        <v>40</v>
      </c>
      <c r="F559" s="703">
        <v>375</v>
      </c>
      <c r="G559" s="704" t="s">
        <v>9470</v>
      </c>
      <c r="H559" s="705" t="s">
        <v>8238</v>
      </c>
      <c r="I559" s="613" t="s">
        <v>9471</v>
      </c>
      <c r="J559" s="637"/>
      <c r="K559" s="611"/>
      <c r="L559" s="110"/>
      <c r="M559" s="110"/>
    </row>
    <row r="560" spans="1:13" ht="45">
      <c r="A560" s="689">
        <v>548</v>
      </c>
      <c r="B560" s="631" t="s">
        <v>9472</v>
      </c>
      <c r="C560" s="631" t="s">
        <v>7581</v>
      </c>
      <c r="D560" s="702" t="s">
        <v>9467</v>
      </c>
      <c r="E560" s="703">
        <v>60</v>
      </c>
      <c r="F560" s="703">
        <v>250</v>
      </c>
      <c r="G560" s="704" t="s">
        <v>9473</v>
      </c>
      <c r="H560" s="705" t="s">
        <v>9474</v>
      </c>
      <c r="I560" s="613" t="s">
        <v>9475</v>
      </c>
      <c r="J560" s="637"/>
      <c r="K560" s="611"/>
      <c r="L560" s="110"/>
      <c r="M560" s="110"/>
    </row>
    <row r="561" spans="1:13" ht="30">
      <c r="A561" s="689">
        <v>549</v>
      </c>
      <c r="B561" s="631" t="s">
        <v>7704</v>
      </c>
      <c r="C561" s="631" t="s">
        <v>7581</v>
      </c>
      <c r="D561" s="702" t="s">
        <v>7632</v>
      </c>
      <c r="E561" s="703">
        <v>157</v>
      </c>
      <c r="F561" s="703">
        <v>1000</v>
      </c>
      <c r="G561" s="704"/>
      <c r="H561" s="705"/>
      <c r="I561" s="613"/>
      <c r="J561" s="637">
        <v>225063123</v>
      </c>
      <c r="K561" s="611" t="s">
        <v>7705</v>
      </c>
      <c r="L561" s="110"/>
      <c r="M561" s="110"/>
    </row>
    <row r="562" spans="1:13" ht="30">
      <c r="A562" s="689">
        <v>550</v>
      </c>
      <c r="B562" s="631" t="s">
        <v>9476</v>
      </c>
      <c r="C562" s="631" t="s">
        <v>7581</v>
      </c>
      <c r="D562" s="702" t="s">
        <v>7591</v>
      </c>
      <c r="E562" s="703">
        <v>35</v>
      </c>
      <c r="F562" s="703">
        <v>187.5</v>
      </c>
      <c r="G562" s="704" t="s">
        <v>9477</v>
      </c>
      <c r="H562" s="705" t="s">
        <v>9478</v>
      </c>
      <c r="I562" s="613" t="s">
        <v>9479</v>
      </c>
      <c r="J562" s="637"/>
      <c r="K562" s="611"/>
      <c r="L562" s="110"/>
      <c r="M562" s="110"/>
    </row>
    <row r="563" spans="1:13" ht="30">
      <c r="A563" s="689">
        <v>551</v>
      </c>
      <c r="B563" s="631" t="s">
        <v>9480</v>
      </c>
      <c r="C563" s="631" t="s">
        <v>7581</v>
      </c>
      <c r="D563" s="702" t="s">
        <v>7656</v>
      </c>
      <c r="E563" s="703">
        <v>93.9</v>
      </c>
      <c r="F563" s="703">
        <v>625</v>
      </c>
      <c r="G563" s="704" t="s">
        <v>1323</v>
      </c>
      <c r="H563" s="705" t="s">
        <v>9481</v>
      </c>
      <c r="I563" s="613" t="s">
        <v>9482</v>
      </c>
      <c r="J563" s="637"/>
      <c r="K563" s="611"/>
      <c r="L563" s="110"/>
      <c r="M563" s="110"/>
    </row>
    <row r="564" spans="1:13" ht="30">
      <c r="A564" s="689">
        <v>552</v>
      </c>
      <c r="B564" s="631" t="s">
        <v>9483</v>
      </c>
      <c r="C564" s="631" t="s">
        <v>7581</v>
      </c>
      <c r="D564" s="702" t="s">
        <v>9467</v>
      </c>
      <c r="E564" s="703">
        <v>60</v>
      </c>
      <c r="F564" s="703">
        <v>500</v>
      </c>
      <c r="G564" s="704" t="s">
        <v>9484</v>
      </c>
      <c r="H564" s="705" t="s">
        <v>3895</v>
      </c>
      <c r="I564" s="613" t="s">
        <v>9138</v>
      </c>
      <c r="J564" s="637"/>
      <c r="K564" s="611"/>
      <c r="L564" s="110"/>
      <c r="M564" s="110"/>
    </row>
    <row r="565" spans="1:13" ht="30">
      <c r="A565" s="689">
        <v>553</v>
      </c>
      <c r="B565" s="631" t="s">
        <v>9485</v>
      </c>
      <c r="C565" s="631" t="s">
        <v>7581</v>
      </c>
      <c r="D565" s="702" t="s">
        <v>7600</v>
      </c>
      <c r="E565" s="703">
        <v>73.86</v>
      </c>
      <c r="F565" s="703">
        <v>1000</v>
      </c>
      <c r="G565" s="704" t="s">
        <v>9486</v>
      </c>
      <c r="H565" s="705" t="s">
        <v>9487</v>
      </c>
      <c r="I565" s="613" t="s">
        <v>8345</v>
      </c>
      <c r="J565" s="637"/>
      <c r="K565" s="611"/>
      <c r="L565" s="110"/>
      <c r="M565" s="110"/>
    </row>
    <row r="566" spans="1:13" ht="30">
      <c r="A566" s="689">
        <v>554</v>
      </c>
      <c r="B566" s="631" t="s">
        <v>8346</v>
      </c>
      <c r="C566" s="631" t="s">
        <v>7581</v>
      </c>
      <c r="D566" s="702" t="s">
        <v>9373</v>
      </c>
      <c r="E566" s="703">
        <v>74</v>
      </c>
      <c r="F566" s="703">
        <v>266.14999999999998</v>
      </c>
      <c r="G566" s="704" t="s">
        <v>8347</v>
      </c>
      <c r="H566" s="705" t="s">
        <v>7340</v>
      </c>
      <c r="I566" s="613" t="s">
        <v>8348</v>
      </c>
      <c r="J566" s="637"/>
      <c r="K566" s="611"/>
      <c r="L566" s="110"/>
      <c r="M566" s="110"/>
    </row>
    <row r="567" spans="1:13" ht="30">
      <c r="A567" s="689">
        <v>555</v>
      </c>
      <c r="B567" s="631" t="s">
        <v>7775</v>
      </c>
      <c r="C567" s="631" t="s">
        <v>7581</v>
      </c>
      <c r="D567" s="702" t="s">
        <v>9488</v>
      </c>
      <c r="E567" s="703">
        <v>49</v>
      </c>
      <c r="F567" s="703">
        <v>283.89999999999998</v>
      </c>
      <c r="G567" s="704"/>
      <c r="H567" s="705"/>
      <c r="I567" s="613"/>
      <c r="J567" s="637" t="s">
        <v>7776</v>
      </c>
      <c r="K567" s="611" t="s">
        <v>7777</v>
      </c>
      <c r="L567" s="110"/>
      <c r="M567" s="110"/>
    </row>
    <row r="568" spans="1:13" ht="30">
      <c r="A568" s="689">
        <v>556</v>
      </c>
      <c r="B568" s="631" t="s">
        <v>7781</v>
      </c>
      <c r="C568" s="631" t="s">
        <v>7581</v>
      </c>
      <c r="D568" s="702" t="s">
        <v>9488</v>
      </c>
      <c r="E568" s="703">
        <v>121.8</v>
      </c>
      <c r="F568" s="703">
        <v>425.8</v>
      </c>
      <c r="G568" s="704"/>
      <c r="H568" s="705"/>
      <c r="I568" s="613"/>
      <c r="J568" s="637" t="s">
        <v>7782</v>
      </c>
      <c r="K568" s="611" t="s">
        <v>7783</v>
      </c>
      <c r="L568" s="110"/>
      <c r="M568" s="110"/>
    </row>
    <row r="569" spans="1:13" ht="30">
      <c r="A569" s="689">
        <v>557</v>
      </c>
      <c r="B569" s="631" t="s">
        <v>8154</v>
      </c>
      <c r="C569" s="631" t="s">
        <v>7581</v>
      </c>
      <c r="D569" s="702" t="s">
        <v>9488</v>
      </c>
      <c r="E569" s="703" t="s">
        <v>8155</v>
      </c>
      <c r="F569" s="703">
        <v>177.45</v>
      </c>
      <c r="G569" s="704" t="s">
        <v>8156</v>
      </c>
      <c r="H569" s="705" t="s">
        <v>3856</v>
      </c>
      <c r="I569" s="613" t="s">
        <v>8157</v>
      </c>
      <c r="J569" s="637"/>
      <c r="K569" s="611"/>
      <c r="L569" s="110"/>
      <c r="M569" s="110"/>
    </row>
    <row r="570" spans="1:13" ht="45">
      <c r="A570" s="689">
        <v>558</v>
      </c>
      <c r="B570" s="631" t="s">
        <v>7787</v>
      </c>
      <c r="C570" s="631" t="s">
        <v>7581</v>
      </c>
      <c r="D570" s="702" t="s">
        <v>9488</v>
      </c>
      <c r="E570" s="703">
        <v>70.5</v>
      </c>
      <c r="F570" s="703">
        <v>177.45</v>
      </c>
      <c r="G570" s="704"/>
      <c r="H570" s="705"/>
      <c r="I570" s="613"/>
      <c r="J570" s="637" t="s">
        <v>7788</v>
      </c>
      <c r="K570" s="611" t="s">
        <v>7789</v>
      </c>
      <c r="L570" s="110"/>
      <c r="M570" s="110"/>
    </row>
    <row r="571" spans="1:13" ht="30">
      <c r="A571" s="689">
        <v>559</v>
      </c>
      <c r="B571" s="631" t="s">
        <v>8158</v>
      </c>
      <c r="C571" s="631" t="s">
        <v>7581</v>
      </c>
      <c r="D571" s="702" t="s">
        <v>9488</v>
      </c>
      <c r="E571" s="703" t="s">
        <v>8159</v>
      </c>
      <c r="F571" s="703">
        <v>1025.7</v>
      </c>
      <c r="G571" s="704" t="s">
        <v>8160</v>
      </c>
      <c r="H571" s="705" t="s">
        <v>6724</v>
      </c>
      <c r="I571" s="613" t="s">
        <v>7383</v>
      </c>
      <c r="J571" s="637"/>
      <c r="K571" s="611"/>
      <c r="L571" s="110"/>
      <c r="M571" s="110"/>
    </row>
    <row r="572" spans="1:13" ht="60">
      <c r="A572" s="689">
        <v>560</v>
      </c>
      <c r="B572" s="631" t="s">
        <v>7784</v>
      </c>
      <c r="C572" s="631" t="s">
        <v>7581</v>
      </c>
      <c r="D572" s="702" t="s">
        <v>9488</v>
      </c>
      <c r="E572" s="703">
        <v>314.10000000000002</v>
      </c>
      <c r="F572" s="703">
        <v>283.89999999999998</v>
      </c>
      <c r="G572" s="704"/>
      <c r="H572" s="705"/>
      <c r="I572" s="613"/>
      <c r="J572" s="637" t="s">
        <v>7785</v>
      </c>
      <c r="K572" s="611" t="s">
        <v>7786</v>
      </c>
      <c r="L572" s="110"/>
      <c r="M572" s="110"/>
    </row>
    <row r="573" spans="1:13" ht="30">
      <c r="A573" s="689">
        <v>561</v>
      </c>
      <c r="B573" s="631" t="s">
        <v>7778</v>
      </c>
      <c r="C573" s="631" t="s">
        <v>7581</v>
      </c>
      <c r="D573" s="702" t="s">
        <v>9488</v>
      </c>
      <c r="E573" s="703">
        <v>88.7</v>
      </c>
      <c r="F573" s="703">
        <v>177.45</v>
      </c>
      <c r="G573" s="704"/>
      <c r="H573" s="705"/>
      <c r="I573" s="613"/>
      <c r="J573" s="637" t="s">
        <v>7779</v>
      </c>
      <c r="K573" s="611" t="s">
        <v>7780</v>
      </c>
      <c r="L573" s="110"/>
      <c r="M573" s="110"/>
    </row>
    <row r="574" spans="1:13" ht="30">
      <c r="A574" s="689">
        <v>562</v>
      </c>
      <c r="B574" s="631" t="s">
        <v>9489</v>
      </c>
      <c r="C574" s="631" t="s">
        <v>7581</v>
      </c>
      <c r="D574" s="702" t="s">
        <v>7624</v>
      </c>
      <c r="E574" s="703">
        <v>50</v>
      </c>
      <c r="F574" s="703">
        <v>350</v>
      </c>
      <c r="G574" s="704" t="s">
        <v>9490</v>
      </c>
      <c r="H574" s="705" t="s">
        <v>9491</v>
      </c>
      <c r="I574" s="613" t="s">
        <v>9492</v>
      </c>
      <c r="J574" s="637"/>
      <c r="K574" s="611"/>
      <c r="L574" s="110"/>
      <c r="M574" s="110"/>
    </row>
    <row r="575" spans="1:13" ht="90">
      <c r="A575" s="689">
        <v>563</v>
      </c>
      <c r="B575" s="631" t="s">
        <v>9493</v>
      </c>
      <c r="C575" s="631" t="s">
        <v>9494</v>
      </c>
      <c r="D575" s="702" t="s">
        <v>9495</v>
      </c>
      <c r="E575" s="703">
        <v>1060</v>
      </c>
      <c r="F575" s="703">
        <v>76</v>
      </c>
      <c r="G575" s="704"/>
      <c r="H575" s="705"/>
      <c r="I575" s="613"/>
      <c r="J575" s="637" t="s">
        <v>9496</v>
      </c>
      <c r="K575" s="611" t="s">
        <v>9497</v>
      </c>
      <c r="L575" s="110"/>
      <c r="M575" s="110"/>
    </row>
    <row r="576" spans="1:13" ht="30">
      <c r="A576" s="689">
        <v>564</v>
      </c>
      <c r="B576" s="631" t="s">
        <v>9498</v>
      </c>
      <c r="C576" s="631" t="s">
        <v>9494</v>
      </c>
      <c r="D576" s="702" t="s">
        <v>9495</v>
      </c>
      <c r="E576" s="703">
        <v>6000</v>
      </c>
      <c r="F576" s="703">
        <v>600</v>
      </c>
      <c r="G576" s="704"/>
      <c r="H576" s="705"/>
      <c r="I576" s="613"/>
      <c r="J576" s="637" t="s">
        <v>9499</v>
      </c>
      <c r="K576" s="611" t="s">
        <v>9500</v>
      </c>
      <c r="L576" s="110"/>
      <c r="M576" s="110"/>
    </row>
    <row r="577" spans="1:13" ht="30">
      <c r="A577" s="689">
        <v>565</v>
      </c>
      <c r="B577" s="631" t="s">
        <v>9501</v>
      </c>
      <c r="C577" s="631" t="s">
        <v>9494</v>
      </c>
      <c r="D577" s="702" t="s">
        <v>9495</v>
      </c>
      <c r="E577" s="703">
        <v>50</v>
      </c>
      <c r="F577" s="703">
        <v>1118</v>
      </c>
      <c r="G577" s="704"/>
      <c r="H577" s="705"/>
      <c r="I577" s="613"/>
      <c r="J577" s="637" t="s">
        <v>9502</v>
      </c>
      <c r="K577" s="611" t="s">
        <v>9503</v>
      </c>
      <c r="L577" s="110"/>
      <c r="M577" s="110"/>
    </row>
    <row r="578" spans="1:13" ht="30">
      <c r="A578" s="689">
        <v>566</v>
      </c>
      <c r="B578" s="631" t="s">
        <v>9504</v>
      </c>
      <c r="C578" s="631" t="s">
        <v>9494</v>
      </c>
      <c r="D578" s="702" t="s">
        <v>9495</v>
      </c>
      <c r="E578" s="703">
        <v>336</v>
      </c>
      <c r="F578" s="703">
        <v>200</v>
      </c>
      <c r="G578" s="704"/>
      <c r="H578" s="705"/>
      <c r="I578" s="613"/>
      <c r="J578" s="637" t="s">
        <v>9505</v>
      </c>
      <c r="K578" s="611" t="s">
        <v>9506</v>
      </c>
      <c r="L578" s="110"/>
      <c r="M578" s="110"/>
    </row>
    <row r="579" spans="1:13" ht="30">
      <c r="A579" s="689">
        <v>567</v>
      </c>
      <c r="B579" s="631" t="s">
        <v>9507</v>
      </c>
      <c r="C579" s="631" t="s">
        <v>9494</v>
      </c>
      <c r="D579" s="702" t="s">
        <v>9508</v>
      </c>
      <c r="E579" s="703">
        <v>150</v>
      </c>
      <c r="F579" s="703">
        <v>812.5</v>
      </c>
      <c r="G579" s="704"/>
      <c r="H579" s="705"/>
      <c r="I579" s="613"/>
      <c r="J579" s="637" t="s">
        <v>9509</v>
      </c>
      <c r="K579" s="611" t="s">
        <v>9510</v>
      </c>
      <c r="L579" s="110"/>
      <c r="M579" s="110"/>
    </row>
    <row r="580" spans="1:13" ht="45">
      <c r="A580" s="689">
        <v>568</v>
      </c>
      <c r="B580" s="631" t="s">
        <v>9511</v>
      </c>
      <c r="C580" s="631" t="s">
        <v>9494</v>
      </c>
      <c r="D580" s="702" t="s">
        <v>9508</v>
      </c>
      <c r="E580" s="703">
        <v>114</v>
      </c>
      <c r="F580" s="703">
        <v>3040</v>
      </c>
      <c r="G580" s="704"/>
      <c r="H580" s="705"/>
      <c r="I580" s="613"/>
      <c r="J580" s="637" t="s">
        <v>9512</v>
      </c>
      <c r="K580" s="611" t="s">
        <v>9513</v>
      </c>
      <c r="L580" s="110"/>
      <c r="M580" s="110"/>
    </row>
    <row r="581" spans="1:13" ht="30">
      <c r="A581" s="689">
        <v>569</v>
      </c>
      <c r="B581" s="631" t="s">
        <v>9514</v>
      </c>
      <c r="C581" s="631" t="s">
        <v>9494</v>
      </c>
      <c r="D581" s="702" t="s">
        <v>9515</v>
      </c>
      <c r="E581" s="703">
        <v>350</v>
      </c>
      <c r="F581" s="703">
        <v>1375</v>
      </c>
      <c r="G581" s="704"/>
      <c r="H581" s="705"/>
      <c r="I581" s="613"/>
      <c r="J581" s="637" t="s">
        <v>9516</v>
      </c>
      <c r="K581" s="611" t="s">
        <v>9517</v>
      </c>
      <c r="L581" s="110"/>
      <c r="M581" s="110"/>
    </row>
    <row r="582" spans="1:13" ht="30">
      <c r="A582" s="689">
        <v>570</v>
      </c>
      <c r="B582" s="631" t="s">
        <v>9518</v>
      </c>
      <c r="C582" s="631" t="s">
        <v>9494</v>
      </c>
      <c r="D582" s="702" t="s">
        <v>9519</v>
      </c>
      <c r="E582" s="703">
        <v>200</v>
      </c>
      <c r="F582" s="703">
        <v>500</v>
      </c>
      <c r="G582" s="704" t="s">
        <v>9520</v>
      </c>
      <c r="H582" s="705" t="s">
        <v>9521</v>
      </c>
      <c r="I582" s="613" t="s">
        <v>9522</v>
      </c>
      <c r="J582" s="637"/>
      <c r="K582" s="611"/>
      <c r="L582" s="110"/>
      <c r="M582" s="110"/>
    </row>
    <row r="583" spans="1:13" ht="15">
      <c r="A583" s="689">
        <v>571</v>
      </c>
      <c r="B583" s="631"/>
      <c r="C583" s="631"/>
      <c r="D583" s="702"/>
      <c r="E583" s="703"/>
      <c r="F583" s="703">
        <v>500</v>
      </c>
      <c r="G583" s="704" t="s">
        <v>9523</v>
      </c>
      <c r="H583" s="705" t="s">
        <v>3945</v>
      </c>
      <c r="I583" s="613" t="s">
        <v>9522</v>
      </c>
      <c r="J583" s="637"/>
      <c r="K583" s="611"/>
      <c r="L583" s="110"/>
      <c r="M583" s="110"/>
    </row>
    <row r="584" spans="1:13" ht="30">
      <c r="A584" s="689">
        <v>572</v>
      </c>
      <c r="B584" s="631"/>
      <c r="C584" s="631" t="s">
        <v>9494</v>
      </c>
      <c r="D584" s="702" t="s">
        <v>9524</v>
      </c>
      <c r="E584" s="703"/>
      <c r="F584" s="703">
        <v>600</v>
      </c>
      <c r="G584" s="704"/>
      <c r="H584" s="705"/>
      <c r="I584" s="613"/>
      <c r="J584" s="637" t="s">
        <v>9525</v>
      </c>
      <c r="K584" s="611" t="s">
        <v>9526</v>
      </c>
      <c r="L584" s="110"/>
      <c r="M584" s="110"/>
    </row>
    <row r="585" spans="1:13" ht="45">
      <c r="A585" s="689">
        <v>573</v>
      </c>
      <c r="B585" s="631" t="s">
        <v>9527</v>
      </c>
      <c r="C585" s="631" t="s">
        <v>9494</v>
      </c>
      <c r="D585" s="702" t="s">
        <v>9519</v>
      </c>
      <c r="E585" s="703">
        <v>40</v>
      </c>
      <c r="F585" s="703">
        <v>1950</v>
      </c>
      <c r="G585" s="704"/>
      <c r="H585" s="705"/>
      <c r="I585" s="613"/>
      <c r="J585" s="637" t="s">
        <v>9528</v>
      </c>
      <c r="K585" s="611" t="s">
        <v>9529</v>
      </c>
      <c r="L585" s="110"/>
      <c r="M585" s="110"/>
    </row>
    <row r="586" spans="1:13" ht="75">
      <c r="A586" s="689">
        <v>574</v>
      </c>
      <c r="B586" s="631" t="s">
        <v>9530</v>
      </c>
      <c r="C586" s="631" t="s">
        <v>9494</v>
      </c>
      <c r="D586" s="702" t="s">
        <v>9519</v>
      </c>
      <c r="E586" s="703">
        <v>55</v>
      </c>
      <c r="F586" s="703">
        <v>2600</v>
      </c>
      <c r="G586" s="704"/>
      <c r="H586" s="705"/>
      <c r="I586" s="613"/>
      <c r="J586" s="637" t="s">
        <v>9531</v>
      </c>
      <c r="K586" s="611" t="s">
        <v>9532</v>
      </c>
      <c r="L586" s="110"/>
      <c r="M586" s="110"/>
    </row>
    <row r="587" spans="1:13" ht="60">
      <c r="A587" s="689">
        <v>575</v>
      </c>
      <c r="B587" s="631" t="s">
        <v>7830</v>
      </c>
      <c r="C587" s="631" t="s">
        <v>7581</v>
      </c>
      <c r="D587" s="702" t="s">
        <v>9533</v>
      </c>
      <c r="E587" s="703">
        <v>48.6</v>
      </c>
      <c r="F587" s="703">
        <v>180</v>
      </c>
      <c r="G587" s="704"/>
      <c r="H587" s="705"/>
      <c r="I587" s="613"/>
      <c r="J587" s="637" t="s">
        <v>7832</v>
      </c>
      <c r="K587" s="611" t="s">
        <v>7833</v>
      </c>
      <c r="L587" s="110"/>
      <c r="M587" s="110"/>
    </row>
    <row r="588" spans="1:13" ht="45">
      <c r="A588" s="689">
        <v>576</v>
      </c>
      <c r="B588" s="631" t="s">
        <v>9534</v>
      </c>
      <c r="C588" s="631" t="s">
        <v>9494</v>
      </c>
      <c r="D588" s="702" t="s">
        <v>9535</v>
      </c>
      <c r="E588" s="703">
        <v>1285</v>
      </c>
      <c r="F588" s="703">
        <v>100</v>
      </c>
      <c r="G588" s="704"/>
      <c r="H588" s="705"/>
      <c r="I588" s="613"/>
      <c r="J588" s="637" t="s">
        <v>9536</v>
      </c>
      <c r="K588" s="611" t="s">
        <v>9537</v>
      </c>
      <c r="L588" s="110"/>
      <c r="M588" s="110"/>
    </row>
    <row r="589" spans="1:13" ht="30">
      <c r="A589" s="689">
        <v>577</v>
      </c>
      <c r="B589" s="631"/>
      <c r="C589" s="631" t="s">
        <v>9494</v>
      </c>
      <c r="D589" s="702" t="s">
        <v>9495</v>
      </c>
      <c r="E589" s="703"/>
      <c r="F589" s="703">
        <v>300</v>
      </c>
      <c r="G589" s="704"/>
      <c r="H589" s="705"/>
      <c r="I589" s="613"/>
      <c r="J589" s="637" t="s">
        <v>9538</v>
      </c>
      <c r="K589" s="611" t="s">
        <v>9539</v>
      </c>
      <c r="L589" s="110"/>
      <c r="M589" s="110"/>
    </row>
    <row r="590" spans="1:13" ht="30">
      <c r="A590" s="689">
        <v>578</v>
      </c>
      <c r="B590" s="631"/>
      <c r="C590" s="631" t="s">
        <v>9494</v>
      </c>
      <c r="D590" s="702" t="s">
        <v>9495</v>
      </c>
      <c r="E590" s="703"/>
      <c r="F590" s="703">
        <v>500</v>
      </c>
      <c r="G590" s="704"/>
      <c r="H590" s="705"/>
      <c r="I590" s="613"/>
      <c r="J590" s="637" t="s">
        <v>9540</v>
      </c>
      <c r="K590" s="611" t="s">
        <v>9541</v>
      </c>
      <c r="L590" s="110"/>
      <c r="M590" s="110"/>
    </row>
    <row r="591" spans="1:13" ht="45">
      <c r="A591" s="689">
        <v>579</v>
      </c>
      <c r="B591" s="631" t="s">
        <v>9542</v>
      </c>
      <c r="C591" s="631" t="s">
        <v>9494</v>
      </c>
      <c r="D591" s="702" t="s">
        <v>9495</v>
      </c>
      <c r="E591" s="703">
        <v>250</v>
      </c>
      <c r="F591" s="703">
        <v>300</v>
      </c>
      <c r="G591" s="704"/>
      <c r="H591" s="705"/>
      <c r="I591" s="613"/>
      <c r="J591" s="637" t="s">
        <v>9543</v>
      </c>
      <c r="K591" s="611" t="s">
        <v>9544</v>
      </c>
      <c r="L591" s="110"/>
      <c r="M591" s="110"/>
    </row>
    <row r="592" spans="1:13" ht="60">
      <c r="A592" s="689">
        <v>580</v>
      </c>
      <c r="B592" s="631" t="s">
        <v>9545</v>
      </c>
      <c r="C592" s="631" t="s">
        <v>9494</v>
      </c>
      <c r="D592" s="702" t="s">
        <v>9495</v>
      </c>
      <c r="E592" s="703">
        <v>959.57</v>
      </c>
      <c r="F592" s="703">
        <v>150</v>
      </c>
      <c r="G592" s="704"/>
      <c r="H592" s="705"/>
      <c r="I592" s="613"/>
      <c r="J592" s="637" t="s">
        <v>9546</v>
      </c>
      <c r="K592" s="611" t="s">
        <v>9547</v>
      </c>
      <c r="L592" s="110"/>
      <c r="M592" s="110"/>
    </row>
    <row r="593" spans="1:13" ht="45">
      <c r="A593" s="689">
        <v>581</v>
      </c>
      <c r="B593" s="631" t="s">
        <v>9548</v>
      </c>
      <c r="C593" s="631" t="s">
        <v>9494</v>
      </c>
      <c r="D593" s="702" t="s">
        <v>9495</v>
      </c>
      <c r="E593" s="703">
        <v>627.70000000000005</v>
      </c>
      <c r="F593" s="703">
        <v>300</v>
      </c>
      <c r="G593" s="704"/>
      <c r="H593" s="705"/>
      <c r="I593" s="613"/>
      <c r="J593" s="637" t="s">
        <v>9549</v>
      </c>
      <c r="K593" s="611" t="s">
        <v>9550</v>
      </c>
      <c r="L593" s="110"/>
      <c r="M593" s="110"/>
    </row>
    <row r="594" spans="1:13" ht="30">
      <c r="A594" s="689">
        <v>582</v>
      </c>
      <c r="B594" s="631" t="s">
        <v>9551</v>
      </c>
      <c r="C594" s="631" t="s">
        <v>9494</v>
      </c>
      <c r="D594" s="702" t="s">
        <v>9495</v>
      </c>
      <c r="E594" s="703">
        <v>318</v>
      </c>
      <c r="F594" s="703">
        <v>231.95</v>
      </c>
      <c r="G594" s="704"/>
      <c r="H594" s="705"/>
      <c r="I594" s="613"/>
      <c r="J594" s="637" t="s">
        <v>9552</v>
      </c>
      <c r="K594" s="611" t="s">
        <v>9553</v>
      </c>
      <c r="L594" s="110"/>
      <c r="M594" s="110"/>
    </row>
    <row r="595" spans="1:13" ht="30">
      <c r="A595" s="689">
        <v>583</v>
      </c>
      <c r="B595" s="631" t="s">
        <v>9554</v>
      </c>
      <c r="C595" s="631" t="s">
        <v>9494</v>
      </c>
      <c r="D595" s="702" t="s">
        <v>9555</v>
      </c>
      <c r="E595" s="703">
        <v>50</v>
      </c>
      <c r="F595" s="703">
        <v>800</v>
      </c>
      <c r="G595" s="704"/>
      <c r="H595" s="705"/>
      <c r="I595" s="613"/>
      <c r="J595" s="637" t="s">
        <v>9556</v>
      </c>
      <c r="K595" s="611" t="s">
        <v>9557</v>
      </c>
      <c r="L595" s="110"/>
      <c r="M595" s="110"/>
    </row>
    <row r="596" spans="1:13" ht="60">
      <c r="A596" s="689">
        <v>584</v>
      </c>
      <c r="B596" s="631" t="s">
        <v>9545</v>
      </c>
      <c r="C596" s="631" t="s">
        <v>9494</v>
      </c>
      <c r="D596" s="702" t="s">
        <v>9495</v>
      </c>
      <c r="E596" s="703">
        <v>959.57</v>
      </c>
      <c r="F596" s="703">
        <v>150</v>
      </c>
      <c r="G596" s="704"/>
      <c r="H596" s="705"/>
      <c r="I596" s="613"/>
      <c r="J596" s="637" t="s">
        <v>9546</v>
      </c>
      <c r="K596" s="611" t="s">
        <v>9547</v>
      </c>
      <c r="L596" s="110"/>
      <c r="M596" s="110"/>
    </row>
    <row r="597" spans="1:13" ht="30">
      <c r="A597" s="689">
        <v>585</v>
      </c>
      <c r="B597" s="631" t="s">
        <v>9558</v>
      </c>
      <c r="C597" s="631" t="s">
        <v>9494</v>
      </c>
      <c r="D597" s="702" t="s">
        <v>9555</v>
      </c>
      <c r="E597" s="703">
        <v>300</v>
      </c>
      <c r="F597" s="703">
        <v>1250</v>
      </c>
      <c r="G597" s="704"/>
      <c r="H597" s="705"/>
      <c r="I597" s="613"/>
      <c r="J597" s="637" t="s">
        <v>9559</v>
      </c>
      <c r="K597" s="611" t="s">
        <v>9560</v>
      </c>
      <c r="L597" s="110"/>
      <c r="M597" s="110"/>
    </row>
    <row r="598" spans="1:13" ht="45">
      <c r="A598" s="689">
        <v>586</v>
      </c>
      <c r="B598" s="631" t="s">
        <v>9561</v>
      </c>
      <c r="C598" s="631" t="s">
        <v>9494</v>
      </c>
      <c r="D598" s="702" t="s">
        <v>9562</v>
      </c>
      <c r="E598" s="703"/>
      <c r="F598" s="703">
        <v>920</v>
      </c>
      <c r="G598" s="704"/>
      <c r="H598" s="705"/>
      <c r="I598" s="613"/>
      <c r="J598" s="637" t="s">
        <v>9563</v>
      </c>
      <c r="K598" s="611" t="s">
        <v>9564</v>
      </c>
      <c r="L598" s="110"/>
      <c r="M598" s="110"/>
    </row>
    <row r="599" spans="1:13" ht="45">
      <c r="A599" s="689">
        <v>587</v>
      </c>
      <c r="B599" s="631" t="s">
        <v>9565</v>
      </c>
      <c r="C599" s="631" t="s">
        <v>9494</v>
      </c>
      <c r="D599" s="702" t="s">
        <v>9495</v>
      </c>
      <c r="E599" s="703">
        <v>321.36</v>
      </c>
      <c r="F599" s="703">
        <v>277.63</v>
      </c>
      <c r="G599" s="704"/>
      <c r="H599" s="705"/>
      <c r="I599" s="613"/>
      <c r="J599" s="637" t="s">
        <v>9566</v>
      </c>
      <c r="K599" s="611" t="s">
        <v>9567</v>
      </c>
      <c r="L599" s="110"/>
      <c r="M599" s="110"/>
    </row>
    <row r="600" spans="1:13" ht="30">
      <c r="A600" s="689">
        <v>588</v>
      </c>
      <c r="B600" s="631" t="s">
        <v>9568</v>
      </c>
      <c r="C600" s="631" t="s">
        <v>7581</v>
      </c>
      <c r="D600" s="702" t="s">
        <v>9555</v>
      </c>
      <c r="E600" s="703"/>
      <c r="F600" s="703">
        <v>600</v>
      </c>
      <c r="G600" s="704"/>
      <c r="H600" s="705"/>
      <c r="I600" s="613"/>
      <c r="J600" s="637">
        <v>205090890</v>
      </c>
      <c r="K600" s="611" t="s">
        <v>9569</v>
      </c>
      <c r="L600" s="110"/>
      <c r="M600" s="110"/>
    </row>
    <row r="601" spans="1:13" ht="45">
      <c r="A601" s="689">
        <v>589</v>
      </c>
      <c r="B601" s="631" t="s">
        <v>9570</v>
      </c>
      <c r="C601" s="631" t="s">
        <v>7581</v>
      </c>
      <c r="D601" s="702" t="s">
        <v>9495</v>
      </c>
      <c r="E601" s="703">
        <v>3000</v>
      </c>
      <c r="F601" s="703">
        <v>2500</v>
      </c>
      <c r="G601" s="704"/>
      <c r="H601" s="705"/>
      <c r="I601" s="613"/>
      <c r="J601" s="637" t="s">
        <v>9571</v>
      </c>
      <c r="K601" s="611" t="s">
        <v>9572</v>
      </c>
      <c r="L601" s="110"/>
      <c r="M601" s="110"/>
    </row>
    <row r="602" spans="1:13" ht="30">
      <c r="A602" s="689">
        <v>590</v>
      </c>
      <c r="B602" s="631" t="s">
        <v>9573</v>
      </c>
      <c r="C602" s="631" t="s">
        <v>7581</v>
      </c>
      <c r="D602" s="702" t="s">
        <v>9495</v>
      </c>
      <c r="E602" s="703">
        <v>160</v>
      </c>
      <c r="F602" s="703">
        <v>125</v>
      </c>
      <c r="G602" s="704" t="s">
        <v>9574</v>
      </c>
      <c r="H602" s="705" t="s">
        <v>7963</v>
      </c>
      <c r="I602" s="613" t="s">
        <v>9575</v>
      </c>
      <c r="J602" s="637"/>
      <c r="K602" s="611"/>
      <c r="L602" s="110"/>
      <c r="M602" s="110"/>
    </row>
    <row r="603" spans="1:13" ht="30">
      <c r="A603" s="689">
        <v>591</v>
      </c>
      <c r="B603" s="631" t="s">
        <v>9576</v>
      </c>
      <c r="C603" s="631" t="s">
        <v>7581</v>
      </c>
      <c r="D603" s="702" t="s">
        <v>9535</v>
      </c>
      <c r="E603" s="703">
        <v>100</v>
      </c>
      <c r="F603" s="703">
        <v>375</v>
      </c>
      <c r="G603" s="704"/>
      <c r="H603" s="705"/>
      <c r="I603" s="613"/>
      <c r="J603" s="637" t="s">
        <v>9577</v>
      </c>
      <c r="K603" s="611" t="s">
        <v>9578</v>
      </c>
      <c r="L603" s="110"/>
      <c r="M603" s="110"/>
    </row>
    <row r="604" spans="1:13" ht="30">
      <c r="A604" s="689">
        <v>592</v>
      </c>
      <c r="B604" s="631" t="s">
        <v>9579</v>
      </c>
      <c r="C604" s="631" t="s">
        <v>7581</v>
      </c>
      <c r="D604" s="702" t="s">
        <v>9535</v>
      </c>
      <c r="E604" s="703">
        <v>170</v>
      </c>
      <c r="F604" s="703">
        <v>375</v>
      </c>
      <c r="G604" s="704"/>
      <c r="H604" s="705"/>
      <c r="I604" s="613"/>
      <c r="J604" s="637" t="s">
        <v>7801</v>
      </c>
      <c r="K604" s="611" t="s">
        <v>9580</v>
      </c>
      <c r="L604" s="110"/>
      <c r="M604" s="110"/>
    </row>
    <row r="605" spans="1:13" ht="30">
      <c r="A605" s="689">
        <v>593</v>
      </c>
      <c r="B605" s="631" t="s">
        <v>9581</v>
      </c>
      <c r="C605" s="631" t="s">
        <v>7581</v>
      </c>
      <c r="D605" s="702" t="s">
        <v>9555</v>
      </c>
      <c r="E605" s="703">
        <v>150</v>
      </c>
      <c r="F605" s="703">
        <v>1982.4</v>
      </c>
      <c r="G605" s="704"/>
      <c r="H605" s="705"/>
      <c r="I605" s="613"/>
      <c r="J605" s="637" t="s">
        <v>9582</v>
      </c>
      <c r="K605" s="611" t="s">
        <v>9583</v>
      </c>
      <c r="L605" s="110"/>
      <c r="M605" s="110"/>
    </row>
    <row r="606" spans="1:13" ht="30">
      <c r="A606" s="689">
        <v>594</v>
      </c>
      <c r="B606" s="631" t="s">
        <v>9584</v>
      </c>
      <c r="C606" s="631" t="s">
        <v>7581</v>
      </c>
      <c r="D606" s="702" t="s">
        <v>9555</v>
      </c>
      <c r="E606" s="703">
        <v>100</v>
      </c>
      <c r="F606" s="703">
        <v>500</v>
      </c>
      <c r="G606" s="704"/>
      <c r="H606" s="705"/>
      <c r="I606" s="613"/>
      <c r="J606" s="637" t="s">
        <v>9585</v>
      </c>
      <c r="K606" s="611" t="s">
        <v>9586</v>
      </c>
      <c r="L606" s="110"/>
      <c r="M606" s="110"/>
    </row>
    <row r="607" spans="1:13" ht="30">
      <c r="A607" s="689">
        <v>595</v>
      </c>
      <c r="B607" s="631" t="s">
        <v>9587</v>
      </c>
      <c r="C607" s="631" t="s">
        <v>7581</v>
      </c>
      <c r="D607" s="702" t="s">
        <v>9535</v>
      </c>
      <c r="E607" s="703">
        <v>70</v>
      </c>
      <c r="F607" s="703">
        <v>750</v>
      </c>
      <c r="G607" s="704"/>
      <c r="H607" s="705"/>
      <c r="I607" s="613"/>
      <c r="J607" s="637" t="s">
        <v>9588</v>
      </c>
      <c r="K607" s="611" t="s">
        <v>9589</v>
      </c>
      <c r="L607" s="110"/>
      <c r="M607" s="110"/>
    </row>
    <row r="608" spans="1:13" ht="30">
      <c r="A608" s="689">
        <v>596</v>
      </c>
      <c r="B608" s="631" t="s">
        <v>9590</v>
      </c>
      <c r="C608" s="631" t="s">
        <v>7581</v>
      </c>
      <c r="D608" s="702" t="s">
        <v>9535</v>
      </c>
      <c r="E608" s="703">
        <v>76.400000000000006</v>
      </c>
      <c r="F608" s="703">
        <v>375</v>
      </c>
      <c r="G608" s="704"/>
      <c r="H608" s="705"/>
      <c r="I608" s="613"/>
      <c r="J608" s="637" t="s">
        <v>9591</v>
      </c>
      <c r="K608" s="611" t="s">
        <v>9592</v>
      </c>
      <c r="L608" s="110"/>
      <c r="M608" s="110"/>
    </row>
    <row r="609" spans="1:13" ht="45">
      <c r="A609" s="689">
        <v>597</v>
      </c>
      <c r="B609" s="631" t="s">
        <v>9593</v>
      </c>
      <c r="C609" s="631" t="s">
        <v>7581</v>
      </c>
      <c r="D609" s="702" t="s">
        <v>9524</v>
      </c>
      <c r="E609" s="703">
        <v>191.36</v>
      </c>
      <c r="F609" s="703">
        <v>555.27</v>
      </c>
      <c r="G609" s="704"/>
      <c r="H609" s="705"/>
      <c r="I609" s="613"/>
      <c r="J609" s="637" t="s">
        <v>9566</v>
      </c>
      <c r="K609" s="611" t="s">
        <v>9567</v>
      </c>
      <c r="L609" s="110"/>
      <c r="M609" s="110"/>
    </row>
    <row r="610" spans="1:13" ht="30">
      <c r="A610" s="689">
        <v>598</v>
      </c>
      <c r="B610" s="631" t="s">
        <v>9594</v>
      </c>
      <c r="C610" s="631" t="s">
        <v>7581</v>
      </c>
      <c r="D610" s="702" t="s">
        <v>9524</v>
      </c>
      <c r="E610" s="703">
        <v>300</v>
      </c>
      <c r="F610" s="703">
        <v>300</v>
      </c>
      <c r="G610" s="704"/>
      <c r="H610" s="705"/>
      <c r="I610" s="613"/>
      <c r="J610" s="637" t="s">
        <v>9595</v>
      </c>
      <c r="K610" s="611" t="s">
        <v>9596</v>
      </c>
      <c r="L610" s="110"/>
      <c r="M610" s="110"/>
    </row>
    <row r="611" spans="1:13" ht="60">
      <c r="A611" s="689">
        <v>599</v>
      </c>
      <c r="B611" s="631" t="s">
        <v>9597</v>
      </c>
      <c r="C611" s="631" t="s">
        <v>7581</v>
      </c>
      <c r="D611" s="702" t="s">
        <v>9524</v>
      </c>
      <c r="E611" s="703">
        <v>51</v>
      </c>
      <c r="F611" s="703">
        <v>400</v>
      </c>
      <c r="G611" s="704"/>
      <c r="H611" s="705"/>
      <c r="I611" s="613"/>
      <c r="J611" s="637" t="s">
        <v>9598</v>
      </c>
      <c r="K611" s="611" t="s">
        <v>9599</v>
      </c>
      <c r="L611" s="110"/>
      <c r="M611" s="110"/>
    </row>
    <row r="612" spans="1:13" ht="30">
      <c r="A612" s="689">
        <v>600</v>
      </c>
      <c r="B612" s="631" t="s">
        <v>9600</v>
      </c>
      <c r="C612" s="631" t="s">
        <v>7581</v>
      </c>
      <c r="D612" s="702" t="s">
        <v>9555</v>
      </c>
      <c r="E612" s="703">
        <v>574.4</v>
      </c>
      <c r="F612" s="703">
        <v>1200</v>
      </c>
      <c r="G612" s="704"/>
      <c r="H612" s="705"/>
      <c r="I612" s="613"/>
      <c r="J612" s="637" t="s">
        <v>9601</v>
      </c>
      <c r="K612" s="611" t="s">
        <v>9602</v>
      </c>
      <c r="L612" s="110"/>
      <c r="M612" s="110"/>
    </row>
    <row r="613" spans="1:13" ht="45">
      <c r="A613" s="689">
        <v>601</v>
      </c>
      <c r="B613" s="631" t="s">
        <v>9603</v>
      </c>
      <c r="C613" s="631" t="s">
        <v>7581</v>
      </c>
      <c r="D613" s="702" t="s">
        <v>9524</v>
      </c>
      <c r="E613" s="703">
        <v>360</v>
      </c>
      <c r="F613" s="703">
        <v>250</v>
      </c>
      <c r="G613" s="704"/>
      <c r="H613" s="705"/>
      <c r="I613" s="613"/>
      <c r="J613" s="637" t="s">
        <v>9604</v>
      </c>
      <c r="K613" s="611" t="s">
        <v>9605</v>
      </c>
      <c r="L613" s="110"/>
      <c r="M613" s="110"/>
    </row>
    <row r="614" spans="1:13" ht="30">
      <c r="A614" s="689">
        <v>602</v>
      </c>
      <c r="B614" s="631" t="s">
        <v>9606</v>
      </c>
      <c r="C614" s="631" t="s">
        <v>7581</v>
      </c>
      <c r="D614" s="702" t="s">
        <v>9524</v>
      </c>
      <c r="E614" s="703">
        <v>260</v>
      </c>
      <c r="F614" s="703">
        <v>200</v>
      </c>
      <c r="G614" s="704"/>
      <c r="H614" s="705"/>
      <c r="I614" s="613"/>
      <c r="J614" s="637" t="s">
        <v>9607</v>
      </c>
      <c r="K614" s="611" t="s">
        <v>9608</v>
      </c>
      <c r="L614" s="110"/>
      <c r="M614" s="110"/>
    </row>
    <row r="615" spans="1:13" ht="30">
      <c r="A615" s="689">
        <v>603</v>
      </c>
      <c r="B615" s="631" t="s">
        <v>9609</v>
      </c>
      <c r="C615" s="631" t="s">
        <v>7581</v>
      </c>
      <c r="D615" s="702" t="s">
        <v>9524</v>
      </c>
      <c r="E615" s="703">
        <v>200</v>
      </c>
      <c r="F615" s="703">
        <v>200</v>
      </c>
      <c r="G615" s="704"/>
      <c r="H615" s="705"/>
      <c r="I615" s="613"/>
      <c r="J615" s="637" t="s">
        <v>9610</v>
      </c>
      <c r="K615" s="611" t="s">
        <v>9611</v>
      </c>
      <c r="L615" s="110"/>
      <c r="M615" s="110"/>
    </row>
    <row r="616" spans="1:13" ht="30">
      <c r="A616" s="689">
        <v>604</v>
      </c>
      <c r="B616" s="631" t="s">
        <v>9612</v>
      </c>
      <c r="C616" s="631" t="s">
        <v>7581</v>
      </c>
      <c r="D616" s="702" t="s">
        <v>9524</v>
      </c>
      <c r="E616" s="703">
        <v>120</v>
      </c>
      <c r="F616" s="703">
        <v>400</v>
      </c>
      <c r="G616" s="704"/>
      <c r="H616" s="705"/>
      <c r="I616" s="613"/>
      <c r="J616" s="637" t="s">
        <v>9613</v>
      </c>
      <c r="K616" s="611" t="s">
        <v>9614</v>
      </c>
      <c r="L616" s="110"/>
      <c r="M616" s="110"/>
    </row>
    <row r="617" spans="1:13" ht="30">
      <c r="A617" s="689">
        <v>605</v>
      </c>
      <c r="B617" s="631" t="s">
        <v>9615</v>
      </c>
      <c r="C617" s="631" t="s">
        <v>7581</v>
      </c>
      <c r="D617" s="702" t="s">
        <v>9524</v>
      </c>
      <c r="E617" s="703">
        <v>90</v>
      </c>
      <c r="F617" s="703">
        <v>400</v>
      </c>
      <c r="G617" s="704"/>
      <c r="H617" s="705"/>
      <c r="I617" s="613"/>
      <c r="J617" s="637" t="s">
        <v>9559</v>
      </c>
      <c r="K617" s="611" t="s">
        <v>9616</v>
      </c>
      <c r="L617" s="110"/>
      <c r="M617" s="110"/>
    </row>
    <row r="618" spans="1:13" ht="30">
      <c r="A618" s="689">
        <v>606</v>
      </c>
      <c r="B618" s="631" t="s">
        <v>9617</v>
      </c>
      <c r="C618" s="631" t="s">
        <v>7581</v>
      </c>
      <c r="D618" s="702" t="s">
        <v>9555</v>
      </c>
      <c r="E618" s="703">
        <v>200</v>
      </c>
      <c r="F618" s="703">
        <v>400</v>
      </c>
      <c r="G618" s="704"/>
      <c r="H618" s="705"/>
      <c r="I618" s="613"/>
      <c r="J618" s="637" t="s">
        <v>9618</v>
      </c>
      <c r="K618" s="611" t="s">
        <v>9619</v>
      </c>
      <c r="L618" s="110"/>
      <c r="M618" s="110"/>
    </row>
    <row r="619" spans="1:13" ht="30">
      <c r="A619" s="689">
        <v>607</v>
      </c>
      <c r="B619" s="631" t="s">
        <v>9620</v>
      </c>
      <c r="C619" s="631" t="s">
        <v>7581</v>
      </c>
      <c r="D619" s="702" t="s">
        <v>9524</v>
      </c>
      <c r="E619" s="703">
        <v>200</v>
      </c>
      <c r="F619" s="703">
        <v>200</v>
      </c>
      <c r="G619" s="704"/>
      <c r="H619" s="705"/>
      <c r="I619" s="613"/>
      <c r="J619" s="637" t="s">
        <v>9621</v>
      </c>
      <c r="K619" s="611" t="s">
        <v>9622</v>
      </c>
      <c r="L619" s="110"/>
      <c r="M619" s="110"/>
    </row>
    <row r="620" spans="1:13" ht="30">
      <c r="A620" s="689">
        <v>608</v>
      </c>
      <c r="B620" s="631" t="s">
        <v>9623</v>
      </c>
      <c r="C620" s="631" t="s">
        <v>7581</v>
      </c>
      <c r="D620" s="702" t="s">
        <v>9524</v>
      </c>
      <c r="E620" s="703">
        <v>150</v>
      </c>
      <c r="F620" s="703">
        <v>125</v>
      </c>
      <c r="G620" s="704"/>
      <c r="H620" s="705"/>
      <c r="I620" s="613"/>
      <c r="J620" s="637">
        <v>204858859</v>
      </c>
      <c r="K620" s="611" t="s">
        <v>9624</v>
      </c>
      <c r="L620" s="110"/>
      <c r="M620" s="110"/>
    </row>
    <row r="621" spans="1:13" ht="30">
      <c r="A621" s="689">
        <v>609</v>
      </c>
      <c r="B621" s="631" t="s">
        <v>9625</v>
      </c>
      <c r="C621" s="631" t="s">
        <v>7581</v>
      </c>
      <c r="D621" s="702" t="s">
        <v>9524</v>
      </c>
      <c r="E621" s="703">
        <v>240</v>
      </c>
      <c r="F621" s="703">
        <v>375</v>
      </c>
      <c r="G621" s="704"/>
      <c r="H621" s="705"/>
      <c r="I621" s="613"/>
      <c r="J621" s="637">
        <v>221299333</v>
      </c>
      <c r="K621" s="611" t="s">
        <v>9626</v>
      </c>
      <c r="L621" s="110"/>
      <c r="M621" s="110"/>
    </row>
    <row r="622" spans="1:13" ht="45">
      <c r="A622" s="689">
        <v>610</v>
      </c>
      <c r="B622" s="631" t="s">
        <v>9627</v>
      </c>
      <c r="C622" s="631" t="s">
        <v>7581</v>
      </c>
      <c r="D622" s="702" t="s">
        <v>9495</v>
      </c>
      <c r="E622" s="703">
        <v>120</v>
      </c>
      <c r="F622" s="703">
        <v>150</v>
      </c>
      <c r="G622" s="704"/>
      <c r="H622" s="705"/>
      <c r="I622" s="613"/>
      <c r="J622" s="637" t="s">
        <v>9628</v>
      </c>
      <c r="K622" s="611" t="s">
        <v>9629</v>
      </c>
      <c r="L622" s="110"/>
      <c r="M622" s="110"/>
    </row>
    <row r="623" spans="1:13" ht="30">
      <c r="A623" s="689">
        <v>611</v>
      </c>
      <c r="B623" s="631" t="s">
        <v>9630</v>
      </c>
      <c r="C623" s="631" t="s">
        <v>7581</v>
      </c>
      <c r="D623" s="702" t="s">
        <v>9524</v>
      </c>
      <c r="E623" s="703">
        <v>192.6</v>
      </c>
      <c r="F623" s="703">
        <v>250</v>
      </c>
      <c r="G623" s="704">
        <v>26001001987</v>
      </c>
      <c r="H623" s="705" t="s">
        <v>6707</v>
      </c>
      <c r="I623" s="613" t="s">
        <v>9631</v>
      </c>
      <c r="J623" s="637"/>
      <c r="K623" s="611"/>
      <c r="L623" s="110"/>
      <c r="M623" s="110"/>
    </row>
    <row r="624" spans="1:13" ht="30">
      <c r="A624" s="689">
        <v>612</v>
      </c>
      <c r="B624" s="631" t="s">
        <v>9632</v>
      </c>
      <c r="C624" s="631" t="s">
        <v>7581</v>
      </c>
      <c r="D624" s="702" t="s">
        <v>9524</v>
      </c>
      <c r="E624" s="703"/>
      <c r="F624" s="703">
        <v>200</v>
      </c>
      <c r="G624" s="704"/>
      <c r="H624" s="705"/>
      <c r="I624" s="613"/>
      <c r="J624" s="637" t="s">
        <v>9633</v>
      </c>
      <c r="K624" s="611" t="s">
        <v>9634</v>
      </c>
      <c r="L624" s="110"/>
      <c r="M624" s="110"/>
    </row>
    <row r="625" spans="1:13" ht="30">
      <c r="A625" s="689">
        <v>613</v>
      </c>
      <c r="B625" s="631" t="s">
        <v>9635</v>
      </c>
      <c r="C625" s="631" t="s">
        <v>7581</v>
      </c>
      <c r="D625" s="702" t="s">
        <v>9524</v>
      </c>
      <c r="E625" s="703"/>
      <c r="F625" s="703">
        <v>200</v>
      </c>
      <c r="G625" s="704"/>
      <c r="H625" s="705"/>
      <c r="I625" s="613"/>
      <c r="J625" s="637" t="s">
        <v>9636</v>
      </c>
      <c r="K625" s="611" t="s">
        <v>9637</v>
      </c>
      <c r="L625" s="110"/>
      <c r="M625" s="110"/>
    </row>
    <row r="626" spans="1:13" ht="60">
      <c r="A626" s="689">
        <v>614</v>
      </c>
      <c r="B626" s="631" t="s">
        <v>7830</v>
      </c>
      <c r="C626" s="631" t="s">
        <v>7581</v>
      </c>
      <c r="D626" s="702" t="s">
        <v>9533</v>
      </c>
      <c r="E626" s="703">
        <v>48.6</v>
      </c>
      <c r="F626" s="703">
        <v>180</v>
      </c>
      <c r="G626" s="704"/>
      <c r="H626" s="705"/>
      <c r="I626" s="613"/>
      <c r="J626" s="637" t="s">
        <v>7832</v>
      </c>
      <c r="K626" s="611" t="s">
        <v>7833</v>
      </c>
      <c r="L626" s="110"/>
      <c r="M626" s="110"/>
    </row>
    <row r="627" spans="1:13" ht="30">
      <c r="A627" s="689">
        <v>615</v>
      </c>
      <c r="B627" s="631" t="s">
        <v>9638</v>
      </c>
      <c r="C627" s="631" t="s">
        <v>9494</v>
      </c>
      <c r="D627" s="702" t="s">
        <v>9495</v>
      </c>
      <c r="E627" s="703">
        <v>500</v>
      </c>
      <c r="F627" s="703">
        <v>400</v>
      </c>
      <c r="G627" s="704"/>
      <c r="H627" s="705"/>
      <c r="I627" s="613"/>
      <c r="J627" s="637" t="s">
        <v>9639</v>
      </c>
      <c r="K627" s="611" t="s">
        <v>9640</v>
      </c>
      <c r="L627" s="110"/>
      <c r="M627" s="110"/>
    </row>
    <row r="628" spans="1:13" ht="60">
      <c r="A628" s="689">
        <v>616</v>
      </c>
      <c r="B628" s="631" t="s">
        <v>9545</v>
      </c>
      <c r="C628" s="631" t="s">
        <v>9494</v>
      </c>
      <c r="D628" s="702" t="s">
        <v>9495</v>
      </c>
      <c r="E628" s="703">
        <v>959.57</v>
      </c>
      <c r="F628" s="703">
        <v>300</v>
      </c>
      <c r="G628" s="704"/>
      <c r="H628" s="705"/>
      <c r="I628" s="613"/>
      <c r="J628" s="637" t="s">
        <v>9546</v>
      </c>
      <c r="K628" s="611" t="s">
        <v>9547</v>
      </c>
      <c r="L628" s="110"/>
      <c r="M628" s="110"/>
    </row>
    <row r="629" spans="1:13" ht="60">
      <c r="A629" s="689">
        <v>617</v>
      </c>
      <c r="B629" s="631" t="s">
        <v>9641</v>
      </c>
      <c r="C629" s="631" t="s">
        <v>9494</v>
      </c>
      <c r="D629" s="702" t="s">
        <v>9533</v>
      </c>
      <c r="E629" s="703">
        <v>1200</v>
      </c>
      <c r="F629" s="703">
        <v>330</v>
      </c>
      <c r="G629" s="704"/>
      <c r="H629" s="705"/>
      <c r="I629" s="613"/>
      <c r="J629" s="637" t="s">
        <v>9642</v>
      </c>
      <c r="K629" s="611" t="s">
        <v>9643</v>
      </c>
      <c r="L629" s="110"/>
      <c r="M629" s="110"/>
    </row>
    <row r="630" spans="1:13" ht="30">
      <c r="A630" s="689">
        <v>618</v>
      </c>
      <c r="B630" s="631" t="s">
        <v>9644</v>
      </c>
      <c r="C630" s="631" t="s">
        <v>9494</v>
      </c>
      <c r="D630" s="702" t="s">
        <v>9495</v>
      </c>
      <c r="E630" s="703">
        <v>316</v>
      </c>
      <c r="F630" s="703">
        <v>150</v>
      </c>
      <c r="G630" s="704"/>
      <c r="H630" s="705"/>
      <c r="I630" s="613"/>
      <c r="J630" s="637" t="s">
        <v>9645</v>
      </c>
      <c r="K630" s="611" t="s">
        <v>9646</v>
      </c>
      <c r="L630" s="110"/>
      <c r="M630" s="110"/>
    </row>
    <row r="631" spans="1:13" ht="45">
      <c r="A631" s="689">
        <v>619</v>
      </c>
      <c r="B631" s="631" t="s">
        <v>9647</v>
      </c>
      <c r="C631" s="631" t="s">
        <v>9494</v>
      </c>
      <c r="D631" s="702" t="s">
        <v>9495</v>
      </c>
      <c r="E631" s="703">
        <v>664</v>
      </c>
      <c r="F631" s="703">
        <v>100</v>
      </c>
      <c r="G631" s="704"/>
      <c r="H631" s="705"/>
      <c r="I631" s="613"/>
      <c r="J631" s="637" t="s">
        <v>9648</v>
      </c>
      <c r="K631" s="611" t="s">
        <v>9649</v>
      </c>
      <c r="L631" s="110"/>
      <c r="M631" s="110"/>
    </row>
    <row r="632" spans="1:13" ht="45">
      <c r="A632" s="689">
        <v>620</v>
      </c>
      <c r="B632" s="631" t="s">
        <v>9650</v>
      </c>
      <c r="C632" s="631" t="s">
        <v>9494</v>
      </c>
      <c r="D632" s="702" t="s">
        <v>9495</v>
      </c>
      <c r="E632" s="703">
        <v>2000</v>
      </c>
      <c r="F632" s="703">
        <v>3350</v>
      </c>
      <c r="G632" s="704"/>
      <c r="H632" s="705"/>
      <c r="I632" s="613"/>
      <c r="J632" s="637" t="s">
        <v>9651</v>
      </c>
      <c r="K632" s="611" t="s">
        <v>9652</v>
      </c>
      <c r="L632" s="110"/>
      <c r="M632" s="110"/>
    </row>
    <row r="633" spans="1:13" ht="45">
      <c r="A633" s="689">
        <v>621</v>
      </c>
      <c r="B633" s="631" t="s">
        <v>9653</v>
      </c>
      <c r="C633" s="631" t="s">
        <v>9494</v>
      </c>
      <c r="D633" s="702" t="s">
        <v>9495</v>
      </c>
      <c r="E633" s="703">
        <v>60</v>
      </c>
      <c r="F633" s="703">
        <v>100</v>
      </c>
      <c r="G633" s="704"/>
      <c r="H633" s="705"/>
      <c r="I633" s="613"/>
      <c r="J633" s="637" t="s">
        <v>9654</v>
      </c>
      <c r="K633" s="611" t="s">
        <v>9655</v>
      </c>
      <c r="L633" s="110"/>
      <c r="M633" s="110"/>
    </row>
    <row r="634" spans="1:13" ht="45">
      <c r="A634" s="689">
        <v>622</v>
      </c>
      <c r="B634" s="631" t="s">
        <v>9542</v>
      </c>
      <c r="C634" s="631" t="s">
        <v>9494</v>
      </c>
      <c r="D634" s="702" t="s">
        <v>9495</v>
      </c>
      <c r="E634" s="703">
        <v>250</v>
      </c>
      <c r="F634" s="703">
        <v>300</v>
      </c>
      <c r="G634" s="704"/>
      <c r="H634" s="705"/>
      <c r="I634" s="613"/>
      <c r="J634" s="637" t="s">
        <v>9543</v>
      </c>
      <c r="K634" s="611" t="s">
        <v>9544</v>
      </c>
      <c r="L634" s="110"/>
      <c r="M634" s="110"/>
    </row>
    <row r="635" spans="1:13" ht="30">
      <c r="A635" s="689">
        <v>623</v>
      </c>
      <c r="B635" s="631" t="s">
        <v>9656</v>
      </c>
      <c r="C635" s="631" t="s">
        <v>7581</v>
      </c>
      <c r="D635" s="702" t="s">
        <v>7698</v>
      </c>
      <c r="E635" s="703">
        <v>242.09</v>
      </c>
      <c r="F635" s="703">
        <v>3414.97</v>
      </c>
      <c r="G635" s="704"/>
      <c r="H635" s="705"/>
      <c r="I635" s="613"/>
      <c r="J635" s="637" t="s">
        <v>9657</v>
      </c>
      <c r="K635" s="611" t="s">
        <v>9658</v>
      </c>
      <c r="L635" s="110"/>
      <c r="M635" s="110"/>
    </row>
    <row r="636" spans="1:13" ht="30">
      <c r="A636" s="689">
        <v>624</v>
      </c>
      <c r="B636" s="631" t="s">
        <v>9659</v>
      </c>
      <c r="C636" s="631" t="s">
        <v>7581</v>
      </c>
      <c r="D636" s="702" t="s">
        <v>7698</v>
      </c>
      <c r="E636" s="703">
        <v>270</v>
      </c>
      <c r="F636" s="703">
        <v>2000</v>
      </c>
      <c r="G636" s="704"/>
      <c r="H636" s="705"/>
      <c r="I636" s="613"/>
      <c r="J636" s="637" t="s">
        <v>9660</v>
      </c>
      <c r="K636" s="611" t="s">
        <v>9661</v>
      </c>
      <c r="L636" s="110"/>
      <c r="M636" s="110"/>
    </row>
    <row r="637" spans="1:13" ht="30">
      <c r="A637" s="689">
        <v>625</v>
      </c>
      <c r="B637" s="706" t="s">
        <v>9662</v>
      </c>
      <c r="C637" s="631" t="s">
        <v>7581</v>
      </c>
      <c r="D637" s="631" t="s">
        <v>9519</v>
      </c>
      <c r="E637" s="631">
        <v>60</v>
      </c>
      <c r="F637" s="631">
        <v>350</v>
      </c>
      <c r="G637" s="704" t="s">
        <v>9663</v>
      </c>
      <c r="H637" s="710" t="s">
        <v>3730</v>
      </c>
      <c r="I637" s="705" t="s">
        <v>9664</v>
      </c>
      <c r="J637" s="637"/>
      <c r="K637" s="611"/>
      <c r="L637" s="110"/>
      <c r="M637" s="110"/>
    </row>
    <row r="638" spans="1:13" ht="30">
      <c r="A638" s="689">
        <v>626</v>
      </c>
      <c r="B638" s="706" t="s">
        <v>9665</v>
      </c>
      <c r="C638" s="631" t="s">
        <v>7581</v>
      </c>
      <c r="D638" s="631" t="s">
        <v>9519</v>
      </c>
      <c r="E638" s="631">
        <v>45.42</v>
      </c>
      <c r="F638" s="631">
        <v>150</v>
      </c>
      <c r="G638" s="704" t="s">
        <v>8210</v>
      </c>
      <c r="H638" s="710" t="s">
        <v>8211</v>
      </c>
      <c r="I638" s="705" t="s">
        <v>8212</v>
      </c>
      <c r="J638" s="637"/>
      <c r="K638" s="611"/>
      <c r="L638" s="110"/>
      <c r="M638" s="110"/>
    </row>
    <row r="639" spans="1:13" ht="45">
      <c r="A639" s="689">
        <v>627</v>
      </c>
      <c r="B639" s="706" t="s">
        <v>9666</v>
      </c>
      <c r="C639" s="631" t="s">
        <v>9494</v>
      </c>
      <c r="D639" s="631" t="s">
        <v>9495</v>
      </c>
      <c r="E639" s="631">
        <v>738.7</v>
      </c>
      <c r="F639" s="631">
        <v>217</v>
      </c>
      <c r="G639" s="704"/>
      <c r="H639" s="710"/>
      <c r="I639" s="705"/>
      <c r="J639" s="688">
        <v>226573204</v>
      </c>
      <c r="K639" s="711" t="s">
        <v>9667</v>
      </c>
      <c r="L639" s="110"/>
      <c r="M639" s="110"/>
    </row>
    <row r="640" spans="1:13" ht="30">
      <c r="A640" s="689">
        <v>628</v>
      </c>
      <c r="B640" s="706" t="s">
        <v>9668</v>
      </c>
      <c r="C640" s="631" t="s">
        <v>9494</v>
      </c>
      <c r="D640" s="631" t="s">
        <v>9495</v>
      </c>
      <c r="E640" s="631">
        <v>586</v>
      </c>
      <c r="F640" s="631">
        <v>200</v>
      </c>
      <c r="G640" s="704"/>
      <c r="H640" s="710"/>
      <c r="I640" s="705"/>
      <c r="J640" s="637" t="s">
        <v>9669</v>
      </c>
      <c r="K640" s="711" t="s">
        <v>9670</v>
      </c>
      <c r="L640" s="110"/>
      <c r="M640" s="110"/>
    </row>
    <row r="641" spans="1:13" ht="45">
      <c r="A641" s="689">
        <v>629</v>
      </c>
      <c r="B641" s="706" t="s">
        <v>9671</v>
      </c>
      <c r="C641" s="631" t="s">
        <v>9494</v>
      </c>
      <c r="D641" s="631" t="s">
        <v>9495</v>
      </c>
      <c r="E641" s="631">
        <v>1565</v>
      </c>
      <c r="F641" s="631">
        <v>800</v>
      </c>
      <c r="G641" s="704"/>
      <c r="H641" s="710"/>
      <c r="I641" s="705"/>
      <c r="J641" s="637" t="s">
        <v>9672</v>
      </c>
      <c r="K641" s="711" t="s">
        <v>9673</v>
      </c>
      <c r="L641" s="110"/>
      <c r="M641" s="110"/>
    </row>
    <row r="642" spans="1:13" ht="30">
      <c r="A642" s="689">
        <v>630</v>
      </c>
      <c r="B642" s="706" t="s">
        <v>9674</v>
      </c>
      <c r="C642" s="631" t="s">
        <v>9494</v>
      </c>
      <c r="D642" s="631" t="s">
        <v>9495</v>
      </c>
      <c r="E642" s="631">
        <v>83.8</v>
      </c>
      <c r="F642" s="631">
        <v>125.7</v>
      </c>
      <c r="G642" s="704"/>
      <c r="H642" s="710"/>
      <c r="I642" s="705"/>
      <c r="J642" s="637" t="s">
        <v>9675</v>
      </c>
      <c r="K642" s="711" t="s">
        <v>9676</v>
      </c>
      <c r="L642" s="110"/>
      <c r="M642" s="110"/>
    </row>
    <row r="643" spans="1:13" ht="45">
      <c r="A643" s="689">
        <v>631</v>
      </c>
      <c r="B643" s="706" t="s">
        <v>9677</v>
      </c>
      <c r="C643" s="631" t="s">
        <v>9494</v>
      </c>
      <c r="D643" s="631" t="s">
        <v>9495</v>
      </c>
      <c r="E643" s="631">
        <v>1000</v>
      </c>
      <c r="F643" s="631">
        <v>200</v>
      </c>
      <c r="G643" s="704"/>
      <c r="H643" s="710"/>
      <c r="I643" s="705"/>
      <c r="J643" s="637" t="s">
        <v>9678</v>
      </c>
      <c r="K643" s="711" t="s">
        <v>9679</v>
      </c>
      <c r="L643" s="110"/>
      <c r="M643" s="110"/>
    </row>
    <row r="644" spans="1:13" ht="30">
      <c r="A644" s="689">
        <v>632</v>
      </c>
      <c r="B644" s="706" t="s">
        <v>9680</v>
      </c>
      <c r="C644" s="631" t="s">
        <v>9494</v>
      </c>
      <c r="D644" s="631" t="s">
        <v>9495</v>
      </c>
      <c r="E644" s="631">
        <v>400</v>
      </c>
      <c r="F644" s="631">
        <v>130</v>
      </c>
      <c r="G644" s="704"/>
      <c r="H644" s="710"/>
      <c r="I644" s="705"/>
      <c r="J644" s="637" t="s">
        <v>9681</v>
      </c>
      <c r="K644" s="711" t="s">
        <v>9682</v>
      </c>
      <c r="L644" s="110"/>
      <c r="M644" s="110"/>
    </row>
    <row r="645" spans="1:13" ht="75">
      <c r="A645" s="689">
        <v>633</v>
      </c>
      <c r="B645" s="706" t="s">
        <v>9683</v>
      </c>
      <c r="C645" s="631" t="s">
        <v>9494</v>
      </c>
      <c r="D645" s="631" t="s">
        <v>9495</v>
      </c>
      <c r="E645" s="631">
        <v>1580</v>
      </c>
      <c r="F645" s="631">
        <v>2000</v>
      </c>
      <c r="G645" s="704"/>
      <c r="H645" s="710"/>
      <c r="I645" s="705"/>
      <c r="J645" s="637" t="s">
        <v>9684</v>
      </c>
      <c r="K645" s="711" t="s">
        <v>9685</v>
      </c>
      <c r="L645" s="110"/>
      <c r="M645" s="110"/>
    </row>
    <row r="646" spans="1:13" ht="45">
      <c r="A646" s="689">
        <v>634</v>
      </c>
      <c r="B646" s="706" t="s">
        <v>9686</v>
      </c>
      <c r="C646" s="631" t="s">
        <v>9494</v>
      </c>
      <c r="D646" s="631" t="s">
        <v>9495</v>
      </c>
      <c r="E646" s="631">
        <v>355</v>
      </c>
      <c r="F646" s="631">
        <v>1000</v>
      </c>
      <c r="G646" s="704"/>
      <c r="H646" s="710"/>
      <c r="I646" s="705"/>
      <c r="J646" s="637" t="s">
        <v>9687</v>
      </c>
      <c r="K646" s="711" t="s">
        <v>9688</v>
      </c>
      <c r="L646" s="110"/>
      <c r="M646" s="110"/>
    </row>
    <row r="647" spans="1:13" ht="30">
      <c r="A647" s="689">
        <v>635</v>
      </c>
      <c r="B647" s="706" t="s">
        <v>9689</v>
      </c>
      <c r="C647" s="631" t="s">
        <v>9494</v>
      </c>
      <c r="D647" s="631" t="s">
        <v>9495</v>
      </c>
      <c r="E647" s="631">
        <v>900</v>
      </c>
      <c r="F647" s="631">
        <v>500</v>
      </c>
      <c r="G647" s="704"/>
      <c r="H647" s="710"/>
      <c r="I647" s="705"/>
      <c r="J647" s="637" t="s">
        <v>9690</v>
      </c>
      <c r="K647" s="711" t="s">
        <v>9691</v>
      </c>
      <c r="L647" s="110"/>
      <c r="M647" s="110"/>
    </row>
    <row r="648" spans="1:13" ht="45">
      <c r="A648" s="689">
        <v>636</v>
      </c>
      <c r="B648" s="706" t="s">
        <v>9545</v>
      </c>
      <c r="C648" s="631" t="s">
        <v>9494</v>
      </c>
      <c r="D648" s="631" t="s">
        <v>9495</v>
      </c>
      <c r="E648" s="631">
        <v>586</v>
      </c>
      <c r="F648" s="631">
        <v>300</v>
      </c>
      <c r="G648" s="704"/>
      <c r="H648" s="710"/>
      <c r="I648" s="705"/>
      <c r="J648" s="637" t="s">
        <v>9496</v>
      </c>
      <c r="K648" s="711" t="s">
        <v>9497</v>
      </c>
      <c r="L648" s="110"/>
      <c r="M648" s="110"/>
    </row>
    <row r="649" spans="1:13" ht="30">
      <c r="A649" s="689">
        <v>637</v>
      </c>
      <c r="B649" s="706" t="s">
        <v>9692</v>
      </c>
      <c r="C649" s="631" t="s">
        <v>7581</v>
      </c>
      <c r="D649" s="631" t="s">
        <v>9495</v>
      </c>
      <c r="E649" s="703">
        <v>364</v>
      </c>
      <c r="F649" s="703">
        <v>708</v>
      </c>
      <c r="G649" s="703"/>
      <c r="H649" s="710"/>
      <c r="I649" s="705"/>
      <c r="J649" s="708" t="s">
        <v>9693</v>
      </c>
      <c r="K649" s="706" t="s">
        <v>9694</v>
      </c>
      <c r="L649" s="110"/>
      <c r="M649" s="110"/>
    </row>
    <row r="650" spans="1:13" ht="60">
      <c r="A650" s="689">
        <v>638</v>
      </c>
      <c r="B650" s="706" t="s">
        <v>9695</v>
      </c>
      <c r="C650" s="631" t="s">
        <v>9494</v>
      </c>
      <c r="D650" s="631" t="s">
        <v>9495</v>
      </c>
      <c r="E650" s="631"/>
      <c r="F650" s="631">
        <v>1500</v>
      </c>
      <c r="G650" s="630"/>
      <c r="H650" s="710"/>
      <c r="I650" s="705"/>
      <c r="J650" s="688">
        <v>237100070</v>
      </c>
      <c r="K650" s="711" t="s">
        <v>9696</v>
      </c>
      <c r="L650" s="110"/>
      <c r="M650" s="110"/>
    </row>
    <row r="651" spans="1:13" ht="30">
      <c r="A651" s="689">
        <v>639</v>
      </c>
      <c r="B651" s="706" t="s">
        <v>7697</v>
      </c>
      <c r="C651" s="631" t="s">
        <v>9494</v>
      </c>
      <c r="D651" s="631" t="s">
        <v>9495</v>
      </c>
      <c r="E651" s="631">
        <v>104</v>
      </c>
      <c r="F651" s="631">
        <v>100</v>
      </c>
      <c r="G651" s="630"/>
      <c r="H651" s="710"/>
      <c r="I651" s="705"/>
      <c r="J651" s="688">
        <v>232555302</v>
      </c>
      <c r="K651" s="711" t="s">
        <v>9697</v>
      </c>
      <c r="L651" s="110"/>
      <c r="M651" s="110"/>
    </row>
    <row r="652" spans="1:13" ht="30">
      <c r="A652" s="689">
        <v>640</v>
      </c>
      <c r="B652" s="706" t="s">
        <v>9698</v>
      </c>
      <c r="C652" s="631" t="s">
        <v>7581</v>
      </c>
      <c r="D652" s="631" t="s">
        <v>9699</v>
      </c>
      <c r="E652" s="631">
        <v>50</v>
      </c>
      <c r="F652" s="631">
        <v>125</v>
      </c>
      <c r="G652" s="630" t="s">
        <v>702</v>
      </c>
      <c r="H652" s="710" t="s">
        <v>9245</v>
      </c>
      <c r="I652" s="705" t="s">
        <v>9700</v>
      </c>
      <c r="J652" s="637"/>
      <c r="K652" s="611"/>
      <c r="L652" s="110"/>
      <c r="M652" s="110"/>
    </row>
    <row r="653" spans="1:13" ht="45">
      <c r="A653" s="689">
        <v>641</v>
      </c>
      <c r="B653" s="706" t="s">
        <v>9701</v>
      </c>
      <c r="C653" s="631" t="s">
        <v>7581</v>
      </c>
      <c r="D653" s="631" t="s">
        <v>9699</v>
      </c>
      <c r="E653" s="631">
        <v>20</v>
      </c>
      <c r="F653" s="631">
        <v>50</v>
      </c>
      <c r="G653" s="630" t="s">
        <v>700</v>
      </c>
      <c r="H653" s="710" t="s">
        <v>8089</v>
      </c>
      <c r="I653" s="705" t="s">
        <v>6247</v>
      </c>
      <c r="J653" s="637"/>
      <c r="K653" s="611"/>
      <c r="L653" s="110"/>
      <c r="M653" s="110"/>
    </row>
    <row r="654" spans="1:13" ht="45">
      <c r="A654" s="689">
        <v>642</v>
      </c>
      <c r="B654" s="706" t="s">
        <v>9701</v>
      </c>
      <c r="C654" s="631" t="s">
        <v>7581</v>
      </c>
      <c r="D654" s="631" t="s">
        <v>9699</v>
      </c>
      <c r="E654" s="631">
        <v>20</v>
      </c>
      <c r="F654" s="631">
        <v>50</v>
      </c>
      <c r="G654" s="630" t="s">
        <v>697</v>
      </c>
      <c r="H654" s="710" t="s">
        <v>3848</v>
      </c>
      <c r="I654" s="705" t="s">
        <v>7884</v>
      </c>
      <c r="J654" s="637"/>
      <c r="K654" s="611"/>
      <c r="L654" s="110"/>
      <c r="M654" s="110"/>
    </row>
    <row r="655" spans="1:13" ht="30">
      <c r="A655" s="689">
        <v>643</v>
      </c>
      <c r="B655" s="706" t="s">
        <v>9702</v>
      </c>
      <c r="C655" s="631" t="s">
        <v>7581</v>
      </c>
      <c r="D655" s="631" t="s">
        <v>9703</v>
      </c>
      <c r="E655" s="631">
        <v>22</v>
      </c>
      <c r="F655" s="631">
        <v>380</v>
      </c>
      <c r="G655" s="630" t="s">
        <v>9143</v>
      </c>
      <c r="H655" s="710" t="s">
        <v>9144</v>
      </c>
      <c r="I655" s="705" t="s">
        <v>9145</v>
      </c>
      <c r="J655" s="637"/>
      <c r="K655" s="611"/>
      <c r="L655" s="110"/>
      <c r="M655" s="110"/>
    </row>
    <row r="656" spans="1:13" ht="30">
      <c r="A656" s="689">
        <v>644</v>
      </c>
      <c r="B656" s="706" t="s">
        <v>9702</v>
      </c>
      <c r="C656" s="631" t="s">
        <v>7581</v>
      </c>
      <c r="D656" s="631" t="s">
        <v>9373</v>
      </c>
      <c r="E656" s="631">
        <v>70</v>
      </c>
      <c r="F656" s="631">
        <v>380</v>
      </c>
      <c r="G656" s="630" t="s">
        <v>9704</v>
      </c>
      <c r="H656" s="710" t="s">
        <v>7890</v>
      </c>
      <c r="I656" s="705" t="s">
        <v>9705</v>
      </c>
      <c r="J656" s="637"/>
      <c r="K656" s="611"/>
      <c r="L656" s="110"/>
      <c r="M656" s="110"/>
    </row>
    <row r="657" spans="1:13" ht="15">
      <c r="A657" s="699"/>
      <c r="B657" s="700"/>
      <c r="C657" s="700"/>
      <c r="D657" s="700"/>
      <c r="E657" s="700"/>
      <c r="F657" s="700"/>
      <c r="G657" s="700"/>
      <c r="H657" s="701"/>
      <c r="I657" s="701"/>
      <c r="J657" s="701"/>
      <c r="K657" s="700"/>
      <c r="L657" s="110"/>
      <c r="M657" s="110"/>
    </row>
    <row r="658" spans="1:13" ht="15">
      <c r="A658" s="699" t="s">
        <v>278</v>
      </c>
      <c r="B658" s="700"/>
      <c r="C658" s="700"/>
      <c r="D658" s="700"/>
      <c r="E658" s="700"/>
      <c r="F658" s="700"/>
      <c r="G658" s="700"/>
      <c r="H658" s="701"/>
      <c r="I658" s="701"/>
      <c r="J658" s="701"/>
      <c r="K658" s="700"/>
      <c r="L658" s="110"/>
      <c r="M658" s="110"/>
    </row>
    <row r="659" spans="1:1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 spans="1:1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 spans="1:13">
      <c r="A661" s="25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 spans="1:13" ht="15">
      <c r="A662" s="2"/>
      <c r="B662" s="71" t="s">
        <v>107</v>
      </c>
      <c r="C662" s="2"/>
      <c r="D662" s="2"/>
      <c r="E662" s="5"/>
      <c r="F662" s="2"/>
      <c r="G662" s="2"/>
      <c r="H662" s="2"/>
      <c r="I662" s="2"/>
      <c r="J662" s="2"/>
      <c r="K662" s="2"/>
    </row>
    <row r="663" spans="1:13" ht="15">
      <c r="A663" s="2"/>
      <c r="B663" s="2"/>
      <c r="C663" s="786"/>
      <c r="D663" s="786"/>
      <c r="F663" s="70"/>
      <c r="G663" s="73"/>
    </row>
    <row r="664" spans="1:13" ht="15">
      <c r="B664" s="2"/>
      <c r="C664" s="69" t="s">
        <v>268</v>
      </c>
      <c r="D664" s="2"/>
      <c r="F664" s="12" t="s">
        <v>273</v>
      </c>
    </row>
    <row r="665" spans="1:13" ht="15">
      <c r="B665" s="2"/>
      <c r="C665" s="2"/>
      <c r="D665" s="2"/>
      <c r="F665" s="2" t="s">
        <v>269</v>
      </c>
    </row>
    <row r="666" spans="1:13" ht="15">
      <c r="B666" s="2"/>
      <c r="C666" s="66" t="s">
        <v>139</v>
      </c>
    </row>
  </sheetData>
  <mergeCells count="22">
    <mergeCell ref="C663:D663"/>
    <mergeCell ref="K2:M2"/>
    <mergeCell ref="A19:A20"/>
    <mergeCell ref="B19:B20"/>
    <mergeCell ref="C19:C20"/>
    <mergeCell ref="D19:D20"/>
    <mergeCell ref="E19:E20"/>
    <mergeCell ref="A22:A23"/>
    <mergeCell ref="B22:B23"/>
    <mergeCell ref="C22:C23"/>
    <mergeCell ref="D22:D23"/>
    <mergeCell ref="E22:E23"/>
    <mergeCell ref="A50:A51"/>
    <mergeCell ref="B50:B51"/>
    <mergeCell ref="C50:C51"/>
    <mergeCell ref="D50:D51"/>
    <mergeCell ref="E50:E51"/>
    <mergeCell ref="A113:A114"/>
    <mergeCell ref="B113:B114"/>
    <mergeCell ref="C113:C114"/>
    <mergeCell ref="D113:D114"/>
    <mergeCell ref="E113:E114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78"/>
  <sheetViews>
    <sheetView view="pageBreakPreview" topLeftCell="A31" zoomScale="80" zoomScaleNormal="100" zoomScaleSheetLayoutView="80" workbookViewId="0">
      <selection activeCell="L2" sqref="L2:N2"/>
    </sheetView>
  </sheetViews>
  <sheetFormatPr defaultRowHeight="15"/>
  <cols>
    <col min="1" max="1" width="6.85546875" style="600" customWidth="1"/>
    <col min="2" max="2" width="21.140625" style="600" customWidth="1"/>
    <col min="3" max="3" width="21.5703125" style="600" customWidth="1"/>
    <col min="4" max="4" width="19.140625" style="600" customWidth="1"/>
    <col min="5" max="5" width="15.140625" style="600" customWidth="1"/>
    <col min="6" max="6" width="20.85546875" style="600" customWidth="1"/>
    <col min="7" max="7" width="23.85546875" style="600" customWidth="1"/>
    <col min="8" max="8" width="19" style="600" customWidth="1"/>
    <col min="9" max="9" width="21.140625" style="600" customWidth="1"/>
    <col min="10" max="10" width="17" style="600" customWidth="1"/>
    <col min="11" max="11" width="21.5703125" style="600" customWidth="1"/>
    <col min="12" max="12" width="24.42578125" style="600" customWidth="1"/>
    <col min="13" max="16384" width="9.140625" style="600"/>
  </cols>
  <sheetData>
    <row r="1" spans="1:14" s="598" customFormat="1">
      <c r="A1" s="594" t="s">
        <v>5360</v>
      </c>
      <c r="B1" s="594"/>
      <c r="C1" s="595"/>
      <c r="D1" s="595"/>
      <c r="E1" s="595"/>
      <c r="F1" s="595"/>
      <c r="G1" s="595"/>
      <c r="H1" s="595"/>
      <c r="I1" s="595"/>
      <c r="J1" s="595"/>
      <c r="K1" s="596"/>
      <c r="L1" s="597" t="s">
        <v>109</v>
      </c>
    </row>
    <row r="2" spans="1:14" s="598" customFormat="1">
      <c r="A2" s="596" t="s">
        <v>140</v>
      </c>
      <c r="B2" s="596"/>
      <c r="C2" s="595"/>
      <c r="D2" s="595"/>
      <c r="E2" s="595"/>
      <c r="F2" s="595"/>
      <c r="G2" s="595"/>
      <c r="H2" s="595"/>
      <c r="I2" s="595"/>
      <c r="J2" s="595"/>
      <c r="K2" s="596"/>
      <c r="L2" s="775" t="s">
        <v>515</v>
      </c>
      <c r="M2" s="775"/>
      <c r="N2" s="776"/>
    </row>
    <row r="3" spans="1:14" s="598" customFormat="1">
      <c r="A3" s="595"/>
      <c r="B3" s="595"/>
      <c r="C3" s="595"/>
      <c r="D3" s="595"/>
      <c r="E3" s="595"/>
      <c r="F3" s="595"/>
      <c r="G3" s="595"/>
      <c r="H3" s="595"/>
      <c r="I3" s="595"/>
      <c r="J3" s="595"/>
      <c r="K3" s="599"/>
      <c r="L3" s="599"/>
      <c r="M3" s="600"/>
    </row>
    <row r="4" spans="1:14" s="598" customFormat="1">
      <c r="A4" s="76" t="str">
        <f>'[2]ფორმა N2'!A4</f>
        <v>ანგარიშვალდებული პირის დასახელება:</v>
      </c>
      <c r="B4" s="595"/>
      <c r="C4" s="595"/>
      <c r="D4" s="595"/>
      <c r="E4" s="601"/>
      <c r="F4" s="601"/>
      <c r="G4" s="595"/>
      <c r="H4" s="595"/>
      <c r="I4" s="595"/>
      <c r="J4" s="595"/>
      <c r="K4" s="595"/>
      <c r="L4" s="595"/>
    </row>
    <row r="5" spans="1:14">
      <c r="A5" s="221" t="str">
        <f>'[2]ფორმა N1'!D4</f>
        <v>მ.პ.გ. ქართული ოცნება - დემოკრატიული საქართველო</v>
      </c>
      <c r="B5" s="602"/>
      <c r="C5" s="603"/>
      <c r="D5" s="603"/>
      <c r="E5" s="603"/>
      <c r="F5" s="603"/>
      <c r="G5" s="604"/>
      <c r="H5" s="604"/>
      <c r="I5" s="604"/>
      <c r="J5" s="604"/>
      <c r="K5" s="604"/>
      <c r="L5" s="603"/>
    </row>
    <row r="6" spans="1:14" s="598" customFormat="1">
      <c r="A6" s="605"/>
      <c r="B6" s="605"/>
      <c r="C6" s="595"/>
      <c r="D6" s="595"/>
      <c r="E6" s="595"/>
      <c r="F6" s="595"/>
      <c r="G6" s="595"/>
      <c r="H6" s="595"/>
      <c r="I6" s="595"/>
      <c r="J6" s="595"/>
      <c r="K6" s="595"/>
      <c r="L6" s="595"/>
    </row>
    <row r="7" spans="1:14" s="598" customFormat="1" ht="60">
      <c r="A7" s="606" t="s">
        <v>64</v>
      </c>
      <c r="B7" s="607" t="s">
        <v>248</v>
      </c>
      <c r="C7" s="608" t="s">
        <v>244</v>
      </c>
      <c r="D7" s="608" t="s">
        <v>245</v>
      </c>
      <c r="E7" s="608" t="s">
        <v>354</v>
      </c>
      <c r="F7" s="608" t="s">
        <v>247</v>
      </c>
      <c r="G7" s="608" t="s">
        <v>391</v>
      </c>
      <c r="H7" s="608" t="s">
        <v>393</v>
      </c>
      <c r="I7" s="608" t="s">
        <v>387</v>
      </c>
      <c r="J7" s="608" t="s">
        <v>388</v>
      </c>
      <c r="K7" s="608" t="s">
        <v>400</v>
      </c>
      <c r="L7" s="608" t="s">
        <v>389</v>
      </c>
    </row>
    <row r="8" spans="1:14" s="598" customFormat="1">
      <c r="A8" s="607">
        <v>1</v>
      </c>
      <c r="B8" s="607">
        <v>2</v>
      </c>
      <c r="C8" s="608">
        <v>3</v>
      </c>
      <c r="D8" s="607">
        <v>4</v>
      </c>
      <c r="E8" s="608">
        <v>5</v>
      </c>
      <c r="F8" s="607">
        <v>6</v>
      </c>
      <c r="G8" s="608">
        <v>7</v>
      </c>
      <c r="H8" s="607">
        <v>8</v>
      </c>
      <c r="I8" s="607">
        <v>9</v>
      </c>
      <c r="J8" s="607">
        <v>10</v>
      </c>
      <c r="K8" s="608">
        <v>11</v>
      </c>
      <c r="L8" s="608">
        <v>12</v>
      </c>
    </row>
    <row r="9" spans="1:14" s="598" customFormat="1">
      <c r="A9" s="673">
        <v>1</v>
      </c>
      <c r="B9" s="656" t="s">
        <v>7330</v>
      </c>
      <c r="C9" s="657" t="s">
        <v>5789</v>
      </c>
      <c r="D9" s="658" t="s">
        <v>6475</v>
      </c>
      <c r="E9" s="658" t="s">
        <v>5517</v>
      </c>
      <c r="F9" s="659" t="s">
        <v>7331</v>
      </c>
      <c r="G9" s="660">
        <v>150</v>
      </c>
      <c r="H9" s="660">
        <v>13001042715</v>
      </c>
      <c r="I9" s="661" t="s">
        <v>7229</v>
      </c>
      <c r="J9" s="661" t="s">
        <v>7332</v>
      </c>
      <c r="K9" s="665"/>
      <c r="L9" s="666"/>
    </row>
    <row r="10" spans="1:14" s="598" customFormat="1">
      <c r="A10" s="673">
        <v>2</v>
      </c>
      <c r="B10" s="609" t="s">
        <v>6281</v>
      </c>
      <c r="C10" s="662" t="s">
        <v>5789</v>
      </c>
      <c r="D10" s="663" t="s">
        <v>7333</v>
      </c>
      <c r="E10" s="663" t="s">
        <v>5411</v>
      </c>
      <c r="F10" s="664" t="s">
        <v>7334</v>
      </c>
      <c r="G10" s="610">
        <v>150</v>
      </c>
      <c r="H10" s="623" t="s">
        <v>7335</v>
      </c>
      <c r="I10" s="661" t="s">
        <v>6707</v>
      </c>
      <c r="J10" s="661" t="s">
        <v>7336</v>
      </c>
      <c r="K10" s="665"/>
      <c r="L10" s="666"/>
    </row>
    <row r="11" spans="1:14" s="598" customFormat="1">
      <c r="A11" s="673">
        <v>3</v>
      </c>
      <c r="B11" s="656" t="s">
        <v>7330</v>
      </c>
      <c r="C11" s="657" t="s">
        <v>5789</v>
      </c>
      <c r="D11" s="658" t="s">
        <v>6475</v>
      </c>
      <c r="E11" s="663" t="s">
        <v>5529</v>
      </c>
      <c r="F11" s="664" t="s">
        <v>7337</v>
      </c>
      <c r="G11" s="610">
        <v>105</v>
      </c>
      <c r="H11" s="610">
        <v>38001023462</v>
      </c>
      <c r="I11" s="661" t="s">
        <v>7338</v>
      </c>
      <c r="J11" s="661" t="s">
        <v>7339</v>
      </c>
      <c r="K11" s="665"/>
      <c r="L11" s="666"/>
    </row>
    <row r="12" spans="1:14" s="598" customFormat="1">
      <c r="A12" s="673">
        <v>4</v>
      </c>
      <c r="B12" s="656" t="s">
        <v>5366</v>
      </c>
      <c r="C12" s="667" t="s">
        <v>5387</v>
      </c>
      <c r="D12" s="658" t="s">
        <v>5545</v>
      </c>
      <c r="E12" s="658" t="s">
        <v>5487</v>
      </c>
      <c r="F12" s="664" t="s">
        <v>6678</v>
      </c>
      <c r="G12" s="660">
        <v>180</v>
      </c>
      <c r="H12" s="660">
        <v>40001005956</v>
      </c>
      <c r="I12" s="661" t="s">
        <v>7340</v>
      </c>
      <c r="J12" s="661" t="s">
        <v>6681</v>
      </c>
      <c r="K12" s="668"/>
      <c r="L12" s="660"/>
    </row>
    <row r="13" spans="1:14" s="598" customFormat="1">
      <c r="A13" s="673">
        <v>5</v>
      </c>
      <c r="B13" s="609" t="s">
        <v>5366</v>
      </c>
      <c r="C13" s="669" t="s">
        <v>5428</v>
      </c>
      <c r="D13" s="663" t="s">
        <v>5429</v>
      </c>
      <c r="E13" s="663" t="s">
        <v>5418</v>
      </c>
      <c r="F13" s="664" t="s">
        <v>5430</v>
      </c>
      <c r="G13" s="780">
        <v>6300</v>
      </c>
      <c r="H13" s="623"/>
      <c r="I13" s="793"/>
      <c r="J13" s="793"/>
      <c r="K13" s="790">
        <v>445454721</v>
      </c>
      <c r="L13" s="793" t="s">
        <v>5432</v>
      </c>
    </row>
    <row r="14" spans="1:14" s="598" customFormat="1">
      <c r="A14" s="673">
        <v>6</v>
      </c>
      <c r="B14" s="656" t="s">
        <v>5366</v>
      </c>
      <c r="C14" s="667" t="s">
        <v>5829</v>
      </c>
      <c r="D14" s="658" t="s">
        <v>7341</v>
      </c>
      <c r="E14" s="663" t="s">
        <v>5385</v>
      </c>
      <c r="F14" s="664" t="s">
        <v>7219</v>
      </c>
      <c r="G14" s="789"/>
      <c r="H14" s="610"/>
      <c r="I14" s="794"/>
      <c r="J14" s="794"/>
      <c r="K14" s="791"/>
      <c r="L14" s="794"/>
    </row>
    <row r="15" spans="1:14" s="598" customFormat="1">
      <c r="A15" s="673">
        <v>7</v>
      </c>
      <c r="B15" s="609" t="s">
        <v>5366</v>
      </c>
      <c r="C15" s="669" t="s">
        <v>5475</v>
      </c>
      <c r="D15" s="663" t="s">
        <v>7342</v>
      </c>
      <c r="E15" s="663" t="s">
        <v>5389</v>
      </c>
      <c r="F15" s="664" t="s">
        <v>7343</v>
      </c>
      <c r="G15" s="789"/>
      <c r="H15" s="610"/>
      <c r="I15" s="794"/>
      <c r="J15" s="794"/>
      <c r="K15" s="791"/>
      <c r="L15" s="794"/>
    </row>
    <row r="16" spans="1:14" s="598" customFormat="1">
      <c r="A16" s="673">
        <v>8</v>
      </c>
      <c r="B16" s="609" t="s">
        <v>5366</v>
      </c>
      <c r="C16" s="669" t="s">
        <v>5428</v>
      </c>
      <c r="D16" s="663" t="s">
        <v>7344</v>
      </c>
      <c r="E16" s="663" t="s">
        <v>5389</v>
      </c>
      <c r="F16" s="664" t="s">
        <v>7221</v>
      </c>
      <c r="G16" s="781"/>
      <c r="H16" s="610"/>
      <c r="I16" s="795"/>
      <c r="J16" s="795"/>
      <c r="K16" s="792"/>
      <c r="L16" s="795"/>
    </row>
    <row r="17" spans="1:12" s="598" customFormat="1">
      <c r="A17" s="673">
        <v>9</v>
      </c>
      <c r="B17" s="609" t="s">
        <v>5366</v>
      </c>
      <c r="C17" s="669" t="s">
        <v>5367</v>
      </c>
      <c r="D17" s="663" t="s">
        <v>7007</v>
      </c>
      <c r="E17" s="663" t="s">
        <v>5385</v>
      </c>
      <c r="F17" s="664" t="s">
        <v>7345</v>
      </c>
      <c r="G17" s="780">
        <v>2240</v>
      </c>
      <c r="H17" s="610"/>
      <c r="I17" s="793"/>
      <c r="J17" s="793"/>
      <c r="K17" s="790">
        <v>246754150</v>
      </c>
      <c r="L17" s="793" t="s">
        <v>7271</v>
      </c>
    </row>
    <row r="18" spans="1:12" s="598" customFormat="1">
      <c r="A18" s="673">
        <v>10</v>
      </c>
      <c r="B18" s="609" t="s">
        <v>5366</v>
      </c>
      <c r="C18" s="669" t="s">
        <v>5367</v>
      </c>
      <c r="D18" s="663" t="s">
        <v>7007</v>
      </c>
      <c r="E18" s="663" t="s">
        <v>5418</v>
      </c>
      <c r="F18" s="664" t="s">
        <v>7346</v>
      </c>
      <c r="G18" s="789"/>
      <c r="H18" s="610"/>
      <c r="I18" s="794"/>
      <c r="J18" s="794"/>
      <c r="K18" s="791"/>
      <c r="L18" s="794"/>
    </row>
    <row r="19" spans="1:12" s="598" customFormat="1">
      <c r="A19" s="673">
        <v>11</v>
      </c>
      <c r="B19" s="609" t="s">
        <v>5366</v>
      </c>
      <c r="C19" s="669" t="s">
        <v>5367</v>
      </c>
      <c r="D19" s="663" t="s">
        <v>5694</v>
      </c>
      <c r="E19" s="663" t="s">
        <v>5385</v>
      </c>
      <c r="F19" s="664" t="s">
        <v>7347</v>
      </c>
      <c r="G19" s="789"/>
      <c r="H19" s="610"/>
      <c r="I19" s="794"/>
      <c r="J19" s="794"/>
      <c r="K19" s="791"/>
      <c r="L19" s="794"/>
    </row>
    <row r="20" spans="1:12" s="598" customFormat="1">
      <c r="A20" s="673">
        <v>12</v>
      </c>
      <c r="B20" s="609" t="s">
        <v>5366</v>
      </c>
      <c r="C20" s="669" t="s">
        <v>5367</v>
      </c>
      <c r="D20" s="663" t="s">
        <v>7007</v>
      </c>
      <c r="E20" s="663" t="s">
        <v>5389</v>
      </c>
      <c r="F20" s="664" t="s">
        <v>7348</v>
      </c>
      <c r="G20" s="781"/>
      <c r="H20" s="610"/>
      <c r="I20" s="795"/>
      <c r="J20" s="795"/>
      <c r="K20" s="792"/>
      <c r="L20" s="795"/>
    </row>
    <row r="21" spans="1:12" s="598" customFormat="1">
      <c r="A21" s="673">
        <v>13</v>
      </c>
      <c r="B21" s="609" t="s">
        <v>5366</v>
      </c>
      <c r="C21" s="669" t="s">
        <v>5475</v>
      </c>
      <c r="D21" s="663" t="s">
        <v>5442</v>
      </c>
      <c r="E21" s="663" t="s">
        <v>5392</v>
      </c>
      <c r="F21" s="664" t="s">
        <v>5443</v>
      </c>
      <c r="G21" s="780">
        <v>2000</v>
      </c>
      <c r="H21" s="610"/>
      <c r="I21" s="661"/>
      <c r="J21" s="661"/>
      <c r="K21" s="790">
        <v>246954247</v>
      </c>
      <c r="L21" s="793" t="s">
        <v>5445</v>
      </c>
    </row>
    <row r="22" spans="1:12" s="598" customFormat="1">
      <c r="A22" s="673">
        <v>14</v>
      </c>
      <c r="B22" s="609" t="s">
        <v>5366</v>
      </c>
      <c r="C22" s="669" t="s">
        <v>5475</v>
      </c>
      <c r="D22" s="663" t="s">
        <v>5476</v>
      </c>
      <c r="E22" s="663" t="s">
        <v>5418</v>
      </c>
      <c r="F22" s="664" t="s">
        <v>7349</v>
      </c>
      <c r="G22" s="789"/>
      <c r="H22" s="610"/>
      <c r="I22" s="661"/>
      <c r="J22" s="661"/>
      <c r="K22" s="791"/>
      <c r="L22" s="794"/>
    </row>
    <row r="23" spans="1:12" s="598" customFormat="1">
      <c r="A23" s="673">
        <v>15</v>
      </c>
      <c r="B23" s="609" t="s">
        <v>5366</v>
      </c>
      <c r="C23" s="669" t="s">
        <v>5475</v>
      </c>
      <c r="D23" s="663" t="s">
        <v>7350</v>
      </c>
      <c r="E23" s="663" t="s">
        <v>5507</v>
      </c>
      <c r="F23" s="664" t="s">
        <v>7351</v>
      </c>
      <c r="G23" s="789"/>
      <c r="H23" s="610"/>
      <c r="I23" s="661"/>
      <c r="J23" s="661"/>
      <c r="K23" s="791"/>
      <c r="L23" s="794"/>
    </row>
    <row r="24" spans="1:12" s="598" customFormat="1">
      <c r="A24" s="673">
        <v>16</v>
      </c>
      <c r="B24" s="609" t="s">
        <v>5366</v>
      </c>
      <c r="C24" s="669" t="s">
        <v>5475</v>
      </c>
      <c r="D24" s="663" t="s">
        <v>6331</v>
      </c>
      <c r="E24" s="663" t="s">
        <v>5487</v>
      </c>
      <c r="F24" s="664" t="s">
        <v>7000</v>
      </c>
      <c r="G24" s="781"/>
      <c r="H24" s="610"/>
      <c r="I24" s="661"/>
      <c r="J24" s="661"/>
      <c r="K24" s="792"/>
      <c r="L24" s="795"/>
    </row>
    <row r="25" spans="1:12" s="598" customFormat="1">
      <c r="A25" s="673">
        <v>17</v>
      </c>
      <c r="B25" s="609" t="s">
        <v>5366</v>
      </c>
      <c r="C25" s="669" t="s">
        <v>5475</v>
      </c>
      <c r="D25" s="663" t="s">
        <v>5718</v>
      </c>
      <c r="E25" s="663" t="s">
        <v>5392</v>
      </c>
      <c r="F25" s="664" t="s">
        <v>7352</v>
      </c>
      <c r="G25" s="780">
        <v>2750</v>
      </c>
      <c r="H25" s="610"/>
      <c r="I25" s="661"/>
      <c r="J25" s="661"/>
      <c r="K25" s="790">
        <v>246754150</v>
      </c>
      <c r="L25" s="793" t="s">
        <v>7271</v>
      </c>
    </row>
    <row r="26" spans="1:12" s="598" customFormat="1">
      <c r="A26" s="673">
        <v>18</v>
      </c>
      <c r="B26" s="609" t="s">
        <v>5366</v>
      </c>
      <c r="C26" s="669" t="s">
        <v>5475</v>
      </c>
      <c r="D26" s="663" t="s">
        <v>5718</v>
      </c>
      <c r="E26" s="663" t="s">
        <v>5389</v>
      </c>
      <c r="F26" s="664" t="s">
        <v>7353</v>
      </c>
      <c r="G26" s="789"/>
      <c r="H26" s="610"/>
      <c r="I26" s="661"/>
      <c r="J26" s="661"/>
      <c r="K26" s="791"/>
      <c r="L26" s="794"/>
    </row>
    <row r="27" spans="1:12" s="598" customFormat="1">
      <c r="A27" s="673">
        <v>19</v>
      </c>
      <c r="B27" s="609" t="s">
        <v>5366</v>
      </c>
      <c r="C27" s="669" t="s">
        <v>5475</v>
      </c>
      <c r="D27" s="663" t="s">
        <v>5463</v>
      </c>
      <c r="E27" s="663" t="s">
        <v>5389</v>
      </c>
      <c r="F27" s="664" t="s">
        <v>7354</v>
      </c>
      <c r="G27" s="789"/>
      <c r="H27" s="610"/>
      <c r="I27" s="661"/>
      <c r="J27" s="661"/>
      <c r="K27" s="791"/>
      <c r="L27" s="794"/>
    </row>
    <row r="28" spans="1:12" s="598" customFormat="1">
      <c r="A28" s="673">
        <v>20</v>
      </c>
      <c r="B28" s="609" t="s">
        <v>5366</v>
      </c>
      <c r="C28" s="669" t="s">
        <v>5527</v>
      </c>
      <c r="D28" s="663" t="s">
        <v>5528</v>
      </c>
      <c r="E28" s="663" t="s">
        <v>5529</v>
      </c>
      <c r="F28" s="664" t="s">
        <v>7355</v>
      </c>
      <c r="G28" s="781"/>
      <c r="H28" s="610"/>
      <c r="I28" s="661"/>
      <c r="J28" s="661"/>
      <c r="K28" s="792"/>
      <c r="L28" s="795"/>
    </row>
    <row r="29" spans="1:12" s="598" customFormat="1">
      <c r="A29" s="673">
        <v>21</v>
      </c>
      <c r="B29" s="609" t="s">
        <v>5366</v>
      </c>
      <c r="C29" s="669" t="s">
        <v>5475</v>
      </c>
      <c r="D29" s="663" t="s">
        <v>7356</v>
      </c>
      <c r="E29" s="663" t="s">
        <v>5497</v>
      </c>
      <c r="F29" s="664" t="s">
        <v>7357</v>
      </c>
      <c r="G29" s="610">
        <v>1200</v>
      </c>
      <c r="H29" s="610"/>
      <c r="I29" s="661"/>
      <c r="J29" s="661"/>
      <c r="K29" s="668">
        <v>61006002046</v>
      </c>
      <c r="L29" s="660" t="s">
        <v>7358</v>
      </c>
    </row>
    <row r="30" spans="1:12" s="598" customFormat="1">
      <c r="A30" s="673">
        <v>22</v>
      </c>
      <c r="B30" s="609" t="s">
        <v>5366</v>
      </c>
      <c r="C30" s="669" t="s">
        <v>7359</v>
      </c>
      <c r="D30" s="663" t="s">
        <v>7360</v>
      </c>
      <c r="E30" s="663" t="s">
        <v>6741</v>
      </c>
      <c r="F30" s="664" t="s">
        <v>7361</v>
      </c>
      <c r="G30" s="610">
        <v>1000</v>
      </c>
      <c r="H30" s="610"/>
      <c r="I30" s="661"/>
      <c r="J30" s="661"/>
      <c r="K30" s="668" t="s">
        <v>7362</v>
      </c>
      <c r="L30" s="660" t="s">
        <v>7363</v>
      </c>
    </row>
    <row r="31" spans="1:12" s="598" customFormat="1">
      <c r="A31" s="673">
        <v>23</v>
      </c>
      <c r="B31" s="609" t="s">
        <v>5366</v>
      </c>
      <c r="C31" s="669" t="s">
        <v>5527</v>
      </c>
      <c r="D31" s="663" t="s">
        <v>7364</v>
      </c>
      <c r="E31" s="663" t="s">
        <v>5411</v>
      </c>
      <c r="F31" s="664" t="s">
        <v>7365</v>
      </c>
      <c r="G31" s="610">
        <v>750</v>
      </c>
      <c r="H31" s="610"/>
      <c r="I31" s="661"/>
      <c r="J31" s="661"/>
      <c r="K31" s="668">
        <v>61009003151</v>
      </c>
      <c r="L31" s="660" t="s">
        <v>7366</v>
      </c>
    </row>
    <row r="32" spans="1:12" s="598" customFormat="1">
      <c r="A32" s="673">
        <v>24</v>
      </c>
      <c r="B32" s="609" t="s">
        <v>5366</v>
      </c>
      <c r="C32" s="669" t="s">
        <v>5387</v>
      </c>
      <c r="D32" s="663" t="s">
        <v>6659</v>
      </c>
      <c r="E32" s="663" t="s">
        <v>5385</v>
      </c>
      <c r="F32" s="664" t="s">
        <v>7367</v>
      </c>
      <c r="G32" s="610">
        <v>187.5</v>
      </c>
      <c r="H32" s="610"/>
      <c r="I32" s="661"/>
      <c r="J32" s="661"/>
      <c r="K32" s="668">
        <v>13001024965</v>
      </c>
      <c r="L32" s="660" t="s">
        <v>7368</v>
      </c>
    </row>
    <row r="33" spans="1:12" s="598" customFormat="1">
      <c r="A33" s="673">
        <v>25</v>
      </c>
      <c r="B33" s="609" t="s">
        <v>5366</v>
      </c>
      <c r="C33" s="669" t="s">
        <v>5387</v>
      </c>
      <c r="D33" s="663" t="s">
        <v>7269</v>
      </c>
      <c r="E33" s="663" t="s">
        <v>5418</v>
      </c>
      <c r="F33" s="664" t="s">
        <v>7369</v>
      </c>
      <c r="G33" s="610">
        <v>187.5</v>
      </c>
      <c r="H33" s="660">
        <v>13001008962</v>
      </c>
      <c r="I33" s="661" t="s">
        <v>6665</v>
      </c>
      <c r="J33" s="661" t="s">
        <v>6666</v>
      </c>
      <c r="K33" s="668"/>
      <c r="L33" s="660"/>
    </row>
    <row r="34" spans="1:12" s="598" customFormat="1">
      <c r="A34" s="673">
        <v>26</v>
      </c>
      <c r="B34" s="609" t="s">
        <v>6281</v>
      </c>
      <c r="C34" s="669" t="s">
        <v>6703</v>
      </c>
      <c r="D34" s="663" t="s">
        <v>6704</v>
      </c>
      <c r="E34" s="663" t="s">
        <v>5599</v>
      </c>
      <c r="F34" s="664" t="s">
        <v>6705</v>
      </c>
      <c r="G34" s="610">
        <v>187.5</v>
      </c>
      <c r="H34" s="610"/>
      <c r="I34" s="661"/>
      <c r="J34" s="661"/>
      <c r="K34" s="668">
        <v>14001004741</v>
      </c>
      <c r="L34" s="660" t="s">
        <v>7370</v>
      </c>
    </row>
    <row r="35" spans="1:12" s="598" customFormat="1">
      <c r="A35" s="673">
        <v>27</v>
      </c>
      <c r="B35" s="609" t="s">
        <v>5366</v>
      </c>
      <c r="C35" s="669" t="s">
        <v>5475</v>
      </c>
      <c r="D35" s="663" t="s">
        <v>5452</v>
      </c>
      <c r="E35" s="663" t="s">
        <v>5411</v>
      </c>
      <c r="F35" s="664" t="s">
        <v>5453</v>
      </c>
      <c r="G35" s="610">
        <v>187.5</v>
      </c>
      <c r="H35" s="610"/>
      <c r="I35" s="661"/>
      <c r="J35" s="661"/>
      <c r="K35" s="668">
        <v>14001021323</v>
      </c>
      <c r="L35" s="660" t="s">
        <v>5455</v>
      </c>
    </row>
    <row r="36" spans="1:12" s="598" customFormat="1">
      <c r="A36" s="673">
        <v>28</v>
      </c>
      <c r="B36" s="609" t="s">
        <v>5366</v>
      </c>
      <c r="C36" s="669" t="s">
        <v>5836</v>
      </c>
      <c r="D36" s="663" t="s">
        <v>6709</v>
      </c>
      <c r="E36" s="663" t="s">
        <v>5760</v>
      </c>
      <c r="F36" s="664" t="s">
        <v>7371</v>
      </c>
      <c r="G36" s="610">
        <v>500</v>
      </c>
      <c r="H36" s="610"/>
      <c r="I36" s="661"/>
      <c r="J36" s="661"/>
      <c r="K36" s="668">
        <v>20001006362</v>
      </c>
      <c r="L36" s="660" t="s">
        <v>7372</v>
      </c>
    </row>
    <row r="37" spans="1:12" s="598" customFormat="1">
      <c r="A37" s="673">
        <v>29</v>
      </c>
      <c r="B37" s="609" t="s">
        <v>5366</v>
      </c>
      <c r="C37" s="669" t="s">
        <v>5372</v>
      </c>
      <c r="D37" s="663" t="s">
        <v>5545</v>
      </c>
      <c r="E37" s="663" t="s">
        <v>5389</v>
      </c>
      <c r="F37" s="664" t="s">
        <v>7373</v>
      </c>
      <c r="G37" s="610">
        <v>275</v>
      </c>
      <c r="H37" s="610"/>
      <c r="I37" s="661"/>
      <c r="J37" s="661"/>
      <c r="K37" s="668">
        <v>45001001843</v>
      </c>
      <c r="L37" s="660" t="s">
        <v>7374</v>
      </c>
    </row>
    <row r="38" spans="1:12" s="598" customFormat="1">
      <c r="A38" s="673">
        <v>30</v>
      </c>
      <c r="B38" s="609" t="s">
        <v>5366</v>
      </c>
      <c r="C38" s="669" t="s">
        <v>5367</v>
      </c>
      <c r="D38" s="663" t="s">
        <v>6685</v>
      </c>
      <c r="E38" s="663" t="s">
        <v>5599</v>
      </c>
      <c r="F38" s="664" t="s">
        <v>6686</v>
      </c>
      <c r="G38" s="610">
        <v>275</v>
      </c>
      <c r="H38" s="660">
        <v>45001028275</v>
      </c>
      <c r="I38" s="661" t="s">
        <v>6871</v>
      </c>
      <c r="J38" s="661" t="s">
        <v>6688</v>
      </c>
      <c r="K38" s="668"/>
      <c r="L38" s="660"/>
    </row>
    <row r="39" spans="1:12" s="598" customFormat="1">
      <c r="A39" s="673">
        <v>31</v>
      </c>
      <c r="B39" s="609" t="s">
        <v>5366</v>
      </c>
      <c r="C39" s="669" t="s">
        <v>5367</v>
      </c>
      <c r="D39" s="663" t="s">
        <v>7375</v>
      </c>
      <c r="E39" s="663" t="s">
        <v>5418</v>
      </c>
      <c r="F39" s="664" t="s">
        <v>5369</v>
      </c>
      <c r="G39" s="780">
        <v>750</v>
      </c>
      <c r="H39" s="610"/>
      <c r="I39" s="661"/>
      <c r="J39" s="661"/>
      <c r="K39" s="790">
        <v>438107987</v>
      </c>
      <c r="L39" s="793" t="s">
        <v>5371</v>
      </c>
    </row>
    <row r="40" spans="1:12" s="598" customFormat="1">
      <c r="A40" s="673">
        <v>32</v>
      </c>
      <c r="B40" s="609" t="s">
        <v>5366</v>
      </c>
      <c r="C40" s="669" t="s">
        <v>5387</v>
      </c>
      <c r="D40" s="663" t="s">
        <v>7376</v>
      </c>
      <c r="E40" s="663" t="s">
        <v>5418</v>
      </c>
      <c r="F40" s="664" t="s">
        <v>7377</v>
      </c>
      <c r="G40" s="789"/>
      <c r="H40" s="610"/>
      <c r="I40" s="661"/>
      <c r="J40" s="661"/>
      <c r="K40" s="791"/>
      <c r="L40" s="794"/>
    </row>
    <row r="41" spans="1:12" s="598" customFormat="1">
      <c r="A41" s="673">
        <v>33</v>
      </c>
      <c r="B41" s="609" t="s">
        <v>5366</v>
      </c>
      <c r="C41" s="669" t="s">
        <v>5387</v>
      </c>
      <c r="D41" s="663" t="s">
        <v>6654</v>
      </c>
      <c r="E41" s="663" t="s">
        <v>5385</v>
      </c>
      <c r="F41" s="664" t="s">
        <v>6655</v>
      </c>
      <c r="G41" s="789"/>
      <c r="H41" s="610"/>
      <c r="I41" s="661"/>
      <c r="J41" s="661"/>
      <c r="K41" s="791"/>
      <c r="L41" s="794"/>
    </row>
    <row r="42" spans="1:12" s="598" customFormat="1">
      <c r="A42" s="673">
        <v>34</v>
      </c>
      <c r="B42" s="609" t="s">
        <v>5366</v>
      </c>
      <c r="C42" s="669" t="s">
        <v>5387</v>
      </c>
      <c r="D42" s="663" t="s">
        <v>5373</v>
      </c>
      <c r="E42" s="663" t="s">
        <v>5385</v>
      </c>
      <c r="F42" s="664" t="s">
        <v>7378</v>
      </c>
      <c r="G42" s="789"/>
      <c r="H42" s="610"/>
      <c r="I42" s="661"/>
      <c r="J42" s="661"/>
      <c r="K42" s="791"/>
      <c r="L42" s="794"/>
    </row>
    <row r="43" spans="1:12" s="598" customFormat="1">
      <c r="A43" s="673">
        <v>35</v>
      </c>
      <c r="B43" s="609" t="s">
        <v>5366</v>
      </c>
      <c r="C43" s="669" t="s">
        <v>5372</v>
      </c>
      <c r="D43" s="663" t="s">
        <v>7379</v>
      </c>
      <c r="E43" s="663" t="s">
        <v>5392</v>
      </c>
      <c r="F43" s="664" t="s">
        <v>7380</v>
      </c>
      <c r="G43" s="781"/>
      <c r="H43" s="610"/>
      <c r="I43" s="661"/>
      <c r="J43" s="661"/>
      <c r="K43" s="792"/>
      <c r="L43" s="795"/>
    </row>
    <row r="44" spans="1:12" s="598" customFormat="1">
      <c r="A44" s="673">
        <v>36</v>
      </c>
      <c r="B44" s="609" t="s">
        <v>5366</v>
      </c>
      <c r="C44" s="669" t="s">
        <v>5387</v>
      </c>
      <c r="D44" s="663" t="s">
        <v>5632</v>
      </c>
      <c r="E44" s="663" t="s">
        <v>5507</v>
      </c>
      <c r="F44" s="664" t="s">
        <v>7381</v>
      </c>
      <c r="G44" s="610">
        <v>187.5</v>
      </c>
      <c r="H44" s="660">
        <v>25001003796</v>
      </c>
      <c r="I44" s="661" t="s">
        <v>7382</v>
      </c>
      <c r="J44" s="661" t="s">
        <v>7383</v>
      </c>
      <c r="K44" s="668"/>
      <c r="L44" s="660"/>
    </row>
    <row r="45" spans="1:12" s="598" customFormat="1" ht="15" customHeight="1">
      <c r="A45" s="673">
        <v>37</v>
      </c>
      <c r="B45" s="609" t="s">
        <v>5366</v>
      </c>
      <c r="C45" s="669" t="s">
        <v>5475</v>
      </c>
      <c r="D45" s="663" t="s">
        <v>7384</v>
      </c>
      <c r="E45" s="663" t="s">
        <v>5426</v>
      </c>
      <c r="F45" s="664" t="s">
        <v>6672</v>
      </c>
      <c r="G45" s="610">
        <v>212.5</v>
      </c>
      <c r="H45" s="610"/>
      <c r="I45" s="661"/>
      <c r="J45" s="661"/>
      <c r="K45" s="668">
        <v>25001003315</v>
      </c>
      <c r="L45" s="660" t="s">
        <v>7385</v>
      </c>
    </row>
    <row r="46" spans="1:12" s="598" customFormat="1">
      <c r="A46" s="673">
        <v>38</v>
      </c>
      <c r="B46" s="609" t="s">
        <v>5366</v>
      </c>
      <c r="C46" s="669" t="s">
        <v>5475</v>
      </c>
      <c r="D46" s="663" t="s">
        <v>5584</v>
      </c>
      <c r="E46" s="663" t="s">
        <v>5418</v>
      </c>
      <c r="F46" s="664" t="s">
        <v>7386</v>
      </c>
      <c r="G46" s="610">
        <v>500</v>
      </c>
      <c r="H46" s="610"/>
      <c r="I46" s="661"/>
      <c r="J46" s="661"/>
      <c r="K46" s="668">
        <v>46001002921</v>
      </c>
      <c r="L46" s="660" t="s">
        <v>7387</v>
      </c>
    </row>
    <row r="47" spans="1:12" s="598" customFormat="1">
      <c r="A47" s="673">
        <v>39</v>
      </c>
      <c r="B47" s="609" t="s">
        <v>5366</v>
      </c>
      <c r="C47" s="669" t="s">
        <v>5475</v>
      </c>
      <c r="D47" s="663" t="s">
        <v>5718</v>
      </c>
      <c r="E47" s="663" t="s">
        <v>5418</v>
      </c>
      <c r="F47" s="664" t="s">
        <v>6277</v>
      </c>
      <c r="G47" s="610">
        <v>500</v>
      </c>
      <c r="H47" s="610"/>
      <c r="I47" s="661"/>
      <c r="J47" s="661"/>
      <c r="K47" s="668">
        <v>46001000784</v>
      </c>
      <c r="L47" s="660" t="s">
        <v>7388</v>
      </c>
    </row>
    <row r="48" spans="1:12" s="598" customFormat="1">
      <c r="A48" s="673">
        <v>40</v>
      </c>
      <c r="B48" s="609" t="s">
        <v>5366</v>
      </c>
      <c r="C48" s="669" t="s">
        <v>5433</v>
      </c>
      <c r="D48" s="663" t="s">
        <v>7389</v>
      </c>
      <c r="E48" s="663" t="s">
        <v>5403</v>
      </c>
      <c r="F48" s="664" t="s">
        <v>7390</v>
      </c>
      <c r="G48" s="610">
        <v>1250</v>
      </c>
      <c r="H48" s="610"/>
      <c r="I48" s="661"/>
      <c r="J48" s="661"/>
      <c r="K48" s="668" t="s">
        <v>7391</v>
      </c>
      <c r="L48" s="660" t="s">
        <v>7392</v>
      </c>
    </row>
    <row r="49" spans="1:12" s="598" customFormat="1">
      <c r="A49" s="673">
        <v>41</v>
      </c>
      <c r="B49" s="609" t="s">
        <v>5366</v>
      </c>
      <c r="C49" s="669" t="s">
        <v>5475</v>
      </c>
      <c r="D49" s="663" t="s">
        <v>7393</v>
      </c>
      <c r="E49" s="663" t="s">
        <v>5374</v>
      </c>
      <c r="F49" s="664" t="s">
        <v>7394</v>
      </c>
      <c r="G49" s="610">
        <v>1250</v>
      </c>
      <c r="H49" s="610"/>
      <c r="I49" s="661"/>
      <c r="J49" s="670"/>
      <c r="K49" s="668">
        <v>33001056376</v>
      </c>
      <c r="L49" s="660" t="s">
        <v>7395</v>
      </c>
    </row>
    <row r="50" spans="1:12" s="598" customFormat="1">
      <c r="A50" s="673">
        <v>42</v>
      </c>
      <c r="B50" s="609" t="s">
        <v>5366</v>
      </c>
      <c r="C50" s="669" t="s">
        <v>5475</v>
      </c>
      <c r="D50" s="663" t="s">
        <v>6260</v>
      </c>
      <c r="E50" s="663" t="s">
        <v>5418</v>
      </c>
      <c r="F50" s="664" t="s">
        <v>6261</v>
      </c>
      <c r="G50" s="610">
        <v>330</v>
      </c>
      <c r="H50" s="610"/>
      <c r="I50" s="661"/>
      <c r="J50" s="661"/>
      <c r="K50" s="668">
        <v>26001012856</v>
      </c>
      <c r="L50" s="660" t="s">
        <v>7396</v>
      </c>
    </row>
    <row r="51" spans="1:12" s="598" customFormat="1">
      <c r="A51" s="673">
        <v>43</v>
      </c>
      <c r="B51" s="609" t="s">
        <v>5366</v>
      </c>
      <c r="C51" s="669" t="s">
        <v>5475</v>
      </c>
      <c r="D51" s="663" t="s">
        <v>6286</v>
      </c>
      <c r="E51" s="663" t="s">
        <v>5389</v>
      </c>
      <c r="F51" s="664" t="s">
        <v>7397</v>
      </c>
      <c r="G51" s="610">
        <v>330</v>
      </c>
      <c r="H51" s="610"/>
      <c r="I51" s="661"/>
      <c r="J51" s="661"/>
      <c r="K51" s="668">
        <v>61001051308</v>
      </c>
      <c r="L51" s="660" t="s">
        <v>7398</v>
      </c>
    </row>
    <row r="52" spans="1:12" s="598" customFormat="1">
      <c r="A52" s="673">
        <v>44</v>
      </c>
      <c r="B52" s="609" t="s">
        <v>5366</v>
      </c>
      <c r="C52" s="669" t="s">
        <v>5387</v>
      </c>
      <c r="D52" s="663" t="s">
        <v>6302</v>
      </c>
      <c r="E52" s="663" t="s">
        <v>5517</v>
      </c>
      <c r="F52" s="664" t="s">
        <v>6303</v>
      </c>
      <c r="G52" s="610">
        <v>375</v>
      </c>
      <c r="H52" s="610"/>
      <c r="I52" s="661"/>
      <c r="J52" s="661"/>
      <c r="K52" s="668">
        <v>44001001542</v>
      </c>
      <c r="L52" s="660" t="s">
        <v>7399</v>
      </c>
    </row>
    <row r="53" spans="1:12" s="598" customFormat="1" ht="15" customHeight="1">
      <c r="A53" s="673">
        <v>45</v>
      </c>
      <c r="B53" s="609" t="s">
        <v>5366</v>
      </c>
      <c r="C53" s="669" t="s">
        <v>5475</v>
      </c>
      <c r="D53" s="663" t="s">
        <v>5463</v>
      </c>
      <c r="E53" s="663" t="s">
        <v>5418</v>
      </c>
      <c r="F53" s="664" t="s">
        <v>6307</v>
      </c>
      <c r="G53" s="610">
        <v>375</v>
      </c>
      <c r="H53" s="610"/>
      <c r="I53" s="661"/>
      <c r="J53" s="661"/>
      <c r="K53" s="668">
        <v>44001000994</v>
      </c>
      <c r="L53" s="660" t="s">
        <v>7400</v>
      </c>
    </row>
    <row r="54" spans="1:12" s="598" customFormat="1">
      <c r="A54" s="673">
        <v>46</v>
      </c>
      <c r="B54" s="609" t="s">
        <v>5366</v>
      </c>
      <c r="C54" s="669" t="s">
        <v>5475</v>
      </c>
      <c r="D54" s="663" t="s">
        <v>5506</v>
      </c>
      <c r="E54" s="663" t="s">
        <v>5389</v>
      </c>
      <c r="F54" s="664" t="s">
        <v>6284</v>
      </c>
      <c r="G54" s="780">
        <v>400</v>
      </c>
      <c r="H54" s="610"/>
      <c r="I54" s="661"/>
      <c r="J54" s="661"/>
      <c r="K54" s="790">
        <v>436032507</v>
      </c>
      <c r="L54" s="793" t="s">
        <v>5400</v>
      </c>
    </row>
    <row r="55" spans="1:12" s="598" customFormat="1">
      <c r="A55" s="673">
        <v>47</v>
      </c>
      <c r="B55" s="609" t="s">
        <v>5366</v>
      </c>
      <c r="C55" s="669" t="s">
        <v>5475</v>
      </c>
      <c r="D55" s="663" t="s">
        <v>6280</v>
      </c>
      <c r="E55" s="663" t="s">
        <v>5397</v>
      </c>
      <c r="F55" s="664" t="s">
        <v>7401</v>
      </c>
      <c r="G55" s="789"/>
      <c r="H55" s="610"/>
      <c r="I55" s="661"/>
      <c r="J55" s="661"/>
      <c r="K55" s="791"/>
      <c r="L55" s="794"/>
    </row>
    <row r="56" spans="1:12" s="598" customFormat="1">
      <c r="A56" s="673">
        <v>48</v>
      </c>
      <c r="B56" s="609" t="s">
        <v>6281</v>
      </c>
      <c r="C56" s="669" t="s">
        <v>5475</v>
      </c>
      <c r="D56" s="663" t="s">
        <v>6149</v>
      </c>
      <c r="E56" s="663" t="s">
        <v>5529</v>
      </c>
      <c r="F56" s="664" t="s">
        <v>7402</v>
      </c>
      <c r="G56" s="789"/>
      <c r="H56" s="610"/>
      <c r="I56" s="661"/>
      <c r="J56" s="661"/>
      <c r="K56" s="791"/>
      <c r="L56" s="794"/>
    </row>
    <row r="57" spans="1:12" s="598" customFormat="1">
      <c r="A57" s="673">
        <v>49</v>
      </c>
      <c r="B57" s="609" t="s">
        <v>5366</v>
      </c>
      <c r="C57" s="669" t="s">
        <v>5475</v>
      </c>
      <c r="D57" s="663" t="s">
        <v>6120</v>
      </c>
      <c r="E57" s="663" t="s">
        <v>5385</v>
      </c>
      <c r="F57" s="664" t="s">
        <v>7403</v>
      </c>
      <c r="G57" s="781"/>
      <c r="H57" s="610"/>
      <c r="I57" s="661"/>
      <c r="J57" s="661"/>
      <c r="K57" s="792"/>
      <c r="L57" s="795"/>
    </row>
    <row r="58" spans="1:12" s="598" customFormat="1">
      <c r="A58" s="673">
        <v>50</v>
      </c>
      <c r="B58" s="609" t="s">
        <v>5366</v>
      </c>
      <c r="C58" s="669" t="s">
        <v>5475</v>
      </c>
      <c r="D58" s="663" t="s">
        <v>5452</v>
      </c>
      <c r="E58" s="663" t="s">
        <v>5507</v>
      </c>
      <c r="F58" s="664" t="s">
        <v>7404</v>
      </c>
      <c r="G58" s="610">
        <v>312.5</v>
      </c>
      <c r="H58" s="660">
        <v>23001010499</v>
      </c>
      <c r="I58" s="661" t="s">
        <v>3753</v>
      </c>
      <c r="J58" s="661" t="s">
        <v>7405</v>
      </c>
      <c r="K58" s="668"/>
      <c r="L58" s="660"/>
    </row>
    <row r="59" spans="1:12" s="598" customFormat="1">
      <c r="A59" s="673">
        <v>51</v>
      </c>
      <c r="B59" s="609" t="s">
        <v>5366</v>
      </c>
      <c r="C59" s="669" t="s">
        <v>5387</v>
      </c>
      <c r="D59" s="663" t="s">
        <v>7406</v>
      </c>
      <c r="E59" s="663" t="s">
        <v>5507</v>
      </c>
      <c r="F59" s="664" t="s">
        <v>7407</v>
      </c>
      <c r="G59" s="610">
        <v>125</v>
      </c>
      <c r="H59" s="610"/>
      <c r="I59" s="661"/>
      <c r="J59" s="661"/>
      <c r="K59" s="668">
        <v>16001001965</v>
      </c>
      <c r="L59" s="660" t="s">
        <v>7408</v>
      </c>
    </row>
    <row r="60" spans="1:12" s="598" customFormat="1" ht="30">
      <c r="A60" s="673">
        <v>52</v>
      </c>
      <c r="B60" s="609" t="s">
        <v>5366</v>
      </c>
      <c r="C60" s="669" t="s">
        <v>5475</v>
      </c>
      <c r="D60" s="663" t="s">
        <v>7409</v>
      </c>
      <c r="E60" s="663" t="s">
        <v>5760</v>
      </c>
      <c r="F60" s="664" t="s">
        <v>7410</v>
      </c>
      <c r="G60" s="610">
        <v>125</v>
      </c>
      <c r="H60" s="610"/>
      <c r="I60" s="661"/>
      <c r="J60" s="661"/>
      <c r="K60" s="668">
        <v>16001007594</v>
      </c>
      <c r="L60" s="660" t="s">
        <v>7411</v>
      </c>
    </row>
    <row r="61" spans="1:12" s="598" customFormat="1">
      <c r="A61" s="673">
        <v>53</v>
      </c>
      <c r="B61" s="609" t="s">
        <v>5366</v>
      </c>
      <c r="C61" s="669" t="s">
        <v>5475</v>
      </c>
      <c r="D61" s="663" t="s">
        <v>5476</v>
      </c>
      <c r="E61" s="663" t="s">
        <v>5389</v>
      </c>
      <c r="F61" s="664" t="s">
        <v>7412</v>
      </c>
      <c r="G61" s="610">
        <v>400</v>
      </c>
      <c r="H61" s="610"/>
      <c r="I61" s="661"/>
      <c r="J61" s="661"/>
      <c r="K61" s="668">
        <v>49001004532</v>
      </c>
      <c r="L61" s="660" t="s">
        <v>5495</v>
      </c>
    </row>
    <row r="62" spans="1:12" s="598" customFormat="1">
      <c r="A62" s="673">
        <v>54</v>
      </c>
      <c r="B62" s="609" t="s">
        <v>5366</v>
      </c>
      <c r="C62" s="669" t="s">
        <v>5475</v>
      </c>
      <c r="D62" s="663" t="s">
        <v>5506</v>
      </c>
      <c r="E62" s="663" t="s">
        <v>5418</v>
      </c>
      <c r="F62" s="664" t="s">
        <v>7413</v>
      </c>
      <c r="G62" s="610">
        <v>1125</v>
      </c>
      <c r="H62" s="610"/>
      <c r="I62" s="661"/>
      <c r="J62" s="661"/>
      <c r="K62" s="668">
        <v>27001003303</v>
      </c>
      <c r="L62" s="660" t="s">
        <v>7414</v>
      </c>
    </row>
    <row r="63" spans="1:12" s="598" customFormat="1">
      <c r="A63" s="673">
        <v>55</v>
      </c>
      <c r="B63" s="609" t="s">
        <v>5366</v>
      </c>
      <c r="C63" s="669" t="s">
        <v>5475</v>
      </c>
      <c r="D63" s="663" t="s">
        <v>5578</v>
      </c>
      <c r="E63" s="663" t="s">
        <v>5397</v>
      </c>
      <c r="F63" s="664" t="s">
        <v>6843</v>
      </c>
      <c r="G63" s="610">
        <v>687.5</v>
      </c>
      <c r="H63" s="610"/>
      <c r="I63" s="661"/>
      <c r="J63" s="661"/>
      <c r="K63" s="668">
        <v>27001001732</v>
      </c>
      <c r="L63" s="660" t="s">
        <v>7415</v>
      </c>
    </row>
    <row r="64" spans="1:12" s="598" customFormat="1">
      <c r="A64" s="673">
        <v>56</v>
      </c>
      <c r="B64" s="609" t="s">
        <v>5366</v>
      </c>
      <c r="C64" s="669" t="s">
        <v>5475</v>
      </c>
      <c r="D64" s="663" t="s">
        <v>5506</v>
      </c>
      <c r="E64" s="663" t="s">
        <v>5507</v>
      </c>
      <c r="F64" s="664" t="s">
        <v>7416</v>
      </c>
      <c r="G64" s="610">
        <v>420</v>
      </c>
      <c r="H64" s="610"/>
      <c r="I64" s="661"/>
      <c r="J64" s="661"/>
      <c r="K64" s="668" t="s">
        <v>7417</v>
      </c>
      <c r="L64" s="660" t="s">
        <v>7418</v>
      </c>
    </row>
    <row r="65" spans="1:12" s="598" customFormat="1">
      <c r="A65" s="673">
        <v>57</v>
      </c>
      <c r="B65" s="609" t="s">
        <v>5366</v>
      </c>
      <c r="C65" s="669" t="s">
        <v>5387</v>
      </c>
      <c r="D65" s="663" t="s">
        <v>7419</v>
      </c>
      <c r="E65" s="663" t="s">
        <v>5397</v>
      </c>
      <c r="F65" s="664" t="s">
        <v>7420</v>
      </c>
      <c r="G65" s="610">
        <v>420</v>
      </c>
      <c r="H65" s="610"/>
      <c r="I65" s="661"/>
      <c r="J65" s="661"/>
      <c r="K65" s="668" t="s">
        <v>7421</v>
      </c>
      <c r="L65" s="660" t="s">
        <v>7422</v>
      </c>
    </row>
    <row r="66" spans="1:12" s="598" customFormat="1">
      <c r="A66" s="673">
        <v>58</v>
      </c>
      <c r="B66" s="609" t="s">
        <v>5366</v>
      </c>
      <c r="C66" s="669" t="s">
        <v>5387</v>
      </c>
      <c r="D66" s="663" t="s">
        <v>5661</v>
      </c>
      <c r="E66" s="663" t="s">
        <v>5392</v>
      </c>
      <c r="F66" s="664" t="s">
        <v>6816</v>
      </c>
      <c r="G66" s="610">
        <v>480</v>
      </c>
      <c r="H66" s="610"/>
      <c r="I66" s="661"/>
      <c r="J66" s="661"/>
      <c r="K66" s="668">
        <v>32001014495</v>
      </c>
      <c r="L66" s="660" t="s">
        <v>7423</v>
      </c>
    </row>
    <row r="67" spans="1:12" s="598" customFormat="1">
      <c r="A67" s="673">
        <v>59</v>
      </c>
      <c r="B67" s="609" t="s">
        <v>6281</v>
      </c>
      <c r="C67" s="669" t="s">
        <v>5387</v>
      </c>
      <c r="D67" s="663" t="s">
        <v>5373</v>
      </c>
      <c r="E67" s="663" t="s">
        <v>5426</v>
      </c>
      <c r="F67" s="664" t="s">
        <v>7424</v>
      </c>
      <c r="G67" s="610">
        <v>480</v>
      </c>
      <c r="H67" s="610"/>
      <c r="I67" s="661"/>
      <c r="J67" s="661"/>
      <c r="K67" s="668">
        <v>32001007637</v>
      </c>
      <c r="L67" s="660" t="s">
        <v>7425</v>
      </c>
    </row>
    <row r="68" spans="1:12" s="598" customFormat="1">
      <c r="A68" s="673">
        <v>60</v>
      </c>
      <c r="B68" s="609" t="s">
        <v>5366</v>
      </c>
      <c r="C68" s="669" t="s">
        <v>5475</v>
      </c>
      <c r="D68" s="663" t="s">
        <v>5506</v>
      </c>
      <c r="E68" s="663" t="s">
        <v>5418</v>
      </c>
      <c r="F68" s="664" t="s">
        <v>7426</v>
      </c>
      <c r="G68" s="610">
        <v>225</v>
      </c>
      <c r="H68" s="610"/>
      <c r="I68" s="661"/>
      <c r="J68" s="661"/>
      <c r="K68" s="668">
        <v>11001011069</v>
      </c>
      <c r="L68" s="660" t="s">
        <v>5483</v>
      </c>
    </row>
    <row r="69" spans="1:12" s="598" customFormat="1">
      <c r="A69" s="673">
        <v>61</v>
      </c>
      <c r="B69" s="609" t="s">
        <v>5366</v>
      </c>
      <c r="C69" s="669" t="s">
        <v>7427</v>
      </c>
      <c r="D69" s="663" t="s">
        <v>6737</v>
      </c>
      <c r="E69" s="663" t="s">
        <v>5599</v>
      </c>
      <c r="F69" s="664" t="s">
        <v>6738</v>
      </c>
      <c r="G69" s="780">
        <v>1032</v>
      </c>
      <c r="H69" s="610"/>
      <c r="I69" s="661"/>
      <c r="J69" s="661"/>
      <c r="K69" s="790">
        <v>224090917</v>
      </c>
      <c r="L69" s="793" t="s">
        <v>6739</v>
      </c>
    </row>
    <row r="70" spans="1:12" s="598" customFormat="1">
      <c r="A70" s="673">
        <v>62</v>
      </c>
      <c r="B70" s="609" t="s">
        <v>5366</v>
      </c>
      <c r="C70" s="669" t="s">
        <v>7427</v>
      </c>
      <c r="D70" s="663" t="s">
        <v>6737</v>
      </c>
      <c r="E70" s="663" t="s">
        <v>5397</v>
      </c>
      <c r="F70" s="664" t="s">
        <v>6754</v>
      </c>
      <c r="G70" s="781"/>
      <c r="H70" s="610"/>
      <c r="I70" s="661"/>
      <c r="J70" s="661"/>
      <c r="K70" s="792"/>
      <c r="L70" s="795"/>
    </row>
    <row r="71" spans="1:12" s="598" customFormat="1">
      <c r="A71" s="673">
        <v>63</v>
      </c>
      <c r="B71" s="609" t="s">
        <v>5366</v>
      </c>
      <c r="C71" s="669" t="s">
        <v>5387</v>
      </c>
      <c r="D71" s="663" t="s">
        <v>5373</v>
      </c>
      <c r="E71" s="663" t="s">
        <v>5385</v>
      </c>
      <c r="F71" s="664" t="s">
        <v>5484</v>
      </c>
      <c r="G71" s="610">
        <v>500</v>
      </c>
      <c r="H71" s="610"/>
      <c r="I71" s="661"/>
      <c r="J71" s="661"/>
      <c r="K71" s="668" t="s">
        <v>5485</v>
      </c>
      <c r="L71" s="660" t="s">
        <v>5486</v>
      </c>
    </row>
    <row r="72" spans="1:12" s="598" customFormat="1">
      <c r="A72" s="673">
        <v>64</v>
      </c>
      <c r="B72" s="609" t="s">
        <v>5366</v>
      </c>
      <c r="C72" s="669" t="s">
        <v>5387</v>
      </c>
      <c r="D72" s="663" t="s">
        <v>7274</v>
      </c>
      <c r="E72" s="663" t="s">
        <v>5760</v>
      </c>
      <c r="F72" s="664" t="s">
        <v>7428</v>
      </c>
      <c r="G72" s="610">
        <v>275</v>
      </c>
      <c r="H72" s="610"/>
      <c r="I72" s="661"/>
      <c r="J72" s="661"/>
      <c r="K72" s="668" t="s">
        <v>7429</v>
      </c>
      <c r="L72" s="660" t="s">
        <v>7430</v>
      </c>
    </row>
    <row r="73" spans="1:12" s="598" customFormat="1">
      <c r="A73" s="673">
        <v>65</v>
      </c>
      <c r="B73" s="609" t="s">
        <v>5366</v>
      </c>
      <c r="C73" s="669" t="s">
        <v>5387</v>
      </c>
      <c r="D73" s="663" t="s">
        <v>5611</v>
      </c>
      <c r="E73" s="663" t="s">
        <v>5389</v>
      </c>
      <c r="F73" s="664" t="s">
        <v>7431</v>
      </c>
      <c r="G73" s="780">
        <v>1125</v>
      </c>
      <c r="H73" s="610"/>
      <c r="I73" s="661"/>
      <c r="J73" s="661"/>
      <c r="K73" s="790">
        <v>422717242</v>
      </c>
      <c r="L73" s="793" t="s">
        <v>7432</v>
      </c>
    </row>
    <row r="74" spans="1:12" s="598" customFormat="1">
      <c r="A74" s="673">
        <v>66</v>
      </c>
      <c r="B74" s="609" t="s">
        <v>5366</v>
      </c>
      <c r="C74" s="669" t="s">
        <v>5387</v>
      </c>
      <c r="D74" s="663" t="s">
        <v>5687</v>
      </c>
      <c r="E74" s="663" t="s">
        <v>5392</v>
      </c>
      <c r="F74" s="664" t="s">
        <v>7433</v>
      </c>
      <c r="G74" s="789"/>
      <c r="H74" s="610"/>
      <c r="I74" s="661"/>
      <c r="J74" s="661"/>
      <c r="K74" s="791"/>
      <c r="L74" s="794"/>
    </row>
    <row r="75" spans="1:12" s="598" customFormat="1">
      <c r="A75" s="673">
        <v>67</v>
      </c>
      <c r="B75" s="609" t="s">
        <v>5366</v>
      </c>
      <c r="C75" s="669" t="s">
        <v>5387</v>
      </c>
      <c r="D75" s="663" t="s">
        <v>7434</v>
      </c>
      <c r="E75" s="663" t="s">
        <v>5487</v>
      </c>
      <c r="F75" s="664" t="s">
        <v>7435</v>
      </c>
      <c r="G75" s="781"/>
      <c r="H75" s="610"/>
      <c r="I75" s="661"/>
      <c r="J75" s="661"/>
      <c r="K75" s="792"/>
      <c r="L75" s="795"/>
    </row>
    <row r="76" spans="1:12" s="598" customFormat="1">
      <c r="A76" s="673">
        <v>68</v>
      </c>
      <c r="B76" s="609" t="s">
        <v>5366</v>
      </c>
      <c r="C76" s="669" t="s">
        <v>5906</v>
      </c>
      <c r="D76" s="663" t="s">
        <v>5452</v>
      </c>
      <c r="E76" s="663" t="s">
        <v>5517</v>
      </c>
      <c r="F76" s="664" t="s">
        <v>7436</v>
      </c>
      <c r="G76" s="610">
        <v>250</v>
      </c>
      <c r="H76" s="610"/>
      <c r="I76" s="661"/>
      <c r="J76" s="661"/>
      <c r="K76" s="668">
        <v>57001018043</v>
      </c>
      <c r="L76" s="660" t="s">
        <v>7437</v>
      </c>
    </row>
    <row r="77" spans="1:12" s="598" customFormat="1">
      <c r="A77" s="673">
        <v>69</v>
      </c>
      <c r="B77" s="609" t="s">
        <v>5366</v>
      </c>
      <c r="C77" s="669" t="s">
        <v>5475</v>
      </c>
      <c r="D77" s="663" t="s">
        <v>7438</v>
      </c>
      <c r="E77" s="663" t="s">
        <v>5385</v>
      </c>
      <c r="F77" s="664" t="s">
        <v>7439</v>
      </c>
      <c r="G77" s="610">
        <v>160</v>
      </c>
      <c r="H77" s="610"/>
      <c r="I77" s="661"/>
      <c r="J77" s="661"/>
      <c r="K77" s="668" t="s">
        <v>7440</v>
      </c>
      <c r="L77" s="660" t="s">
        <v>7441</v>
      </c>
    </row>
    <row r="78" spans="1:12" s="598" customFormat="1">
      <c r="A78" s="673">
        <v>70</v>
      </c>
      <c r="B78" s="609" t="s">
        <v>5366</v>
      </c>
      <c r="C78" s="669" t="s">
        <v>5387</v>
      </c>
      <c r="D78" s="663" t="s">
        <v>7442</v>
      </c>
      <c r="E78" s="663" t="s">
        <v>5392</v>
      </c>
      <c r="F78" s="664" t="s">
        <v>7443</v>
      </c>
      <c r="G78" s="610">
        <v>160</v>
      </c>
      <c r="H78" s="610"/>
      <c r="I78" s="661"/>
      <c r="J78" s="661"/>
      <c r="K78" s="668">
        <v>43001000261</v>
      </c>
      <c r="L78" s="660" t="s">
        <v>7444</v>
      </c>
    </row>
    <row r="79" spans="1:12" s="598" customFormat="1">
      <c r="A79" s="673">
        <v>71</v>
      </c>
      <c r="B79" s="609" t="s">
        <v>5366</v>
      </c>
      <c r="C79" s="669" t="s">
        <v>5428</v>
      </c>
      <c r="D79" s="663" t="s">
        <v>7445</v>
      </c>
      <c r="E79" s="663" t="s">
        <v>5487</v>
      </c>
      <c r="F79" s="664" t="s">
        <v>7446</v>
      </c>
      <c r="G79" s="780">
        <v>1315</v>
      </c>
      <c r="H79" s="610"/>
      <c r="I79" s="661"/>
      <c r="J79" s="661"/>
      <c r="K79" s="790">
        <v>417881046</v>
      </c>
      <c r="L79" s="793" t="s">
        <v>5406</v>
      </c>
    </row>
    <row r="80" spans="1:12" s="598" customFormat="1">
      <c r="A80" s="673">
        <v>72</v>
      </c>
      <c r="B80" s="609" t="s">
        <v>5366</v>
      </c>
      <c r="C80" s="669" t="s">
        <v>5475</v>
      </c>
      <c r="D80" s="663" t="s">
        <v>5452</v>
      </c>
      <c r="E80" s="663" t="s">
        <v>5507</v>
      </c>
      <c r="F80" s="664" t="s">
        <v>7447</v>
      </c>
      <c r="G80" s="789"/>
      <c r="H80" s="610"/>
      <c r="I80" s="661"/>
      <c r="J80" s="661"/>
      <c r="K80" s="791"/>
      <c r="L80" s="794"/>
    </row>
    <row r="81" spans="1:12" s="598" customFormat="1">
      <c r="A81" s="673">
        <v>73</v>
      </c>
      <c r="B81" s="609" t="s">
        <v>5366</v>
      </c>
      <c r="C81" s="669" t="s">
        <v>5814</v>
      </c>
      <c r="D81" s="663" t="s">
        <v>7448</v>
      </c>
      <c r="E81" s="663" t="s">
        <v>5599</v>
      </c>
      <c r="F81" s="664" t="s">
        <v>7449</v>
      </c>
      <c r="G81" s="789"/>
      <c r="H81" s="610"/>
      <c r="I81" s="661"/>
      <c r="J81" s="661"/>
      <c r="K81" s="791"/>
      <c r="L81" s="794"/>
    </row>
    <row r="82" spans="1:12" s="598" customFormat="1">
      <c r="A82" s="673">
        <v>74</v>
      </c>
      <c r="B82" s="609" t="s">
        <v>5366</v>
      </c>
      <c r="C82" s="669" t="s">
        <v>5401</v>
      </c>
      <c r="D82" s="663" t="s">
        <v>7450</v>
      </c>
      <c r="E82" s="663" t="s">
        <v>5403</v>
      </c>
      <c r="F82" s="664" t="s">
        <v>5404</v>
      </c>
      <c r="G82" s="789"/>
      <c r="H82" s="610"/>
      <c r="I82" s="661"/>
      <c r="J82" s="661"/>
      <c r="K82" s="791"/>
      <c r="L82" s="794"/>
    </row>
    <row r="83" spans="1:12" s="598" customFormat="1">
      <c r="A83" s="673">
        <v>75</v>
      </c>
      <c r="B83" s="609" t="s">
        <v>5366</v>
      </c>
      <c r="C83" s="669" t="s">
        <v>5814</v>
      </c>
      <c r="D83" s="663" t="s">
        <v>7448</v>
      </c>
      <c r="E83" s="663" t="s">
        <v>5599</v>
      </c>
      <c r="F83" s="664" t="s">
        <v>7451</v>
      </c>
      <c r="G83" s="789"/>
      <c r="H83" s="610"/>
      <c r="I83" s="661"/>
      <c r="J83" s="661"/>
      <c r="K83" s="791"/>
      <c r="L83" s="794"/>
    </row>
    <row r="84" spans="1:12" s="598" customFormat="1">
      <c r="A84" s="673">
        <v>76</v>
      </c>
      <c r="B84" s="609" t="s">
        <v>5366</v>
      </c>
      <c r="C84" s="669" t="s">
        <v>5401</v>
      </c>
      <c r="D84" s="663" t="s">
        <v>7452</v>
      </c>
      <c r="E84" s="663" t="s">
        <v>5374</v>
      </c>
      <c r="F84" s="664" t="s">
        <v>7453</v>
      </c>
      <c r="G84" s="789"/>
      <c r="H84" s="610"/>
      <c r="I84" s="661"/>
      <c r="J84" s="661"/>
      <c r="K84" s="791"/>
      <c r="L84" s="794"/>
    </row>
    <row r="85" spans="1:12" s="598" customFormat="1">
      <c r="A85" s="673">
        <v>77</v>
      </c>
      <c r="B85" s="609" t="s">
        <v>5366</v>
      </c>
      <c r="C85" s="669" t="s">
        <v>5814</v>
      </c>
      <c r="D85" s="663" t="s">
        <v>7448</v>
      </c>
      <c r="E85" s="663" t="s">
        <v>5599</v>
      </c>
      <c r="F85" s="664" t="s">
        <v>7454</v>
      </c>
      <c r="G85" s="781"/>
      <c r="H85" s="610"/>
      <c r="I85" s="661"/>
      <c r="J85" s="661"/>
      <c r="K85" s="792"/>
      <c r="L85" s="795"/>
    </row>
    <row r="86" spans="1:12" s="598" customFormat="1">
      <c r="A86" s="673">
        <v>78</v>
      </c>
      <c r="B86" s="609" t="s">
        <v>5366</v>
      </c>
      <c r="C86" s="669" t="s">
        <v>5475</v>
      </c>
      <c r="D86" s="663" t="s">
        <v>5506</v>
      </c>
      <c r="E86" s="663" t="s">
        <v>5389</v>
      </c>
      <c r="F86" s="664" t="s">
        <v>7455</v>
      </c>
      <c r="G86" s="610">
        <v>312.5</v>
      </c>
      <c r="H86" s="660">
        <v>41001013417</v>
      </c>
      <c r="I86" s="661" t="s">
        <v>6081</v>
      </c>
      <c r="J86" s="661" t="s">
        <v>6082</v>
      </c>
      <c r="K86" s="668"/>
      <c r="L86" s="660"/>
    </row>
    <row r="87" spans="1:12" s="598" customFormat="1">
      <c r="A87" s="673">
        <v>79</v>
      </c>
      <c r="B87" s="609" t="s">
        <v>5366</v>
      </c>
      <c r="C87" s="669" t="s">
        <v>5387</v>
      </c>
      <c r="D87" s="663" t="s">
        <v>7269</v>
      </c>
      <c r="E87" s="663" t="s">
        <v>5487</v>
      </c>
      <c r="F87" s="664" t="s">
        <v>7456</v>
      </c>
      <c r="G87" s="610">
        <v>250</v>
      </c>
      <c r="H87" s="610"/>
      <c r="I87" s="661"/>
      <c r="J87" s="661"/>
      <c r="K87" s="668">
        <v>55001021754</v>
      </c>
      <c r="L87" s="660" t="s">
        <v>7457</v>
      </c>
    </row>
    <row r="88" spans="1:12" s="598" customFormat="1">
      <c r="A88" s="673">
        <v>80</v>
      </c>
      <c r="B88" s="609" t="s">
        <v>5366</v>
      </c>
      <c r="C88" s="669" t="s">
        <v>5387</v>
      </c>
      <c r="D88" s="663" t="s">
        <v>7458</v>
      </c>
      <c r="E88" s="663" t="s">
        <v>5411</v>
      </c>
      <c r="F88" s="664" t="s">
        <v>7459</v>
      </c>
      <c r="G88" s="610">
        <v>275</v>
      </c>
      <c r="H88" s="610"/>
      <c r="I88" s="661"/>
      <c r="J88" s="661"/>
      <c r="K88" s="668" t="s">
        <v>5503</v>
      </c>
      <c r="L88" s="660" t="s">
        <v>5504</v>
      </c>
    </row>
    <row r="89" spans="1:12" s="598" customFormat="1">
      <c r="A89" s="673">
        <v>81</v>
      </c>
      <c r="B89" s="609" t="s">
        <v>5366</v>
      </c>
      <c r="C89" s="669" t="s">
        <v>5387</v>
      </c>
      <c r="D89" s="663" t="s">
        <v>7460</v>
      </c>
      <c r="E89" s="663" t="s">
        <v>6144</v>
      </c>
      <c r="F89" s="664" t="s">
        <v>7461</v>
      </c>
      <c r="G89" s="610">
        <v>275</v>
      </c>
      <c r="H89" s="610"/>
      <c r="I89" s="661"/>
      <c r="J89" s="661"/>
      <c r="K89" s="668">
        <v>56001000902</v>
      </c>
      <c r="L89" s="660" t="s">
        <v>7462</v>
      </c>
    </row>
    <row r="90" spans="1:12" s="598" customFormat="1">
      <c r="A90" s="673">
        <v>82</v>
      </c>
      <c r="B90" s="609" t="s">
        <v>5366</v>
      </c>
      <c r="C90" s="669" t="s">
        <v>5475</v>
      </c>
      <c r="D90" s="663" t="s">
        <v>6149</v>
      </c>
      <c r="E90" s="663" t="s">
        <v>5599</v>
      </c>
      <c r="F90" s="664" t="s">
        <v>7463</v>
      </c>
      <c r="G90" s="610">
        <v>320</v>
      </c>
      <c r="H90" s="610"/>
      <c r="I90" s="661"/>
      <c r="J90" s="661"/>
      <c r="K90" s="668">
        <v>53001013336</v>
      </c>
      <c r="L90" s="660" t="s">
        <v>7464</v>
      </c>
    </row>
    <row r="91" spans="1:12" s="598" customFormat="1">
      <c r="A91" s="673">
        <v>83</v>
      </c>
      <c r="B91" s="609" t="s">
        <v>5366</v>
      </c>
      <c r="C91" s="669" t="s">
        <v>5475</v>
      </c>
      <c r="D91" s="663" t="s">
        <v>6184</v>
      </c>
      <c r="E91" s="663" t="s">
        <v>5392</v>
      </c>
      <c r="F91" s="664" t="s">
        <v>7465</v>
      </c>
      <c r="G91" s="610">
        <v>260</v>
      </c>
      <c r="H91" s="610"/>
      <c r="I91" s="661"/>
      <c r="J91" s="661"/>
      <c r="K91" s="668">
        <v>53001023115</v>
      </c>
      <c r="L91" s="660" t="s">
        <v>7466</v>
      </c>
    </row>
    <row r="92" spans="1:12" s="598" customFormat="1">
      <c r="A92" s="673">
        <v>84</v>
      </c>
      <c r="B92" s="609" t="s">
        <v>5366</v>
      </c>
      <c r="C92" s="669" t="s">
        <v>5829</v>
      </c>
      <c r="D92" s="663" t="s">
        <v>7467</v>
      </c>
      <c r="E92" s="663" t="s">
        <v>5392</v>
      </c>
      <c r="F92" s="664" t="s">
        <v>7468</v>
      </c>
      <c r="G92" s="780">
        <v>2600</v>
      </c>
      <c r="H92" s="610"/>
      <c r="I92" s="661"/>
      <c r="J92" s="661"/>
      <c r="K92" s="790">
        <v>412716770</v>
      </c>
      <c r="L92" s="793" t="s">
        <v>5774</v>
      </c>
    </row>
    <row r="93" spans="1:12" s="598" customFormat="1">
      <c r="A93" s="673">
        <v>85</v>
      </c>
      <c r="B93" s="609" t="s">
        <v>5366</v>
      </c>
      <c r="C93" s="669" t="s">
        <v>5836</v>
      </c>
      <c r="D93" s="663" t="s">
        <v>7469</v>
      </c>
      <c r="E93" s="663" t="s">
        <v>5418</v>
      </c>
      <c r="F93" s="664" t="s">
        <v>5838</v>
      </c>
      <c r="G93" s="789"/>
      <c r="H93" s="610"/>
      <c r="I93" s="661"/>
      <c r="J93" s="661"/>
      <c r="K93" s="791"/>
      <c r="L93" s="794"/>
    </row>
    <row r="94" spans="1:12" s="598" customFormat="1">
      <c r="A94" s="673">
        <v>86</v>
      </c>
      <c r="B94" s="609" t="s">
        <v>5366</v>
      </c>
      <c r="C94" s="669" t="s">
        <v>5367</v>
      </c>
      <c r="D94" s="663" t="s">
        <v>6685</v>
      </c>
      <c r="E94" s="663" t="s">
        <v>5497</v>
      </c>
      <c r="F94" s="664" t="s">
        <v>7470</v>
      </c>
      <c r="G94" s="789"/>
      <c r="H94" s="610"/>
      <c r="I94" s="661"/>
      <c r="J94" s="661"/>
      <c r="K94" s="791"/>
      <c r="L94" s="794"/>
    </row>
    <row r="95" spans="1:12" s="598" customFormat="1">
      <c r="A95" s="673">
        <v>87</v>
      </c>
      <c r="B95" s="609" t="s">
        <v>5366</v>
      </c>
      <c r="C95" s="669" t="s">
        <v>5475</v>
      </c>
      <c r="D95" s="663" t="s">
        <v>5476</v>
      </c>
      <c r="E95" s="663" t="s">
        <v>5389</v>
      </c>
      <c r="F95" s="664" t="s">
        <v>7471</v>
      </c>
      <c r="G95" s="781"/>
      <c r="H95" s="610"/>
      <c r="I95" s="661"/>
      <c r="J95" s="661"/>
      <c r="K95" s="792"/>
      <c r="L95" s="795"/>
    </row>
    <row r="96" spans="1:12" s="598" customFormat="1">
      <c r="A96" s="673">
        <v>88</v>
      </c>
      <c r="B96" s="609" t="s">
        <v>5366</v>
      </c>
      <c r="C96" s="669" t="s">
        <v>5475</v>
      </c>
      <c r="D96" s="663" t="s">
        <v>7472</v>
      </c>
      <c r="E96" s="663" t="s">
        <v>5487</v>
      </c>
      <c r="F96" s="664" t="s">
        <v>6083</v>
      </c>
      <c r="G96" s="610">
        <v>264</v>
      </c>
      <c r="H96" s="610">
        <v>38001010067</v>
      </c>
      <c r="I96" s="661" t="s">
        <v>7338</v>
      </c>
      <c r="J96" s="661" t="s">
        <v>6086</v>
      </c>
      <c r="K96" s="668"/>
      <c r="L96" s="660" t="s">
        <v>7473</v>
      </c>
    </row>
    <row r="97" spans="1:12" s="598" customFormat="1">
      <c r="A97" s="673">
        <v>89</v>
      </c>
      <c r="B97" s="609" t="s">
        <v>5366</v>
      </c>
      <c r="C97" s="667" t="s">
        <v>5475</v>
      </c>
      <c r="D97" s="658" t="s">
        <v>7474</v>
      </c>
      <c r="E97" s="671" t="s">
        <v>5517</v>
      </c>
      <c r="F97" s="664" t="s">
        <v>6101</v>
      </c>
      <c r="G97" s="660">
        <v>264</v>
      </c>
      <c r="H97" s="660"/>
      <c r="I97" s="661"/>
      <c r="J97" s="661"/>
      <c r="K97" s="668">
        <v>54001011131</v>
      </c>
      <c r="L97" s="660" t="s">
        <v>5520</v>
      </c>
    </row>
    <row r="98" spans="1:12" s="598" customFormat="1">
      <c r="A98" s="673">
        <v>90</v>
      </c>
      <c r="B98" s="609" t="s">
        <v>5366</v>
      </c>
      <c r="C98" s="667" t="s">
        <v>5536</v>
      </c>
      <c r="D98" s="658" t="s">
        <v>7475</v>
      </c>
      <c r="E98" s="671" t="s">
        <v>5581</v>
      </c>
      <c r="F98" s="664" t="s">
        <v>7476</v>
      </c>
      <c r="G98" s="660">
        <v>700</v>
      </c>
      <c r="H98" s="660"/>
      <c r="I98" s="661"/>
      <c r="J98" s="661"/>
      <c r="K98" s="668">
        <v>37001001856</v>
      </c>
      <c r="L98" s="660" t="s">
        <v>7477</v>
      </c>
    </row>
    <row r="99" spans="1:12" s="598" customFormat="1">
      <c r="A99" s="673">
        <v>91</v>
      </c>
      <c r="B99" s="609" t="s">
        <v>5366</v>
      </c>
      <c r="C99" s="667" t="s">
        <v>5387</v>
      </c>
      <c r="D99" s="658" t="s">
        <v>7275</v>
      </c>
      <c r="E99" s="671" t="s">
        <v>5487</v>
      </c>
      <c r="F99" s="664" t="s">
        <v>7478</v>
      </c>
      <c r="G99" s="660">
        <v>300</v>
      </c>
      <c r="H99" s="660"/>
      <c r="I99" s="661"/>
      <c r="J99" s="661"/>
      <c r="K99" s="668">
        <v>17001002009</v>
      </c>
      <c r="L99" s="660" t="s">
        <v>7479</v>
      </c>
    </row>
    <row r="100" spans="1:12" s="598" customFormat="1">
      <c r="A100" s="673">
        <v>92</v>
      </c>
      <c r="B100" s="609" t="s">
        <v>5366</v>
      </c>
      <c r="C100" s="660" t="s">
        <v>5475</v>
      </c>
      <c r="D100" s="660" t="s">
        <v>7480</v>
      </c>
      <c r="E100" s="660">
        <v>1998</v>
      </c>
      <c r="F100" s="610" t="s">
        <v>7481</v>
      </c>
      <c r="G100" s="660">
        <v>300</v>
      </c>
      <c r="H100" s="660"/>
      <c r="I100" s="661"/>
      <c r="J100" s="661"/>
      <c r="K100" s="672">
        <v>17001019015</v>
      </c>
      <c r="L100" s="660" t="s">
        <v>7482</v>
      </c>
    </row>
    <row r="101" spans="1:12" s="598" customFormat="1" ht="15" customHeight="1">
      <c r="A101" s="673">
        <v>93</v>
      </c>
      <c r="B101" s="609" t="s">
        <v>5366</v>
      </c>
      <c r="C101" s="660" t="s">
        <v>5475</v>
      </c>
      <c r="D101" s="660" t="s">
        <v>5496</v>
      </c>
      <c r="E101" s="660">
        <v>2006</v>
      </c>
      <c r="F101" s="610" t="s">
        <v>7483</v>
      </c>
      <c r="G101" s="660">
        <v>280</v>
      </c>
      <c r="H101" s="660"/>
      <c r="I101" s="661"/>
      <c r="J101" s="661"/>
      <c r="K101" s="672" t="s">
        <v>6131</v>
      </c>
      <c r="L101" s="660" t="s">
        <v>7484</v>
      </c>
    </row>
    <row r="102" spans="1:12" s="598" customFormat="1">
      <c r="A102" s="673">
        <v>94</v>
      </c>
      <c r="B102" s="609" t="s">
        <v>5366</v>
      </c>
      <c r="C102" s="660" t="s">
        <v>5475</v>
      </c>
      <c r="D102" s="660" t="s">
        <v>5496</v>
      </c>
      <c r="E102" s="660">
        <v>2008</v>
      </c>
      <c r="F102" s="610" t="s">
        <v>5498</v>
      </c>
      <c r="G102" s="660">
        <v>280</v>
      </c>
      <c r="H102" s="660"/>
      <c r="I102" s="661"/>
      <c r="J102" s="661"/>
      <c r="K102" s="672" t="s">
        <v>5499</v>
      </c>
      <c r="L102" s="660" t="s">
        <v>5500</v>
      </c>
    </row>
    <row r="103" spans="1:12" s="598" customFormat="1" ht="30">
      <c r="A103" s="673">
        <v>95</v>
      </c>
      <c r="B103" s="609" t="s">
        <v>5366</v>
      </c>
      <c r="C103" s="660" t="s">
        <v>5387</v>
      </c>
      <c r="D103" s="660" t="s">
        <v>5407</v>
      </c>
      <c r="E103" s="660">
        <v>2007</v>
      </c>
      <c r="F103" s="610" t="s">
        <v>6108</v>
      </c>
      <c r="G103" s="660">
        <v>250</v>
      </c>
      <c r="H103" s="660"/>
      <c r="I103" s="661"/>
      <c r="J103" s="661"/>
      <c r="K103" s="672">
        <v>21001005646</v>
      </c>
      <c r="L103" s="660" t="s">
        <v>7485</v>
      </c>
    </row>
    <row r="104" spans="1:12" s="598" customFormat="1">
      <c r="A104" s="673">
        <v>96</v>
      </c>
      <c r="B104" s="609" t="s">
        <v>5366</v>
      </c>
      <c r="C104" s="660" t="s">
        <v>5387</v>
      </c>
      <c r="D104" s="660" t="s">
        <v>5373</v>
      </c>
      <c r="E104" s="660">
        <v>1996</v>
      </c>
      <c r="F104" s="610" t="s">
        <v>6111</v>
      </c>
      <c r="G104" s="660">
        <v>250</v>
      </c>
      <c r="H104" s="660"/>
      <c r="I104" s="661"/>
      <c r="J104" s="661"/>
      <c r="K104" s="672">
        <v>21001012309</v>
      </c>
      <c r="L104" s="660" t="s">
        <v>7486</v>
      </c>
    </row>
    <row r="105" spans="1:12" s="598" customFormat="1">
      <c r="A105" s="673">
        <v>97</v>
      </c>
      <c r="B105" s="609" t="s">
        <v>5366</v>
      </c>
      <c r="C105" s="660" t="s">
        <v>5475</v>
      </c>
      <c r="D105" s="660" t="s">
        <v>7487</v>
      </c>
      <c r="E105" s="660">
        <v>2009</v>
      </c>
      <c r="F105" s="610" t="s">
        <v>5765</v>
      </c>
      <c r="G105" s="793">
        <v>900</v>
      </c>
      <c r="H105" s="660"/>
      <c r="I105" s="661"/>
      <c r="J105" s="661"/>
      <c r="K105" s="790">
        <v>230095802</v>
      </c>
      <c r="L105" s="793" t="s">
        <v>5577</v>
      </c>
    </row>
    <row r="106" spans="1:12" s="598" customFormat="1">
      <c r="A106" s="673">
        <v>98</v>
      </c>
      <c r="B106" s="609" t="s">
        <v>5366</v>
      </c>
      <c r="C106" s="660" t="s">
        <v>5475</v>
      </c>
      <c r="D106" s="660" t="s">
        <v>5506</v>
      </c>
      <c r="E106" s="660">
        <v>1998</v>
      </c>
      <c r="F106" s="610" t="s">
        <v>7488</v>
      </c>
      <c r="G106" s="794"/>
      <c r="H106" s="660"/>
      <c r="I106" s="661"/>
      <c r="J106" s="661"/>
      <c r="K106" s="791"/>
      <c r="L106" s="794"/>
    </row>
    <row r="107" spans="1:12" s="598" customFormat="1">
      <c r="A107" s="673">
        <v>99</v>
      </c>
      <c r="B107" s="609" t="s">
        <v>5366</v>
      </c>
      <c r="C107" s="660" t="s">
        <v>5475</v>
      </c>
      <c r="D107" s="660" t="s">
        <v>5476</v>
      </c>
      <c r="E107" s="660">
        <v>1999</v>
      </c>
      <c r="F107" s="610" t="s">
        <v>5705</v>
      </c>
      <c r="G107" s="794"/>
      <c r="H107" s="660"/>
      <c r="I107" s="661"/>
      <c r="J107" s="661"/>
      <c r="K107" s="791"/>
      <c r="L107" s="794"/>
    </row>
    <row r="108" spans="1:12" s="598" customFormat="1">
      <c r="A108" s="673">
        <v>100</v>
      </c>
      <c r="B108" s="609" t="s">
        <v>5366</v>
      </c>
      <c r="C108" s="660" t="s">
        <v>5475</v>
      </c>
      <c r="D108" s="660" t="s">
        <v>5415</v>
      </c>
      <c r="E108" s="660">
        <v>2007</v>
      </c>
      <c r="F108" s="610" t="s">
        <v>7489</v>
      </c>
      <c r="G108" s="795"/>
      <c r="H108" s="660"/>
      <c r="I108" s="661"/>
      <c r="J108" s="661"/>
      <c r="K108" s="792"/>
      <c r="L108" s="795"/>
    </row>
    <row r="109" spans="1:12" s="598" customFormat="1">
      <c r="A109" s="673">
        <v>101</v>
      </c>
      <c r="B109" s="609" t="s">
        <v>7490</v>
      </c>
      <c r="C109" s="660" t="s">
        <v>5387</v>
      </c>
      <c r="D109" s="660" t="s">
        <v>7491</v>
      </c>
      <c r="E109" s="660">
        <v>2002</v>
      </c>
      <c r="F109" s="610" t="s">
        <v>6649</v>
      </c>
      <c r="G109" s="660">
        <v>187</v>
      </c>
      <c r="H109" s="660"/>
      <c r="I109" s="661"/>
      <c r="J109" s="661"/>
      <c r="K109" s="672">
        <v>61009009694</v>
      </c>
      <c r="L109" s="610" t="s">
        <v>7492</v>
      </c>
    </row>
    <row r="110" spans="1:12" s="598" customFormat="1">
      <c r="A110" s="673">
        <v>102</v>
      </c>
      <c r="B110" s="609" t="s">
        <v>5366</v>
      </c>
      <c r="C110" s="660" t="s">
        <v>5387</v>
      </c>
      <c r="D110" s="660" t="s">
        <v>6483</v>
      </c>
      <c r="E110" s="660">
        <v>1995</v>
      </c>
      <c r="F110" s="610" t="s">
        <v>6484</v>
      </c>
      <c r="G110" s="793">
        <v>700</v>
      </c>
      <c r="H110" s="660"/>
      <c r="I110" s="661"/>
      <c r="J110" s="661"/>
      <c r="K110" s="790">
        <v>216394391</v>
      </c>
      <c r="L110" s="793" t="s">
        <v>6473</v>
      </c>
    </row>
    <row r="111" spans="1:12" s="598" customFormat="1">
      <c r="A111" s="673">
        <v>103</v>
      </c>
      <c r="B111" s="609" t="s">
        <v>5366</v>
      </c>
      <c r="C111" s="660" t="s">
        <v>5475</v>
      </c>
      <c r="D111" s="660" t="s">
        <v>5452</v>
      </c>
      <c r="E111" s="660">
        <v>2002</v>
      </c>
      <c r="F111" s="610" t="s">
        <v>6476</v>
      </c>
      <c r="G111" s="794"/>
      <c r="H111" s="660"/>
      <c r="I111" s="661"/>
      <c r="J111" s="661"/>
      <c r="K111" s="791"/>
      <c r="L111" s="794"/>
    </row>
    <row r="112" spans="1:12" s="598" customFormat="1" ht="30">
      <c r="A112" s="673">
        <v>104</v>
      </c>
      <c r="B112" s="609" t="s">
        <v>5366</v>
      </c>
      <c r="C112" s="660" t="s">
        <v>5387</v>
      </c>
      <c r="D112" s="660" t="s">
        <v>7274</v>
      </c>
      <c r="E112" s="660">
        <v>1992</v>
      </c>
      <c r="F112" s="610" t="s">
        <v>6486</v>
      </c>
      <c r="G112" s="794"/>
      <c r="H112" s="660"/>
      <c r="I112" s="661"/>
      <c r="J112" s="661"/>
      <c r="K112" s="791"/>
      <c r="L112" s="794"/>
    </row>
    <row r="113" spans="1:12" s="598" customFormat="1">
      <c r="A113" s="673">
        <v>105</v>
      </c>
      <c r="B113" s="609" t="s">
        <v>5366</v>
      </c>
      <c r="C113" s="660" t="s">
        <v>5387</v>
      </c>
      <c r="D113" s="660" t="s">
        <v>5373</v>
      </c>
      <c r="E113" s="660">
        <v>1991</v>
      </c>
      <c r="F113" s="610" t="s">
        <v>6478</v>
      </c>
      <c r="G113" s="794"/>
      <c r="H113" s="660"/>
      <c r="I113" s="661"/>
      <c r="J113" s="661"/>
      <c r="K113" s="791"/>
      <c r="L113" s="794"/>
    </row>
    <row r="114" spans="1:12" s="598" customFormat="1" ht="30">
      <c r="A114" s="673">
        <v>106</v>
      </c>
      <c r="B114" s="609" t="s">
        <v>5366</v>
      </c>
      <c r="C114" s="660" t="s">
        <v>5387</v>
      </c>
      <c r="D114" s="660" t="s">
        <v>7274</v>
      </c>
      <c r="E114" s="660">
        <v>1993</v>
      </c>
      <c r="F114" s="610" t="s">
        <v>6482</v>
      </c>
      <c r="G114" s="794"/>
      <c r="H114" s="660"/>
      <c r="I114" s="661"/>
      <c r="J114" s="661"/>
      <c r="K114" s="791"/>
      <c r="L114" s="794"/>
    </row>
    <row r="115" spans="1:12" s="598" customFormat="1" ht="30">
      <c r="A115" s="673">
        <v>107</v>
      </c>
      <c r="B115" s="609" t="s">
        <v>5366</v>
      </c>
      <c r="C115" s="660" t="s">
        <v>5387</v>
      </c>
      <c r="D115" s="660" t="s">
        <v>6348</v>
      </c>
      <c r="E115" s="660">
        <v>1994</v>
      </c>
      <c r="F115" s="610" t="s">
        <v>6477</v>
      </c>
      <c r="G115" s="794"/>
      <c r="H115" s="660"/>
      <c r="I115" s="661"/>
      <c r="J115" s="661"/>
      <c r="K115" s="791"/>
      <c r="L115" s="794"/>
    </row>
    <row r="116" spans="1:12" s="598" customFormat="1">
      <c r="A116" s="673">
        <v>108</v>
      </c>
      <c r="B116" s="609" t="s">
        <v>5366</v>
      </c>
      <c r="C116" s="660" t="s">
        <v>5387</v>
      </c>
      <c r="D116" s="660" t="s">
        <v>5373</v>
      </c>
      <c r="E116" s="660">
        <v>1993</v>
      </c>
      <c r="F116" s="610" t="s">
        <v>6472</v>
      </c>
      <c r="G116" s="794"/>
      <c r="H116" s="660"/>
      <c r="I116" s="661"/>
      <c r="J116" s="661"/>
      <c r="K116" s="791"/>
      <c r="L116" s="794"/>
    </row>
    <row r="117" spans="1:12" s="598" customFormat="1">
      <c r="A117" s="673">
        <v>109</v>
      </c>
      <c r="B117" s="609" t="s">
        <v>5366</v>
      </c>
      <c r="C117" s="660" t="s">
        <v>5387</v>
      </c>
      <c r="D117" s="660" t="s">
        <v>5373</v>
      </c>
      <c r="E117" s="660">
        <v>1993</v>
      </c>
      <c r="F117" s="610" t="s">
        <v>6474</v>
      </c>
      <c r="G117" s="794"/>
      <c r="H117" s="660"/>
      <c r="I117" s="661"/>
      <c r="J117" s="661"/>
      <c r="K117" s="791"/>
      <c r="L117" s="794"/>
    </row>
    <row r="118" spans="1:12" s="598" customFormat="1">
      <c r="A118" s="673">
        <v>110</v>
      </c>
      <c r="B118" s="609" t="s">
        <v>5366</v>
      </c>
      <c r="C118" s="660" t="s">
        <v>5387</v>
      </c>
      <c r="D118" s="660" t="s">
        <v>7275</v>
      </c>
      <c r="E118" s="660">
        <v>1996</v>
      </c>
      <c r="F118" s="610" t="s">
        <v>6480</v>
      </c>
      <c r="G118" s="794"/>
      <c r="H118" s="660"/>
      <c r="I118" s="661"/>
      <c r="J118" s="661"/>
      <c r="K118" s="791"/>
      <c r="L118" s="794"/>
    </row>
    <row r="119" spans="1:12" s="598" customFormat="1" ht="30">
      <c r="A119" s="673">
        <v>111</v>
      </c>
      <c r="B119" s="609" t="s">
        <v>5366</v>
      </c>
      <c r="C119" s="660" t="s">
        <v>5387</v>
      </c>
      <c r="D119" s="660" t="s">
        <v>7274</v>
      </c>
      <c r="E119" s="660">
        <v>1990</v>
      </c>
      <c r="F119" s="610" t="s">
        <v>6485</v>
      </c>
      <c r="G119" s="795"/>
      <c r="H119" s="660"/>
      <c r="I119" s="661"/>
      <c r="J119" s="661"/>
      <c r="K119" s="792"/>
      <c r="L119" s="795"/>
    </row>
    <row r="120" spans="1:12" s="598" customFormat="1">
      <c r="A120" s="673">
        <v>112</v>
      </c>
      <c r="B120" s="609" t="s">
        <v>5366</v>
      </c>
      <c r="C120" s="660" t="s">
        <v>5475</v>
      </c>
      <c r="D120" s="660" t="s">
        <v>6331</v>
      </c>
      <c r="E120" s="660">
        <v>1998</v>
      </c>
      <c r="F120" s="610" t="s">
        <v>7493</v>
      </c>
      <c r="G120" s="793">
        <v>780</v>
      </c>
      <c r="H120" s="660"/>
      <c r="I120" s="660"/>
      <c r="J120" s="660"/>
      <c r="K120" s="796">
        <v>434160070</v>
      </c>
      <c r="L120" s="797" t="s">
        <v>5395</v>
      </c>
    </row>
    <row r="121" spans="1:12" s="598" customFormat="1">
      <c r="A121" s="673">
        <v>113</v>
      </c>
      <c r="B121" s="609" t="s">
        <v>5366</v>
      </c>
      <c r="C121" s="660" t="s">
        <v>5475</v>
      </c>
      <c r="D121" s="660" t="s">
        <v>5718</v>
      </c>
      <c r="E121" s="660">
        <v>1996</v>
      </c>
      <c r="F121" s="610" t="s">
        <v>7494</v>
      </c>
      <c r="G121" s="794"/>
      <c r="H121" s="660"/>
      <c r="I121" s="660"/>
      <c r="J121" s="660"/>
      <c r="K121" s="796"/>
      <c r="L121" s="797"/>
    </row>
    <row r="122" spans="1:12" s="598" customFormat="1">
      <c r="A122" s="673">
        <v>114</v>
      </c>
      <c r="B122" s="609" t="s">
        <v>5366</v>
      </c>
      <c r="C122" s="660" t="s">
        <v>5475</v>
      </c>
      <c r="D122" s="660" t="s">
        <v>5580</v>
      </c>
      <c r="E122" s="660">
        <v>1997</v>
      </c>
      <c r="F122" s="610" t="s">
        <v>7495</v>
      </c>
      <c r="G122" s="794"/>
      <c r="H122" s="660"/>
      <c r="I122" s="660"/>
      <c r="J122" s="660"/>
      <c r="K122" s="796"/>
      <c r="L122" s="797"/>
    </row>
    <row r="123" spans="1:12" s="598" customFormat="1">
      <c r="A123" s="673">
        <v>115</v>
      </c>
      <c r="B123" s="609" t="s">
        <v>6281</v>
      </c>
      <c r="C123" s="660" t="s">
        <v>5387</v>
      </c>
      <c r="D123" s="660" t="s">
        <v>5373</v>
      </c>
      <c r="E123" s="660">
        <v>1997</v>
      </c>
      <c r="F123" s="610" t="s">
        <v>6561</v>
      </c>
      <c r="G123" s="794"/>
      <c r="H123" s="660"/>
      <c r="I123" s="660"/>
      <c r="J123" s="660"/>
      <c r="K123" s="796"/>
      <c r="L123" s="797"/>
    </row>
    <row r="124" spans="1:12" s="598" customFormat="1">
      <c r="A124" s="673">
        <v>116</v>
      </c>
      <c r="B124" s="609" t="s">
        <v>5366</v>
      </c>
      <c r="C124" s="660" t="s">
        <v>5475</v>
      </c>
      <c r="D124" s="660" t="s">
        <v>7480</v>
      </c>
      <c r="E124" s="660">
        <v>1998</v>
      </c>
      <c r="F124" s="610" t="s">
        <v>7496</v>
      </c>
      <c r="G124" s="794"/>
      <c r="H124" s="660"/>
      <c r="I124" s="660"/>
      <c r="J124" s="660"/>
      <c r="K124" s="796"/>
      <c r="L124" s="797"/>
    </row>
    <row r="125" spans="1:12" s="598" customFormat="1">
      <c r="A125" s="673">
        <v>117</v>
      </c>
      <c r="B125" s="609" t="s">
        <v>5366</v>
      </c>
      <c r="C125" s="660" t="s">
        <v>5475</v>
      </c>
      <c r="D125" s="660" t="s">
        <v>6379</v>
      </c>
      <c r="E125" s="660">
        <v>1997</v>
      </c>
      <c r="F125" s="610" t="s">
        <v>5393</v>
      </c>
      <c r="G125" s="794"/>
      <c r="H125" s="660"/>
      <c r="I125" s="660"/>
      <c r="J125" s="660"/>
      <c r="K125" s="796"/>
      <c r="L125" s="797"/>
    </row>
    <row r="126" spans="1:12" s="598" customFormat="1">
      <c r="A126" s="673">
        <v>118</v>
      </c>
      <c r="B126" s="609" t="s">
        <v>5366</v>
      </c>
      <c r="C126" s="660" t="s">
        <v>5475</v>
      </c>
      <c r="D126" s="660" t="s">
        <v>7384</v>
      </c>
      <c r="E126" s="660">
        <v>2002</v>
      </c>
      <c r="F126" s="610" t="s">
        <v>7497</v>
      </c>
      <c r="G126" s="794"/>
      <c r="H126" s="660"/>
      <c r="I126" s="660"/>
      <c r="J126" s="660"/>
      <c r="K126" s="796"/>
      <c r="L126" s="797"/>
    </row>
    <row r="127" spans="1:12" s="598" customFormat="1">
      <c r="A127" s="673">
        <v>119</v>
      </c>
      <c r="B127" s="609" t="s">
        <v>5366</v>
      </c>
      <c r="C127" s="660" t="s">
        <v>5475</v>
      </c>
      <c r="D127" s="660" t="s">
        <v>7498</v>
      </c>
      <c r="E127" s="660">
        <v>1997</v>
      </c>
      <c r="F127" s="610" t="s">
        <v>7499</v>
      </c>
      <c r="G127" s="794"/>
      <c r="H127" s="660"/>
      <c r="I127" s="660"/>
      <c r="J127" s="660"/>
      <c r="K127" s="796"/>
      <c r="L127" s="797"/>
    </row>
    <row r="128" spans="1:12" s="598" customFormat="1">
      <c r="A128" s="673">
        <v>120</v>
      </c>
      <c r="B128" s="609" t="s">
        <v>5366</v>
      </c>
      <c r="C128" s="660" t="s">
        <v>5387</v>
      </c>
      <c r="D128" s="660" t="s">
        <v>7500</v>
      </c>
      <c r="E128" s="660">
        <v>1999</v>
      </c>
      <c r="F128" s="610" t="s">
        <v>7501</v>
      </c>
      <c r="G128" s="794"/>
      <c r="H128" s="660"/>
      <c r="I128" s="660"/>
      <c r="J128" s="660"/>
      <c r="K128" s="796"/>
      <c r="L128" s="797"/>
    </row>
    <row r="129" spans="1:12" s="598" customFormat="1">
      <c r="A129" s="673">
        <v>121</v>
      </c>
      <c r="B129" s="609" t="s">
        <v>6281</v>
      </c>
      <c r="C129" s="660" t="s">
        <v>5387</v>
      </c>
      <c r="D129" s="660" t="s">
        <v>5373</v>
      </c>
      <c r="E129" s="660">
        <v>1999</v>
      </c>
      <c r="F129" s="610" t="s">
        <v>6566</v>
      </c>
      <c r="G129" s="795"/>
      <c r="H129" s="660"/>
      <c r="I129" s="660"/>
      <c r="J129" s="660"/>
      <c r="K129" s="796"/>
      <c r="L129" s="797"/>
    </row>
    <row r="130" spans="1:12" s="598" customFormat="1">
      <c r="A130" s="673">
        <v>122</v>
      </c>
      <c r="B130" s="609" t="s">
        <v>5366</v>
      </c>
      <c r="C130" s="660" t="s">
        <v>5475</v>
      </c>
      <c r="D130" s="660" t="s">
        <v>5506</v>
      </c>
      <c r="E130" s="660">
        <v>1998</v>
      </c>
      <c r="F130" s="610" t="s">
        <v>7502</v>
      </c>
      <c r="G130" s="660">
        <v>160</v>
      </c>
      <c r="H130" s="660"/>
      <c r="I130" s="660"/>
      <c r="J130" s="660"/>
      <c r="K130" s="668">
        <v>10001011347</v>
      </c>
      <c r="L130" s="660" t="s">
        <v>7503</v>
      </c>
    </row>
    <row r="131" spans="1:12" s="598" customFormat="1">
      <c r="A131" s="673">
        <v>123</v>
      </c>
      <c r="B131" s="609" t="s">
        <v>5366</v>
      </c>
      <c r="C131" s="660" t="s">
        <v>5387</v>
      </c>
      <c r="D131" s="660" t="s">
        <v>5373</v>
      </c>
      <c r="E131" s="660">
        <v>2004</v>
      </c>
      <c r="F131" s="610" t="s">
        <v>5460</v>
      </c>
      <c r="G131" s="660">
        <v>160</v>
      </c>
      <c r="H131" s="660"/>
      <c r="I131" s="660"/>
      <c r="J131" s="660"/>
      <c r="K131" s="668" t="s">
        <v>5461</v>
      </c>
      <c r="L131" s="660" t="s">
        <v>5462</v>
      </c>
    </row>
    <row r="132" spans="1:12" s="598" customFormat="1">
      <c r="A132" s="673">
        <v>124</v>
      </c>
      <c r="B132" s="609" t="s">
        <v>5366</v>
      </c>
      <c r="C132" s="660" t="s">
        <v>5475</v>
      </c>
      <c r="D132" s="660" t="s">
        <v>5718</v>
      </c>
      <c r="E132" s="660">
        <v>1996</v>
      </c>
      <c r="F132" s="610" t="s">
        <v>6637</v>
      </c>
      <c r="G132" s="660">
        <v>250</v>
      </c>
      <c r="H132" s="660"/>
      <c r="I132" s="660"/>
      <c r="J132" s="660"/>
      <c r="K132" s="668">
        <v>15001002930</v>
      </c>
      <c r="L132" s="660" t="s">
        <v>7504</v>
      </c>
    </row>
    <row r="133" spans="1:12" s="598" customFormat="1">
      <c r="A133" s="673">
        <v>125</v>
      </c>
      <c r="B133" s="609" t="s">
        <v>5366</v>
      </c>
      <c r="C133" s="660" t="s">
        <v>5387</v>
      </c>
      <c r="D133" s="660" t="s">
        <v>7500</v>
      </c>
      <c r="E133" s="660">
        <v>1995</v>
      </c>
      <c r="F133" s="610" t="s">
        <v>7505</v>
      </c>
      <c r="G133" s="660">
        <v>175</v>
      </c>
      <c r="H133" s="660">
        <v>22001017210</v>
      </c>
      <c r="I133" s="660" t="s">
        <v>6085</v>
      </c>
      <c r="J133" s="660" t="s">
        <v>7506</v>
      </c>
      <c r="K133" s="668"/>
      <c r="L133" s="660"/>
    </row>
    <row r="134" spans="1:12" s="598" customFormat="1" ht="30">
      <c r="A134" s="673">
        <v>126</v>
      </c>
      <c r="B134" s="609" t="s">
        <v>5366</v>
      </c>
      <c r="C134" s="660" t="s">
        <v>7507</v>
      </c>
      <c r="D134" s="660" t="s">
        <v>7508</v>
      </c>
      <c r="E134" s="660">
        <v>2010</v>
      </c>
      <c r="F134" s="610" t="s">
        <v>7509</v>
      </c>
      <c r="G134" s="793">
        <v>1800</v>
      </c>
      <c r="H134" s="660"/>
      <c r="I134" s="660"/>
      <c r="J134" s="660"/>
      <c r="K134" s="790">
        <v>419997249</v>
      </c>
      <c r="L134" s="793" t="s">
        <v>7510</v>
      </c>
    </row>
    <row r="135" spans="1:12" s="598" customFormat="1" ht="30">
      <c r="A135" s="673">
        <v>127</v>
      </c>
      <c r="B135" s="609" t="s">
        <v>5366</v>
      </c>
      <c r="C135" s="660" t="s">
        <v>7507</v>
      </c>
      <c r="D135" s="660" t="s">
        <v>7508</v>
      </c>
      <c r="E135" s="660">
        <v>2013</v>
      </c>
      <c r="F135" s="610" t="s">
        <v>7511</v>
      </c>
      <c r="G135" s="794"/>
      <c r="H135" s="660"/>
      <c r="I135" s="660"/>
      <c r="J135" s="660"/>
      <c r="K135" s="791"/>
      <c r="L135" s="794"/>
    </row>
    <row r="136" spans="1:12" s="598" customFormat="1" ht="30">
      <c r="A136" s="673">
        <v>128</v>
      </c>
      <c r="B136" s="609" t="s">
        <v>5366</v>
      </c>
      <c r="C136" s="660" t="s">
        <v>7507</v>
      </c>
      <c r="D136" s="660" t="s">
        <v>7508</v>
      </c>
      <c r="E136" s="660">
        <v>2013</v>
      </c>
      <c r="F136" s="610" t="s">
        <v>7512</v>
      </c>
      <c r="G136" s="795"/>
      <c r="H136" s="660"/>
      <c r="I136" s="660"/>
      <c r="J136" s="660"/>
      <c r="K136" s="792"/>
      <c r="L136" s="795"/>
    </row>
    <row r="137" spans="1:12" s="598" customFormat="1">
      <c r="A137" s="673">
        <v>129</v>
      </c>
      <c r="B137" s="609" t="s">
        <v>5366</v>
      </c>
      <c r="C137" s="660" t="s">
        <v>5401</v>
      </c>
      <c r="D137" s="660" t="s">
        <v>5564</v>
      </c>
      <c r="E137" s="660">
        <v>1991</v>
      </c>
      <c r="F137" s="610" t="s">
        <v>7513</v>
      </c>
      <c r="G137" s="660">
        <v>1250</v>
      </c>
      <c r="H137" s="660"/>
      <c r="I137" s="660"/>
      <c r="J137" s="660"/>
      <c r="K137" s="668">
        <v>220397693</v>
      </c>
      <c r="L137" s="660" t="s">
        <v>7514</v>
      </c>
    </row>
    <row r="138" spans="1:12" s="598" customFormat="1">
      <c r="A138" s="673">
        <v>130</v>
      </c>
      <c r="B138" s="609" t="s">
        <v>5366</v>
      </c>
      <c r="C138" s="660" t="s">
        <v>5906</v>
      </c>
      <c r="D138" s="660" t="s">
        <v>5452</v>
      </c>
      <c r="E138" s="660">
        <v>2001</v>
      </c>
      <c r="F138" s="610" t="s">
        <v>6229</v>
      </c>
      <c r="G138" s="660">
        <v>437</v>
      </c>
      <c r="H138" s="660"/>
      <c r="I138" s="660"/>
      <c r="J138" s="660"/>
      <c r="K138" s="668">
        <v>48001000528</v>
      </c>
      <c r="L138" s="660" t="s">
        <v>7515</v>
      </c>
    </row>
    <row r="139" spans="1:12" s="598" customFormat="1">
      <c r="A139" s="673">
        <v>131</v>
      </c>
      <c r="B139" s="609" t="s">
        <v>5366</v>
      </c>
      <c r="C139" s="660" t="s">
        <v>5527</v>
      </c>
      <c r="D139" s="660" t="s">
        <v>7516</v>
      </c>
      <c r="E139" s="660">
        <v>2004</v>
      </c>
      <c r="F139" s="610" t="s">
        <v>6221</v>
      </c>
      <c r="G139" s="660">
        <v>437</v>
      </c>
      <c r="H139" s="660"/>
      <c r="I139" s="660"/>
      <c r="J139" s="660"/>
      <c r="K139" s="668">
        <v>62004020693</v>
      </c>
      <c r="L139" s="660" t="s">
        <v>7517</v>
      </c>
    </row>
    <row r="140" spans="1:12" s="598" customFormat="1">
      <c r="A140" s="673">
        <v>132</v>
      </c>
      <c r="B140" s="609" t="s">
        <v>5366</v>
      </c>
      <c r="C140" s="660" t="s">
        <v>5475</v>
      </c>
      <c r="D140" s="660" t="s">
        <v>5415</v>
      </c>
      <c r="E140" s="660">
        <v>2005</v>
      </c>
      <c r="F140" s="610" t="s">
        <v>6205</v>
      </c>
      <c r="G140" s="660">
        <v>400</v>
      </c>
      <c r="H140" s="660"/>
      <c r="I140" s="660"/>
      <c r="J140" s="660"/>
      <c r="K140" s="668">
        <v>39001014417</v>
      </c>
      <c r="L140" s="660" t="s">
        <v>7518</v>
      </c>
    </row>
    <row r="141" spans="1:12" s="598" customFormat="1">
      <c r="A141" s="673">
        <v>133</v>
      </c>
      <c r="B141" s="609" t="s">
        <v>5366</v>
      </c>
      <c r="C141" s="660" t="s">
        <v>5475</v>
      </c>
      <c r="D141" s="660" t="s">
        <v>5476</v>
      </c>
      <c r="E141" s="660">
        <v>1999</v>
      </c>
      <c r="F141" s="610" t="s">
        <v>6202</v>
      </c>
      <c r="G141" s="660">
        <v>400</v>
      </c>
      <c r="H141" s="660"/>
      <c r="I141" s="660"/>
      <c r="J141" s="660"/>
      <c r="K141" s="668" t="s">
        <v>6203</v>
      </c>
      <c r="L141" s="660" t="s">
        <v>7519</v>
      </c>
    </row>
    <row r="142" spans="1:12" s="598" customFormat="1">
      <c r="A142" s="673">
        <v>134</v>
      </c>
      <c r="B142" s="609" t="s">
        <v>5366</v>
      </c>
      <c r="C142" s="660" t="s">
        <v>5829</v>
      </c>
      <c r="D142" s="660" t="s">
        <v>7520</v>
      </c>
      <c r="E142" s="660">
        <v>1996</v>
      </c>
      <c r="F142" s="610" t="s">
        <v>7521</v>
      </c>
      <c r="G142" s="660">
        <v>1100</v>
      </c>
      <c r="H142" s="660"/>
      <c r="I142" s="660"/>
      <c r="J142" s="660"/>
      <c r="K142" s="668">
        <v>19001006506</v>
      </c>
      <c r="L142" s="660" t="s">
        <v>7522</v>
      </c>
    </row>
    <row r="143" spans="1:12" s="598" customFormat="1">
      <c r="A143" s="673">
        <v>135</v>
      </c>
      <c r="B143" s="609" t="s">
        <v>5366</v>
      </c>
      <c r="C143" s="660" t="s">
        <v>5536</v>
      </c>
      <c r="D143" s="660" t="s">
        <v>7523</v>
      </c>
      <c r="E143" s="660">
        <v>1993</v>
      </c>
      <c r="F143" s="610" t="s">
        <v>7524</v>
      </c>
      <c r="G143" s="660">
        <v>1100</v>
      </c>
      <c r="H143" s="660"/>
      <c r="I143" s="660"/>
      <c r="J143" s="660"/>
      <c r="K143" s="668">
        <v>19001052973</v>
      </c>
      <c r="L143" s="660" t="s">
        <v>7525</v>
      </c>
    </row>
    <row r="144" spans="1:12" s="598" customFormat="1">
      <c r="A144" s="673">
        <v>136</v>
      </c>
      <c r="B144" s="609" t="s">
        <v>5366</v>
      </c>
      <c r="C144" s="660" t="s">
        <v>5475</v>
      </c>
      <c r="D144" s="660" t="s">
        <v>6184</v>
      </c>
      <c r="E144" s="660">
        <v>1997</v>
      </c>
      <c r="F144" s="610" t="s">
        <v>6185</v>
      </c>
      <c r="G144" s="660">
        <v>437</v>
      </c>
      <c r="H144" s="660"/>
      <c r="I144" s="660"/>
      <c r="J144" s="660"/>
      <c r="K144" s="668">
        <v>29001025166</v>
      </c>
      <c r="L144" s="660" t="s">
        <v>7526</v>
      </c>
    </row>
    <row r="145" spans="1:12" s="598" customFormat="1">
      <c r="A145" s="673">
        <v>137</v>
      </c>
      <c r="B145" s="609" t="s">
        <v>5366</v>
      </c>
      <c r="C145" s="660" t="s">
        <v>5475</v>
      </c>
      <c r="D145" s="660" t="s">
        <v>5476</v>
      </c>
      <c r="E145" s="660">
        <v>1996</v>
      </c>
      <c r="F145" s="610" t="s">
        <v>7527</v>
      </c>
      <c r="G145" s="660">
        <v>437</v>
      </c>
      <c r="H145" s="660"/>
      <c r="I145" s="660"/>
      <c r="J145" s="660"/>
      <c r="K145" s="668">
        <v>29001017806</v>
      </c>
      <c r="L145" s="660" t="s">
        <v>7528</v>
      </c>
    </row>
    <row r="146" spans="1:12" s="598" customFormat="1">
      <c r="A146" s="673">
        <v>138</v>
      </c>
      <c r="B146" s="609" t="s">
        <v>5366</v>
      </c>
      <c r="C146" s="660" t="s">
        <v>5475</v>
      </c>
      <c r="D146" s="660" t="s">
        <v>5415</v>
      </c>
      <c r="E146" s="660">
        <v>2008</v>
      </c>
      <c r="F146" s="610" t="s">
        <v>6180</v>
      </c>
      <c r="G146" s="660">
        <v>350</v>
      </c>
      <c r="H146" s="668" t="s">
        <v>6181</v>
      </c>
      <c r="I146" s="660" t="s">
        <v>6182</v>
      </c>
      <c r="J146" s="660" t="s">
        <v>6183</v>
      </c>
      <c r="K146" s="668"/>
      <c r="L146" s="660"/>
    </row>
    <row r="147" spans="1:12" s="598" customFormat="1">
      <c r="A147" s="673">
        <v>139</v>
      </c>
      <c r="B147" s="609" t="s">
        <v>5366</v>
      </c>
      <c r="C147" s="660" t="s">
        <v>5475</v>
      </c>
      <c r="D147" s="660" t="s">
        <v>5506</v>
      </c>
      <c r="E147" s="660">
        <v>1996</v>
      </c>
      <c r="F147" s="610" t="s">
        <v>7529</v>
      </c>
      <c r="G147" s="660">
        <v>350</v>
      </c>
      <c r="H147" s="668" t="s">
        <v>6175</v>
      </c>
      <c r="I147" s="660" t="s">
        <v>6707</v>
      </c>
      <c r="J147" s="660" t="s">
        <v>6177</v>
      </c>
      <c r="K147" s="668"/>
      <c r="L147" s="660"/>
    </row>
    <row r="148" spans="1:12" s="598" customFormat="1">
      <c r="A148" s="673">
        <v>140</v>
      </c>
      <c r="B148" s="609" t="s">
        <v>5366</v>
      </c>
      <c r="C148" s="660" t="s">
        <v>5475</v>
      </c>
      <c r="D148" s="660" t="s">
        <v>5452</v>
      </c>
      <c r="E148" s="660">
        <v>2001</v>
      </c>
      <c r="F148" s="610" t="s">
        <v>7530</v>
      </c>
      <c r="G148" s="660">
        <v>350</v>
      </c>
      <c r="H148" s="660"/>
      <c r="I148" s="660"/>
      <c r="J148" s="660"/>
      <c r="K148" s="668">
        <v>62007008110</v>
      </c>
      <c r="L148" s="660" t="s">
        <v>7531</v>
      </c>
    </row>
    <row r="149" spans="1:12" s="598" customFormat="1">
      <c r="A149" s="673">
        <v>141</v>
      </c>
      <c r="B149" s="609" t="s">
        <v>5366</v>
      </c>
      <c r="C149" s="660" t="s">
        <v>5527</v>
      </c>
      <c r="D149" s="660" t="s">
        <v>5528</v>
      </c>
      <c r="E149" s="660">
        <v>2005</v>
      </c>
      <c r="F149" s="610" t="s">
        <v>7532</v>
      </c>
      <c r="G149" s="660">
        <v>350</v>
      </c>
      <c r="H149" s="660"/>
      <c r="I149" s="660"/>
      <c r="J149" s="660"/>
      <c r="K149" s="668">
        <v>62006019310</v>
      </c>
      <c r="L149" s="660" t="s">
        <v>5531</v>
      </c>
    </row>
    <row r="150" spans="1:12" s="598" customFormat="1">
      <c r="A150" s="673">
        <v>142</v>
      </c>
      <c r="B150" s="609" t="s">
        <v>5366</v>
      </c>
      <c r="C150" s="660" t="s">
        <v>5401</v>
      </c>
      <c r="D150" s="660" t="s">
        <v>7533</v>
      </c>
      <c r="E150" s="660">
        <v>1992</v>
      </c>
      <c r="F150" s="610" t="s">
        <v>7534</v>
      </c>
      <c r="G150" s="660">
        <v>1100</v>
      </c>
      <c r="H150" s="660"/>
      <c r="I150" s="660"/>
      <c r="J150" s="660"/>
      <c r="K150" s="668" t="s">
        <v>7535</v>
      </c>
      <c r="L150" s="660" t="s">
        <v>7536</v>
      </c>
    </row>
    <row r="151" spans="1:12" s="598" customFormat="1">
      <c r="A151" s="673">
        <v>143</v>
      </c>
      <c r="B151" s="609" t="s">
        <v>5366</v>
      </c>
      <c r="C151" s="660" t="s">
        <v>5401</v>
      </c>
      <c r="D151" s="660" t="s">
        <v>7537</v>
      </c>
      <c r="E151" s="660">
        <v>1991</v>
      </c>
      <c r="F151" s="610" t="s">
        <v>7538</v>
      </c>
      <c r="G151" s="660">
        <v>1100</v>
      </c>
      <c r="H151" s="660"/>
      <c r="I151" s="660"/>
      <c r="J151" s="660"/>
      <c r="K151" s="668">
        <v>42001001971</v>
      </c>
      <c r="L151" s="660" t="s">
        <v>7539</v>
      </c>
    </row>
    <row r="152" spans="1:12" s="598" customFormat="1" ht="45">
      <c r="A152" s="673">
        <v>144</v>
      </c>
      <c r="B152" s="609" t="s">
        <v>5366</v>
      </c>
      <c r="C152" s="660" t="s">
        <v>5387</v>
      </c>
      <c r="D152" s="660" t="s">
        <v>7540</v>
      </c>
      <c r="E152" s="660">
        <v>2011</v>
      </c>
      <c r="F152" s="610" t="s">
        <v>6145</v>
      </c>
      <c r="G152" s="660">
        <v>600</v>
      </c>
      <c r="H152" s="660"/>
      <c r="I152" s="660"/>
      <c r="J152" s="660"/>
      <c r="K152" s="668" t="s">
        <v>7541</v>
      </c>
      <c r="L152" s="660" t="s">
        <v>7542</v>
      </c>
    </row>
    <row r="153" spans="1:12" s="598" customFormat="1" ht="15" customHeight="1">
      <c r="A153" s="673">
        <v>145</v>
      </c>
      <c r="B153" s="610" t="s">
        <v>5361</v>
      </c>
      <c r="C153" s="611" t="s">
        <v>5362</v>
      </c>
      <c r="D153" s="610" t="s">
        <v>5363</v>
      </c>
      <c r="E153" s="610">
        <v>1991</v>
      </c>
      <c r="F153" s="610" t="s">
        <v>5364</v>
      </c>
      <c r="G153" s="612">
        <f>150+450+175+100</f>
        <v>875</v>
      </c>
      <c r="H153" s="611"/>
      <c r="I153" s="613"/>
      <c r="J153" s="613"/>
      <c r="K153" s="614">
        <v>206120437</v>
      </c>
      <c r="L153" s="611" t="s">
        <v>5365</v>
      </c>
    </row>
    <row r="154" spans="1:12" s="598" customFormat="1">
      <c r="A154" s="673">
        <v>146</v>
      </c>
      <c r="B154" s="615" t="s">
        <v>5366</v>
      </c>
      <c r="C154" s="616" t="s">
        <v>5367</v>
      </c>
      <c r="D154" s="615" t="s">
        <v>5368</v>
      </c>
      <c r="E154" s="615">
        <v>1998</v>
      </c>
      <c r="F154" s="616" t="s">
        <v>5369</v>
      </c>
      <c r="G154" s="617">
        <v>125</v>
      </c>
      <c r="H154" s="618"/>
      <c r="I154" s="618"/>
      <c r="J154" s="618"/>
      <c r="K154" s="619" t="s">
        <v>5370</v>
      </c>
      <c r="L154" s="619" t="s">
        <v>5371</v>
      </c>
    </row>
    <row r="155" spans="1:12" s="598" customFormat="1">
      <c r="A155" s="673">
        <v>147</v>
      </c>
      <c r="B155" s="610" t="s">
        <v>5366</v>
      </c>
      <c r="C155" s="616" t="s">
        <v>5372</v>
      </c>
      <c r="D155" s="620" t="s">
        <v>5373</v>
      </c>
      <c r="E155" s="619" t="s">
        <v>5374</v>
      </c>
      <c r="F155" s="616" t="s">
        <v>5375</v>
      </c>
      <c r="G155" s="621">
        <v>70</v>
      </c>
      <c r="H155" s="616"/>
      <c r="I155" s="616"/>
      <c r="J155" s="616"/>
      <c r="K155" s="622" t="s">
        <v>5376</v>
      </c>
      <c r="L155" s="622" t="s">
        <v>5377</v>
      </c>
    </row>
    <row r="156" spans="1:12" s="598" customFormat="1">
      <c r="A156" s="673">
        <v>148</v>
      </c>
      <c r="B156" s="610" t="s">
        <v>5366</v>
      </c>
      <c r="C156" s="616" t="s">
        <v>5378</v>
      </c>
      <c r="D156" s="616" t="s">
        <v>5379</v>
      </c>
      <c r="E156" s="616" t="s">
        <v>5380</v>
      </c>
      <c r="F156" s="616" t="s">
        <v>5381</v>
      </c>
      <c r="G156" s="816">
        <v>240</v>
      </c>
      <c r="H156" s="623"/>
      <c r="I156" s="623"/>
      <c r="J156" s="623"/>
      <c r="K156" s="821" t="s">
        <v>5382</v>
      </c>
      <c r="L156" s="821" t="s">
        <v>5383</v>
      </c>
    </row>
    <row r="157" spans="1:12" s="598" customFormat="1">
      <c r="A157" s="673">
        <v>149</v>
      </c>
      <c r="B157" s="610" t="s">
        <v>5366</v>
      </c>
      <c r="C157" s="616" t="s">
        <v>5372</v>
      </c>
      <c r="D157" s="616" t="s">
        <v>5384</v>
      </c>
      <c r="E157" s="616" t="s">
        <v>5385</v>
      </c>
      <c r="F157" s="616" t="s">
        <v>5386</v>
      </c>
      <c r="G157" s="816"/>
      <c r="H157" s="623"/>
      <c r="I157" s="623"/>
      <c r="J157" s="623"/>
      <c r="K157" s="821"/>
      <c r="L157" s="821"/>
    </row>
    <row r="158" spans="1:12" s="598" customFormat="1">
      <c r="A158" s="673">
        <v>150</v>
      </c>
      <c r="B158" s="610" t="s">
        <v>5366</v>
      </c>
      <c r="C158" s="616" t="s">
        <v>5387</v>
      </c>
      <c r="D158" s="616" t="s">
        <v>5388</v>
      </c>
      <c r="E158" s="616" t="s">
        <v>5389</v>
      </c>
      <c r="F158" s="616" t="s">
        <v>5390</v>
      </c>
      <c r="G158" s="816"/>
      <c r="H158" s="623"/>
      <c r="I158" s="623"/>
      <c r="J158" s="623"/>
      <c r="K158" s="821"/>
      <c r="L158" s="821"/>
    </row>
    <row r="159" spans="1:12" s="598" customFormat="1">
      <c r="A159" s="673">
        <v>151</v>
      </c>
      <c r="B159" s="610" t="s">
        <v>5366</v>
      </c>
      <c r="C159" s="616" t="s">
        <v>5378</v>
      </c>
      <c r="D159" s="616" t="s">
        <v>5391</v>
      </c>
      <c r="E159" s="616" t="s">
        <v>5392</v>
      </c>
      <c r="F159" s="616" t="s">
        <v>5393</v>
      </c>
      <c r="G159" s="612">
        <v>80</v>
      </c>
      <c r="H159" s="610"/>
      <c r="I159" s="610"/>
      <c r="J159" s="610"/>
      <c r="K159" s="610" t="s">
        <v>5394</v>
      </c>
      <c r="L159" s="610" t="s">
        <v>5395</v>
      </c>
    </row>
    <row r="160" spans="1:12" s="598" customFormat="1">
      <c r="A160" s="673">
        <v>152</v>
      </c>
      <c r="B160" s="610" t="s">
        <v>5366</v>
      </c>
      <c r="C160" s="616" t="s">
        <v>5378</v>
      </c>
      <c r="D160" s="616" t="s">
        <v>5396</v>
      </c>
      <c r="E160" s="619" t="s">
        <v>5397</v>
      </c>
      <c r="F160" s="616" t="s">
        <v>5398</v>
      </c>
      <c r="G160" s="612">
        <v>100</v>
      </c>
      <c r="H160" s="610"/>
      <c r="I160" s="610"/>
      <c r="J160" s="610"/>
      <c r="K160" s="619" t="s">
        <v>5399</v>
      </c>
      <c r="L160" s="619" t="s">
        <v>5400</v>
      </c>
    </row>
    <row r="161" spans="1:12" s="598" customFormat="1">
      <c r="A161" s="673">
        <v>153</v>
      </c>
      <c r="B161" s="610" t="s">
        <v>5366</v>
      </c>
      <c r="C161" s="624" t="s">
        <v>5401</v>
      </c>
      <c r="D161" s="616" t="s">
        <v>5402</v>
      </c>
      <c r="E161" s="619" t="s">
        <v>5403</v>
      </c>
      <c r="F161" s="616" t="s">
        <v>5404</v>
      </c>
      <c r="G161" s="822">
        <v>312.5</v>
      </c>
      <c r="H161" s="616"/>
      <c r="I161" s="616"/>
      <c r="J161" s="616"/>
      <c r="K161" s="821" t="s">
        <v>5405</v>
      </c>
      <c r="L161" s="821" t="s">
        <v>5406</v>
      </c>
    </row>
    <row r="162" spans="1:12" s="598" customFormat="1">
      <c r="A162" s="673">
        <v>154</v>
      </c>
      <c r="B162" s="610" t="s">
        <v>5366</v>
      </c>
      <c r="C162" s="624" t="s">
        <v>5387</v>
      </c>
      <c r="D162" s="616" t="s">
        <v>5407</v>
      </c>
      <c r="E162" s="619" t="s">
        <v>5389</v>
      </c>
      <c r="F162" s="616" t="s">
        <v>5408</v>
      </c>
      <c r="G162" s="822"/>
      <c r="H162" s="616"/>
      <c r="I162" s="616"/>
      <c r="J162" s="616"/>
      <c r="K162" s="821"/>
      <c r="L162" s="821"/>
    </row>
    <row r="163" spans="1:12" s="598" customFormat="1">
      <c r="A163" s="673">
        <v>155</v>
      </c>
      <c r="B163" s="610" t="s">
        <v>5366</v>
      </c>
      <c r="C163" s="616" t="s">
        <v>5409</v>
      </c>
      <c r="D163" s="616" t="s">
        <v>5410</v>
      </c>
      <c r="E163" s="616" t="s">
        <v>5411</v>
      </c>
      <c r="F163" s="616" t="s">
        <v>5412</v>
      </c>
      <c r="G163" s="816">
        <v>576</v>
      </c>
      <c r="H163" s="610"/>
      <c r="I163" s="610"/>
      <c r="J163" s="610"/>
      <c r="K163" s="821" t="s">
        <v>5413</v>
      </c>
      <c r="L163" s="821" t="s">
        <v>5414</v>
      </c>
    </row>
    <row r="164" spans="1:12" s="598" customFormat="1">
      <c r="A164" s="673">
        <v>156</v>
      </c>
      <c r="B164" s="610" t="s">
        <v>5366</v>
      </c>
      <c r="C164" s="616" t="s">
        <v>5409</v>
      </c>
      <c r="D164" s="616" t="s">
        <v>5415</v>
      </c>
      <c r="E164" s="616" t="s">
        <v>5385</v>
      </c>
      <c r="F164" s="616" t="s">
        <v>5416</v>
      </c>
      <c r="G164" s="816"/>
      <c r="H164" s="610"/>
      <c r="I164" s="610"/>
      <c r="J164" s="610"/>
      <c r="K164" s="821"/>
      <c r="L164" s="821"/>
    </row>
    <row r="165" spans="1:12" s="598" customFormat="1">
      <c r="A165" s="673">
        <v>157</v>
      </c>
      <c r="B165" s="610" t="s">
        <v>5366</v>
      </c>
      <c r="C165" s="616" t="s">
        <v>5387</v>
      </c>
      <c r="D165" s="616" t="s">
        <v>5417</v>
      </c>
      <c r="E165" s="616" t="s">
        <v>5418</v>
      </c>
      <c r="F165" s="616" t="s">
        <v>5419</v>
      </c>
      <c r="G165" s="816"/>
      <c r="H165" s="610"/>
      <c r="I165" s="610"/>
      <c r="J165" s="610"/>
      <c r="K165" s="821"/>
      <c r="L165" s="821"/>
    </row>
    <row r="166" spans="1:12" s="598" customFormat="1">
      <c r="A166" s="673">
        <v>158</v>
      </c>
      <c r="B166" s="610" t="s">
        <v>5366</v>
      </c>
      <c r="C166" s="625" t="s">
        <v>5420</v>
      </c>
      <c r="D166" s="616" t="s">
        <v>5421</v>
      </c>
      <c r="E166" s="616" t="s">
        <v>5397</v>
      </c>
      <c r="F166" s="616" t="s">
        <v>5422</v>
      </c>
      <c r="G166" s="816">
        <v>980</v>
      </c>
      <c r="H166" s="610"/>
      <c r="I166" s="610"/>
      <c r="J166" s="610"/>
      <c r="K166" s="817" t="s">
        <v>5423</v>
      </c>
      <c r="L166" s="817" t="s">
        <v>5424</v>
      </c>
    </row>
    <row r="167" spans="1:12" s="598" customFormat="1">
      <c r="A167" s="673">
        <v>159</v>
      </c>
      <c r="B167" s="610" t="s">
        <v>5366</v>
      </c>
      <c r="C167" s="625" t="s">
        <v>5420</v>
      </c>
      <c r="D167" s="616" t="s">
        <v>5425</v>
      </c>
      <c r="E167" s="616" t="s">
        <v>5426</v>
      </c>
      <c r="F167" s="616" t="s">
        <v>5427</v>
      </c>
      <c r="G167" s="816"/>
      <c r="H167" s="610"/>
      <c r="I167" s="610"/>
      <c r="J167" s="610"/>
      <c r="K167" s="817"/>
      <c r="L167" s="817"/>
    </row>
    <row r="168" spans="1:12" s="598" customFormat="1">
      <c r="A168" s="673">
        <v>160</v>
      </c>
      <c r="B168" s="610" t="s">
        <v>5366</v>
      </c>
      <c r="C168" s="616" t="s">
        <v>5428</v>
      </c>
      <c r="D168" s="620" t="s">
        <v>5429</v>
      </c>
      <c r="E168" s="626" t="s">
        <v>5418</v>
      </c>
      <c r="F168" s="616" t="s">
        <v>5430</v>
      </c>
      <c r="G168" s="816">
        <v>3000</v>
      </c>
      <c r="H168" s="610"/>
      <c r="I168" s="610"/>
      <c r="J168" s="610"/>
      <c r="K168" s="817" t="s">
        <v>5431</v>
      </c>
      <c r="L168" s="817" t="s">
        <v>5432</v>
      </c>
    </row>
    <row r="169" spans="1:12" s="598" customFormat="1">
      <c r="A169" s="673">
        <v>161</v>
      </c>
      <c r="B169" s="610" t="s">
        <v>5366</v>
      </c>
      <c r="C169" s="616" t="s">
        <v>5433</v>
      </c>
      <c r="D169" s="616" t="s">
        <v>5434</v>
      </c>
      <c r="E169" s="627" t="s">
        <v>5385</v>
      </c>
      <c r="F169" s="616" t="s">
        <v>5435</v>
      </c>
      <c r="G169" s="816"/>
      <c r="H169" s="610"/>
      <c r="I169" s="610"/>
      <c r="J169" s="610"/>
      <c r="K169" s="817"/>
      <c r="L169" s="817"/>
    </row>
    <row r="170" spans="1:12" s="598" customFormat="1" ht="45">
      <c r="A170" s="673">
        <v>162</v>
      </c>
      <c r="B170" s="610" t="s">
        <v>5366</v>
      </c>
      <c r="C170" s="624" t="s">
        <v>5436</v>
      </c>
      <c r="D170" s="616" t="s">
        <v>5437</v>
      </c>
      <c r="E170" s="627" t="s">
        <v>5418</v>
      </c>
      <c r="F170" s="616" t="s">
        <v>5438</v>
      </c>
      <c r="G170" s="612">
        <v>560</v>
      </c>
      <c r="H170" s="610"/>
      <c r="I170" s="610"/>
      <c r="J170" s="610"/>
      <c r="K170" s="610" t="s">
        <v>5439</v>
      </c>
      <c r="L170" s="610" t="s">
        <v>5440</v>
      </c>
    </row>
    <row r="171" spans="1:12" s="598" customFormat="1">
      <c r="A171" s="673">
        <v>163</v>
      </c>
      <c r="B171" s="610" t="s">
        <v>5366</v>
      </c>
      <c r="C171" s="625" t="s">
        <v>5441</v>
      </c>
      <c r="D171" s="620" t="s">
        <v>5442</v>
      </c>
      <c r="E171" s="619" t="s">
        <v>5392</v>
      </c>
      <c r="F171" s="616" t="s">
        <v>5443</v>
      </c>
      <c r="G171" s="612">
        <v>500</v>
      </c>
      <c r="H171" s="610"/>
      <c r="I171" s="610"/>
      <c r="J171" s="610"/>
      <c r="K171" s="610" t="s">
        <v>5444</v>
      </c>
      <c r="L171" s="610" t="s">
        <v>5445</v>
      </c>
    </row>
    <row r="172" spans="1:12" s="598" customFormat="1">
      <c r="A172" s="673">
        <v>164</v>
      </c>
      <c r="B172" s="610" t="s">
        <v>5366</v>
      </c>
      <c r="C172" s="616" t="s">
        <v>5446</v>
      </c>
      <c r="D172" s="620" t="s">
        <v>5447</v>
      </c>
      <c r="E172" s="619" t="s">
        <v>5389</v>
      </c>
      <c r="F172" s="616" t="s">
        <v>5448</v>
      </c>
      <c r="G172" s="628">
        <v>187.5</v>
      </c>
      <c r="H172" s="616"/>
      <c r="I172" s="616"/>
      <c r="J172" s="616"/>
      <c r="K172" s="619" t="s">
        <v>5449</v>
      </c>
      <c r="L172" s="610" t="s">
        <v>5450</v>
      </c>
    </row>
    <row r="173" spans="1:12" s="598" customFormat="1">
      <c r="A173" s="673">
        <v>165</v>
      </c>
      <c r="B173" s="610" t="s">
        <v>5366</v>
      </c>
      <c r="C173" s="616" t="s">
        <v>5451</v>
      </c>
      <c r="D173" s="619" t="s">
        <v>5452</v>
      </c>
      <c r="E173" s="616" t="s">
        <v>5411</v>
      </c>
      <c r="F173" s="616" t="s">
        <v>5453</v>
      </c>
      <c r="G173" s="628">
        <v>187.5</v>
      </c>
      <c r="H173" s="616"/>
      <c r="I173" s="616"/>
      <c r="J173" s="616"/>
      <c r="K173" s="619" t="s">
        <v>5454</v>
      </c>
      <c r="L173" s="610" t="s">
        <v>5455</v>
      </c>
    </row>
    <row r="174" spans="1:12" s="598" customFormat="1">
      <c r="A174" s="673">
        <v>166</v>
      </c>
      <c r="B174" s="610" t="s">
        <v>5366</v>
      </c>
      <c r="C174" s="616" t="s">
        <v>5372</v>
      </c>
      <c r="D174" s="616" t="s">
        <v>5456</v>
      </c>
      <c r="E174" s="616" t="s">
        <v>5374</v>
      </c>
      <c r="F174" s="616" t="s">
        <v>5457</v>
      </c>
      <c r="G174" s="628">
        <v>187.5</v>
      </c>
      <c r="H174" s="616"/>
      <c r="I174" s="616"/>
      <c r="J174" s="616"/>
      <c r="K174" s="619" t="s">
        <v>5458</v>
      </c>
      <c r="L174" s="610" t="s">
        <v>5459</v>
      </c>
    </row>
    <row r="175" spans="1:12" s="598" customFormat="1">
      <c r="A175" s="673">
        <v>167</v>
      </c>
      <c r="B175" s="610" t="s">
        <v>5366</v>
      </c>
      <c r="C175" s="616" t="s">
        <v>5387</v>
      </c>
      <c r="D175" s="616" t="s">
        <v>5373</v>
      </c>
      <c r="E175" s="616" t="s">
        <v>5426</v>
      </c>
      <c r="F175" s="616" t="s">
        <v>5460</v>
      </c>
      <c r="G175" s="612">
        <v>160</v>
      </c>
      <c r="H175" s="623"/>
      <c r="I175" s="623"/>
      <c r="J175" s="623"/>
      <c r="K175" s="619" t="s">
        <v>5461</v>
      </c>
      <c r="L175" s="610" t="s">
        <v>5462</v>
      </c>
    </row>
    <row r="176" spans="1:12" s="598" customFormat="1">
      <c r="A176" s="673">
        <v>168</v>
      </c>
      <c r="B176" s="610" t="s">
        <v>5366</v>
      </c>
      <c r="C176" s="616" t="s">
        <v>5378</v>
      </c>
      <c r="D176" s="616" t="s">
        <v>5463</v>
      </c>
      <c r="E176" s="616" t="s">
        <v>5389</v>
      </c>
      <c r="F176" s="616" t="s">
        <v>5464</v>
      </c>
      <c r="G176" s="612">
        <v>375</v>
      </c>
      <c r="H176" s="610"/>
      <c r="I176" s="610"/>
      <c r="J176" s="610"/>
      <c r="K176" s="619" t="s">
        <v>5465</v>
      </c>
      <c r="L176" s="610" t="s">
        <v>5466</v>
      </c>
    </row>
    <row r="177" spans="1:12" s="598" customFormat="1">
      <c r="A177" s="673">
        <v>169</v>
      </c>
      <c r="B177" s="610" t="s">
        <v>5366</v>
      </c>
      <c r="C177" s="616" t="s">
        <v>5409</v>
      </c>
      <c r="D177" s="616" t="s">
        <v>5467</v>
      </c>
      <c r="E177" s="616" t="s">
        <v>5385</v>
      </c>
      <c r="F177" s="616" t="s">
        <v>5468</v>
      </c>
      <c r="G177" s="629">
        <v>125</v>
      </c>
      <c r="H177" s="616"/>
      <c r="I177" s="616"/>
      <c r="J177" s="616"/>
      <c r="K177" s="619" t="s">
        <v>5469</v>
      </c>
      <c r="L177" s="610" t="s">
        <v>1175</v>
      </c>
    </row>
    <row r="178" spans="1:12" s="598" customFormat="1">
      <c r="A178" s="673">
        <v>170</v>
      </c>
      <c r="B178" s="610" t="s">
        <v>5366</v>
      </c>
      <c r="C178" s="616" t="s">
        <v>5470</v>
      </c>
      <c r="D178" s="616" t="s">
        <v>5471</v>
      </c>
      <c r="E178" s="616" t="s">
        <v>5418</v>
      </c>
      <c r="F178" s="616" t="s">
        <v>5472</v>
      </c>
      <c r="G178" s="629">
        <v>125</v>
      </c>
      <c r="H178" s="616"/>
      <c r="I178" s="616"/>
      <c r="J178" s="616"/>
      <c r="K178" s="619" t="s">
        <v>5473</v>
      </c>
      <c r="L178" s="610" t="s">
        <v>5474</v>
      </c>
    </row>
    <row r="179" spans="1:12" s="598" customFormat="1">
      <c r="A179" s="673">
        <v>171</v>
      </c>
      <c r="B179" s="610" t="s">
        <v>5366</v>
      </c>
      <c r="C179" s="616" t="s">
        <v>5475</v>
      </c>
      <c r="D179" s="616" t="s">
        <v>5476</v>
      </c>
      <c r="E179" s="616" t="s">
        <v>5418</v>
      </c>
      <c r="F179" s="616" t="s">
        <v>5477</v>
      </c>
      <c r="G179" s="629">
        <v>225</v>
      </c>
      <c r="H179" s="616"/>
      <c r="I179" s="616"/>
      <c r="J179" s="616"/>
      <c r="K179" s="619" t="s">
        <v>5478</v>
      </c>
      <c r="L179" s="610" t="s">
        <v>5479</v>
      </c>
    </row>
    <row r="180" spans="1:12" s="598" customFormat="1">
      <c r="A180" s="673">
        <v>172</v>
      </c>
      <c r="B180" s="610" t="s">
        <v>5366</v>
      </c>
      <c r="C180" s="616" t="s">
        <v>5409</v>
      </c>
      <c r="D180" s="616" t="s">
        <v>5480</v>
      </c>
      <c r="E180" s="616" t="s">
        <v>5418</v>
      </c>
      <c r="F180" s="616" t="s">
        <v>5481</v>
      </c>
      <c r="G180" s="629">
        <v>225</v>
      </c>
      <c r="H180" s="616"/>
      <c r="I180" s="616"/>
      <c r="J180" s="616"/>
      <c r="K180" s="619" t="s">
        <v>5482</v>
      </c>
      <c r="L180" s="610" t="s">
        <v>5483</v>
      </c>
    </row>
    <row r="181" spans="1:12" s="598" customFormat="1">
      <c r="A181" s="673">
        <v>173</v>
      </c>
      <c r="B181" s="610" t="s">
        <v>5366</v>
      </c>
      <c r="C181" s="616" t="s">
        <v>5387</v>
      </c>
      <c r="D181" s="620" t="s">
        <v>5373</v>
      </c>
      <c r="E181" s="616" t="s">
        <v>5385</v>
      </c>
      <c r="F181" s="616" t="s">
        <v>5484</v>
      </c>
      <c r="G181" s="629">
        <v>500</v>
      </c>
      <c r="H181" s="616"/>
      <c r="I181" s="616"/>
      <c r="J181" s="616"/>
      <c r="K181" s="619" t="s">
        <v>5485</v>
      </c>
      <c r="L181" s="610" t="s">
        <v>5486</v>
      </c>
    </row>
    <row r="182" spans="1:12" s="598" customFormat="1">
      <c r="A182" s="673">
        <v>174</v>
      </c>
      <c r="B182" s="610" t="s">
        <v>5366</v>
      </c>
      <c r="C182" s="616" t="s">
        <v>5409</v>
      </c>
      <c r="D182" s="616" t="s">
        <v>5452</v>
      </c>
      <c r="E182" s="616" t="s">
        <v>5487</v>
      </c>
      <c r="F182" s="616" t="s">
        <v>5488</v>
      </c>
      <c r="G182" s="628">
        <v>437.5</v>
      </c>
      <c r="H182" s="616"/>
      <c r="I182" s="616"/>
      <c r="J182" s="616"/>
      <c r="K182" s="619" t="s">
        <v>5489</v>
      </c>
      <c r="L182" s="610" t="s">
        <v>5490</v>
      </c>
    </row>
    <row r="183" spans="1:12" s="598" customFormat="1">
      <c r="A183" s="673">
        <v>175</v>
      </c>
      <c r="B183" s="610" t="s">
        <v>5366</v>
      </c>
      <c r="C183" s="630" t="s">
        <v>5491</v>
      </c>
      <c r="D183" s="630" t="s">
        <v>5492</v>
      </c>
      <c r="E183" s="630" t="s">
        <v>5389</v>
      </c>
      <c r="F183" s="631" t="s">
        <v>5493</v>
      </c>
      <c r="G183" s="632">
        <v>400</v>
      </c>
      <c r="H183" s="630"/>
      <c r="I183" s="630"/>
      <c r="J183" s="630"/>
      <c r="K183" s="626" t="s">
        <v>5494</v>
      </c>
      <c r="L183" s="610" t="s">
        <v>5495</v>
      </c>
    </row>
    <row r="184" spans="1:12" s="598" customFormat="1">
      <c r="A184" s="673">
        <v>176</v>
      </c>
      <c r="B184" s="610" t="s">
        <v>5366</v>
      </c>
      <c r="C184" s="630" t="s">
        <v>5409</v>
      </c>
      <c r="D184" s="630" t="s">
        <v>5496</v>
      </c>
      <c r="E184" s="630" t="s">
        <v>5497</v>
      </c>
      <c r="F184" s="616" t="s">
        <v>5498</v>
      </c>
      <c r="G184" s="629">
        <v>280</v>
      </c>
      <c r="H184" s="616"/>
      <c r="I184" s="616"/>
      <c r="J184" s="616"/>
      <c r="K184" s="626" t="s">
        <v>5499</v>
      </c>
      <c r="L184" s="610" t="s">
        <v>5500</v>
      </c>
    </row>
    <row r="185" spans="1:12" s="598" customFormat="1">
      <c r="A185" s="673">
        <v>177</v>
      </c>
      <c r="B185" s="610" t="s">
        <v>5366</v>
      </c>
      <c r="C185" s="616" t="s">
        <v>5387</v>
      </c>
      <c r="D185" s="616" t="s">
        <v>5501</v>
      </c>
      <c r="E185" s="616" t="s">
        <v>5411</v>
      </c>
      <c r="F185" s="616" t="s">
        <v>5502</v>
      </c>
      <c r="G185" s="629">
        <v>275</v>
      </c>
      <c r="H185" s="616"/>
      <c r="I185" s="616"/>
      <c r="J185" s="616"/>
      <c r="K185" s="619" t="s">
        <v>5503</v>
      </c>
      <c r="L185" s="610" t="s">
        <v>5504</v>
      </c>
    </row>
    <row r="186" spans="1:12" s="598" customFormat="1">
      <c r="A186" s="673">
        <v>178</v>
      </c>
      <c r="B186" s="610" t="s">
        <v>5366</v>
      </c>
      <c r="C186" s="633" t="s">
        <v>5505</v>
      </c>
      <c r="D186" s="630" t="s">
        <v>5506</v>
      </c>
      <c r="E186" s="630" t="s">
        <v>5507</v>
      </c>
      <c r="F186" s="630" t="s">
        <v>5508</v>
      </c>
      <c r="G186" s="632">
        <v>300</v>
      </c>
      <c r="H186" s="630"/>
      <c r="I186" s="630"/>
      <c r="J186" s="630"/>
      <c r="K186" s="626" t="s">
        <v>5509</v>
      </c>
      <c r="L186" s="610" t="s">
        <v>5510</v>
      </c>
    </row>
    <row r="187" spans="1:12" s="598" customFormat="1">
      <c r="A187" s="673">
        <v>179</v>
      </c>
      <c r="B187" s="610" t="s">
        <v>5366</v>
      </c>
      <c r="C187" s="633" t="s">
        <v>5505</v>
      </c>
      <c r="D187" s="630" t="s">
        <v>5511</v>
      </c>
      <c r="E187" s="630" t="s">
        <v>5397</v>
      </c>
      <c r="F187" s="630" t="s">
        <v>5512</v>
      </c>
      <c r="G187" s="632">
        <v>300</v>
      </c>
      <c r="H187" s="630"/>
      <c r="I187" s="630"/>
      <c r="J187" s="630"/>
      <c r="K187" s="626" t="s">
        <v>5513</v>
      </c>
      <c r="L187" s="630" t="s">
        <v>5514</v>
      </c>
    </row>
    <row r="188" spans="1:12" s="598" customFormat="1">
      <c r="A188" s="673">
        <v>180</v>
      </c>
      <c r="B188" s="610" t="s">
        <v>5366</v>
      </c>
      <c r="C188" s="616" t="s">
        <v>5515</v>
      </c>
      <c r="D188" s="630" t="s">
        <v>5516</v>
      </c>
      <c r="E188" s="616" t="s">
        <v>5517</v>
      </c>
      <c r="F188" s="616" t="s">
        <v>5518</v>
      </c>
      <c r="G188" s="632">
        <v>250</v>
      </c>
      <c r="H188" s="630"/>
      <c r="I188" s="630"/>
      <c r="J188" s="630"/>
      <c r="K188" s="619" t="s">
        <v>5519</v>
      </c>
      <c r="L188" s="630" t="s">
        <v>5520</v>
      </c>
    </row>
    <row r="189" spans="1:12" s="598" customFormat="1">
      <c r="A189" s="673">
        <v>181</v>
      </c>
      <c r="B189" s="610" t="s">
        <v>5366</v>
      </c>
      <c r="C189" s="616" t="s">
        <v>5409</v>
      </c>
      <c r="D189" s="631" t="s">
        <v>5415</v>
      </c>
      <c r="E189" s="616" t="s">
        <v>5385</v>
      </c>
      <c r="F189" s="616" t="s">
        <v>5521</v>
      </c>
      <c r="G189" s="629">
        <v>250</v>
      </c>
      <c r="H189" s="616"/>
      <c r="I189" s="616"/>
      <c r="J189" s="616"/>
      <c r="K189" s="619" t="s">
        <v>5522</v>
      </c>
      <c r="L189" s="610" t="s">
        <v>5523</v>
      </c>
    </row>
    <row r="190" spans="1:12" s="598" customFormat="1">
      <c r="A190" s="673">
        <v>182</v>
      </c>
      <c r="B190" s="610" t="s">
        <v>5366</v>
      </c>
      <c r="C190" s="616" t="s">
        <v>5378</v>
      </c>
      <c r="D190" s="616" t="s">
        <v>5452</v>
      </c>
      <c r="E190" s="616" t="s">
        <v>5517</v>
      </c>
      <c r="F190" s="616" t="s">
        <v>5524</v>
      </c>
      <c r="G190" s="628">
        <v>437.5</v>
      </c>
      <c r="H190" s="616"/>
      <c r="I190" s="616"/>
      <c r="J190" s="616"/>
      <c r="K190" s="619" t="s">
        <v>5525</v>
      </c>
      <c r="L190" s="610" t="s">
        <v>5526</v>
      </c>
    </row>
    <row r="191" spans="1:12" s="598" customFormat="1">
      <c r="A191" s="673">
        <v>183</v>
      </c>
      <c r="B191" s="610" t="s">
        <v>5366</v>
      </c>
      <c r="C191" s="616" t="s">
        <v>5527</v>
      </c>
      <c r="D191" s="616" t="s">
        <v>5528</v>
      </c>
      <c r="E191" s="616" t="s">
        <v>5529</v>
      </c>
      <c r="F191" s="616" t="s">
        <v>5530</v>
      </c>
      <c r="G191" s="629">
        <v>350</v>
      </c>
      <c r="H191" s="616"/>
      <c r="I191" s="616"/>
      <c r="J191" s="616"/>
      <c r="K191" s="610">
        <v>62006019310</v>
      </c>
      <c r="L191" s="610" t="s">
        <v>5531</v>
      </c>
    </row>
    <row r="192" spans="1:12" s="598" customFormat="1">
      <c r="A192" s="673">
        <v>184</v>
      </c>
      <c r="B192" s="610" t="s">
        <v>5366</v>
      </c>
      <c r="C192" s="625" t="s">
        <v>5420</v>
      </c>
      <c r="D192" s="616" t="s">
        <v>5532</v>
      </c>
      <c r="E192" s="616" t="s">
        <v>5389</v>
      </c>
      <c r="F192" s="616" t="s">
        <v>5533</v>
      </c>
      <c r="G192" s="629">
        <v>375</v>
      </c>
      <c r="H192" s="616"/>
      <c r="I192" s="616"/>
      <c r="J192" s="616"/>
      <c r="K192" s="619" t="s">
        <v>5534</v>
      </c>
      <c r="L192" s="610" t="s">
        <v>5535</v>
      </c>
    </row>
    <row r="193" spans="1:13" s="598" customFormat="1">
      <c r="A193" s="673">
        <v>185</v>
      </c>
      <c r="B193" s="610" t="s">
        <v>5366</v>
      </c>
      <c r="C193" s="616" t="s">
        <v>5536</v>
      </c>
      <c r="D193" s="620" t="s">
        <v>5537</v>
      </c>
      <c r="E193" s="619" t="s">
        <v>5374</v>
      </c>
      <c r="F193" s="616" t="s">
        <v>5538</v>
      </c>
      <c r="G193" s="612">
        <v>1100</v>
      </c>
      <c r="H193" s="610"/>
      <c r="I193" s="610"/>
      <c r="J193" s="610"/>
      <c r="K193" s="619" t="s">
        <v>5539</v>
      </c>
      <c r="L193" s="610" t="s">
        <v>5540</v>
      </c>
    </row>
    <row r="194" spans="1:13" s="598" customFormat="1">
      <c r="A194" s="673">
        <v>186</v>
      </c>
      <c r="B194" s="610" t="s">
        <v>5366</v>
      </c>
      <c r="C194" s="630" t="s">
        <v>5446</v>
      </c>
      <c r="D194" s="630" t="s">
        <v>5541</v>
      </c>
      <c r="E194" s="616" t="s">
        <v>5507</v>
      </c>
      <c r="F194" s="616" t="s">
        <v>5542</v>
      </c>
      <c r="G194" s="629">
        <v>437</v>
      </c>
      <c r="H194" s="616"/>
      <c r="I194" s="616"/>
      <c r="J194" s="616"/>
      <c r="K194" s="619" t="s">
        <v>5543</v>
      </c>
      <c r="L194" s="610" t="s">
        <v>5544</v>
      </c>
    </row>
    <row r="195" spans="1:13" s="598" customFormat="1">
      <c r="A195" s="673">
        <v>187</v>
      </c>
      <c r="B195" s="610" t="s">
        <v>5366</v>
      </c>
      <c r="C195" s="616" t="s">
        <v>5387</v>
      </c>
      <c r="D195" s="616" t="s">
        <v>5545</v>
      </c>
      <c r="E195" s="616" t="s">
        <v>5374</v>
      </c>
      <c r="F195" s="616" t="s">
        <v>5546</v>
      </c>
      <c r="G195" s="612">
        <v>600</v>
      </c>
      <c r="H195" s="610"/>
      <c r="I195" s="610"/>
      <c r="J195" s="610"/>
      <c r="K195" s="627" t="s">
        <v>5547</v>
      </c>
      <c r="L195" s="610" t="s">
        <v>5548</v>
      </c>
    </row>
    <row r="196" spans="1:13" s="598" customFormat="1">
      <c r="A196" s="673">
        <v>188</v>
      </c>
      <c r="B196" s="610" t="s">
        <v>5366</v>
      </c>
      <c r="C196" s="616" t="s">
        <v>5378</v>
      </c>
      <c r="D196" s="616" t="s">
        <v>5549</v>
      </c>
      <c r="E196" s="616" t="s">
        <v>5385</v>
      </c>
      <c r="F196" s="616" t="s">
        <v>5550</v>
      </c>
      <c r="G196" s="629">
        <v>200</v>
      </c>
      <c r="H196" s="619" t="s">
        <v>5551</v>
      </c>
      <c r="I196" s="610" t="s">
        <v>5552</v>
      </c>
      <c r="J196" s="611" t="s">
        <v>5553</v>
      </c>
      <c r="K196" s="611"/>
      <c r="L196" s="611"/>
    </row>
    <row r="197" spans="1:13" s="598" customFormat="1">
      <c r="A197" s="673">
        <v>189</v>
      </c>
      <c r="B197" s="610" t="s">
        <v>5366</v>
      </c>
      <c r="C197" s="616" t="s">
        <v>5387</v>
      </c>
      <c r="D197" s="616" t="s">
        <v>5554</v>
      </c>
      <c r="E197" s="616" t="s">
        <v>5392</v>
      </c>
      <c r="F197" s="616" t="s">
        <v>5555</v>
      </c>
      <c r="G197" s="612">
        <v>275</v>
      </c>
      <c r="H197" s="619" t="s">
        <v>5556</v>
      </c>
      <c r="I197" s="610" t="s">
        <v>5557</v>
      </c>
      <c r="J197" s="611" t="s">
        <v>5558</v>
      </c>
      <c r="K197" s="611"/>
      <c r="L197" s="611"/>
    </row>
    <row r="198" spans="1:13" s="598" customFormat="1">
      <c r="A198" s="673">
        <v>190</v>
      </c>
      <c r="B198" s="610" t="s">
        <v>5366</v>
      </c>
      <c r="C198" s="616" t="s">
        <v>5387</v>
      </c>
      <c r="D198" s="616" t="s">
        <v>5559</v>
      </c>
      <c r="E198" s="616" t="s">
        <v>5411</v>
      </c>
      <c r="F198" s="616" t="s">
        <v>5560</v>
      </c>
      <c r="G198" s="629">
        <v>500</v>
      </c>
      <c r="H198" s="619" t="s">
        <v>5561</v>
      </c>
      <c r="I198" s="610" t="s">
        <v>5562</v>
      </c>
      <c r="J198" s="611" t="s">
        <v>5563</v>
      </c>
      <c r="K198" s="611"/>
      <c r="L198" s="611"/>
    </row>
    <row r="199" spans="1:13" s="598" customFormat="1">
      <c r="A199" s="673">
        <v>191</v>
      </c>
      <c r="B199" s="610" t="s">
        <v>5366</v>
      </c>
      <c r="C199" s="616" t="s">
        <v>5564</v>
      </c>
      <c r="D199" s="616" t="s">
        <v>5565</v>
      </c>
      <c r="E199" s="616" t="s">
        <v>5403</v>
      </c>
      <c r="F199" s="616" t="s">
        <v>5566</v>
      </c>
      <c r="G199" s="612">
        <v>1200</v>
      </c>
      <c r="H199" s="619" t="s">
        <v>5567</v>
      </c>
      <c r="I199" s="610" t="s">
        <v>5568</v>
      </c>
      <c r="J199" s="611" t="s">
        <v>5569</v>
      </c>
      <c r="K199" s="611"/>
      <c r="L199" s="611"/>
    </row>
    <row r="200" spans="1:13" s="598" customFormat="1">
      <c r="A200" s="673">
        <v>192</v>
      </c>
      <c r="B200" s="610" t="s">
        <v>5366</v>
      </c>
      <c r="C200" s="616" t="s">
        <v>5409</v>
      </c>
      <c r="D200" s="616" t="s">
        <v>5528</v>
      </c>
      <c r="E200" s="616" t="s">
        <v>5529</v>
      </c>
      <c r="F200" s="616" t="s">
        <v>5570</v>
      </c>
      <c r="G200" s="629">
        <v>500</v>
      </c>
      <c r="H200" s="619" t="s">
        <v>5571</v>
      </c>
      <c r="I200" s="610" t="s">
        <v>5572</v>
      </c>
      <c r="J200" s="611" t="s">
        <v>5573</v>
      </c>
      <c r="K200" s="611"/>
      <c r="L200" s="611"/>
    </row>
    <row r="201" spans="1:13" s="598" customFormat="1">
      <c r="A201" s="673">
        <v>193</v>
      </c>
      <c r="B201" s="634" t="s">
        <v>5361</v>
      </c>
      <c r="C201" s="615" t="s">
        <v>5362</v>
      </c>
      <c r="D201" s="634" t="s">
        <v>5363</v>
      </c>
      <c r="E201" s="615">
        <v>1991</v>
      </c>
      <c r="F201" s="634" t="s">
        <v>5364</v>
      </c>
      <c r="G201" s="635">
        <v>87</v>
      </c>
      <c r="H201" s="634"/>
      <c r="I201" s="634"/>
      <c r="J201" s="634"/>
      <c r="K201" s="635">
        <v>206120437</v>
      </c>
      <c r="L201" s="635" t="s">
        <v>5365</v>
      </c>
    </row>
    <row r="202" spans="1:13" s="598" customFormat="1">
      <c r="A202" s="673">
        <v>194</v>
      </c>
      <c r="B202" s="615" t="s">
        <v>5366</v>
      </c>
      <c r="C202" s="616" t="s">
        <v>5574</v>
      </c>
      <c r="D202" s="615" t="s">
        <v>5506</v>
      </c>
      <c r="E202" s="615" t="s">
        <v>5418</v>
      </c>
      <c r="F202" s="616" t="s">
        <v>5575</v>
      </c>
      <c r="G202" s="818">
        <v>7562.5</v>
      </c>
      <c r="H202" s="636"/>
      <c r="I202" s="618"/>
      <c r="J202" s="618"/>
      <c r="K202" s="810" t="s">
        <v>5576</v>
      </c>
      <c r="L202" s="810" t="s">
        <v>5577</v>
      </c>
      <c r="M202" s="598" t="s">
        <v>3846</v>
      </c>
    </row>
    <row r="203" spans="1:13" s="598" customFormat="1">
      <c r="A203" s="673">
        <v>195</v>
      </c>
      <c r="B203" s="610" t="s">
        <v>5366</v>
      </c>
      <c r="C203" s="616" t="s">
        <v>5574</v>
      </c>
      <c r="D203" s="620" t="s">
        <v>5578</v>
      </c>
      <c r="E203" s="619" t="s">
        <v>5517</v>
      </c>
      <c r="F203" s="616" t="s">
        <v>5579</v>
      </c>
      <c r="G203" s="819"/>
      <c r="H203" s="636"/>
      <c r="I203" s="616"/>
      <c r="J203" s="616"/>
      <c r="K203" s="811"/>
      <c r="L203" s="811"/>
    </row>
    <row r="204" spans="1:13" s="598" customFormat="1">
      <c r="A204" s="673">
        <v>196</v>
      </c>
      <c r="B204" s="610" t="s">
        <v>5366</v>
      </c>
      <c r="C204" s="616" t="s">
        <v>5378</v>
      </c>
      <c r="D204" s="616" t="s">
        <v>5580</v>
      </c>
      <c r="E204" s="616" t="s">
        <v>5581</v>
      </c>
      <c r="F204" s="616" t="s">
        <v>5582</v>
      </c>
      <c r="G204" s="819"/>
      <c r="H204" s="636"/>
      <c r="I204" s="623"/>
      <c r="J204" s="623"/>
      <c r="K204" s="811"/>
      <c r="L204" s="811"/>
    </row>
    <row r="205" spans="1:13" s="598" customFormat="1">
      <c r="A205" s="673">
        <v>197</v>
      </c>
      <c r="B205" s="610" t="s">
        <v>5366</v>
      </c>
      <c r="C205" s="616" t="s">
        <v>5378</v>
      </c>
      <c r="D205" s="616" t="s">
        <v>5415</v>
      </c>
      <c r="E205" s="616" t="s">
        <v>5392</v>
      </c>
      <c r="F205" s="616" t="s">
        <v>5583</v>
      </c>
      <c r="G205" s="819"/>
      <c r="H205" s="636"/>
      <c r="I205" s="623"/>
      <c r="J205" s="623"/>
      <c r="K205" s="811"/>
      <c r="L205" s="811"/>
    </row>
    <row r="206" spans="1:13" s="598" customFormat="1">
      <c r="A206" s="673">
        <v>198</v>
      </c>
      <c r="B206" s="610" t="s">
        <v>5366</v>
      </c>
      <c r="C206" s="616" t="s">
        <v>5378</v>
      </c>
      <c r="D206" s="616" t="s">
        <v>5584</v>
      </c>
      <c r="E206" s="616">
        <v>1999</v>
      </c>
      <c r="F206" s="616" t="s">
        <v>5585</v>
      </c>
      <c r="G206" s="819"/>
      <c r="H206" s="636"/>
      <c r="I206" s="623"/>
      <c r="J206" s="623"/>
      <c r="K206" s="811"/>
      <c r="L206" s="811"/>
    </row>
    <row r="207" spans="1:13" s="598" customFormat="1">
      <c r="A207" s="673">
        <v>199</v>
      </c>
      <c r="B207" s="610" t="s">
        <v>5366</v>
      </c>
      <c r="C207" s="616" t="s">
        <v>5378</v>
      </c>
      <c r="D207" s="616" t="s">
        <v>5586</v>
      </c>
      <c r="E207" s="616">
        <v>1987</v>
      </c>
      <c r="F207" s="616" t="s">
        <v>5587</v>
      </c>
      <c r="G207" s="819"/>
      <c r="H207" s="636"/>
      <c r="I207" s="610"/>
      <c r="J207" s="610"/>
      <c r="K207" s="811"/>
      <c r="L207" s="811"/>
    </row>
    <row r="208" spans="1:13" s="598" customFormat="1">
      <c r="A208" s="673">
        <v>200</v>
      </c>
      <c r="B208" s="610" t="s">
        <v>5366</v>
      </c>
      <c r="C208" s="616" t="s">
        <v>5378</v>
      </c>
      <c r="D208" s="616" t="s">
        <v>5588</v>
      </c>
      <c r="E208" s="619">
        <v>2001</v>
      </c>
      <c r="F208" s="616" t="s">
        <v>5589</v>
      </c>
      <c r="G208" s="819"/>
      <c r="H208" s="636"/>
      <c r="I208" s="610"/>
      <c r="J208" s="610"/>
      <c r="K208" s="811"/>
      <c r="L208" s="811"/>
    </row>
    <row r="209" spans="1:12" s="598" customFormat="1">
      <c r="A209" s="673">
        <v>201</v>
      </c>
      <c r="B209" s="610" t="s">
        <v>5366</v>
      </c>
      <c r="C209" s="624" t="s">
        <v>5378</v>
      </c>
      <c r="D209" s="616" t="s">
        <v>5590</v>
      </c>
      <c r="E209" s="619" t="s">
        <v>5591</v>
      </c>
      <c r="F209" s="616" t="s">
        <v>5592</v>
      </c>
      <c r="G209" s="819"/>
      <c r="H209" s="636"/>
      <c r="I209" s="616"/>
      <c r="J209" s="616"/>
      <c r="K209" s="811"/>
      <c r="L209" s="811"/>
    </row>
    <row r="210" spans="1:12" s="598" customFormat="1">
      <c r="A210" s="673">
        <v>202</v>
      </c>
      <c r="B210" s="610" t="s">
        <v>5366</v>
      </c>
      <c r="C210" s="624" t="s">
        <v>5378</v>
      </c>
      <c r="D210" s="616" t="s">
        <v>5476</v>
      </c>
      <c r="E210" s="619" t="s">
        <v>5507</v>
      </c>
      <c r="F210" s="616" t="s">
        <v>5593</v>
      </c>
      <c r="G210" s="819"/>
      <c r="H210" s="636"/>
      <c r="I210" s="616"/>
      <c r="J210" s="616"/>
      <c r="K210" s="811"/>
      <c r="L210" s="811"/>
    </row>
    <row r="211" spans="1:12" s="598" customFormat="1">
      <c r="A211" s="673">
        <v>203</v>
      </c>
      <c r="B211" s="610" t="s">
        <v>5366</v>
      </c>
      <c r="C211" s="616" t="s">
        <v>5378</v>
      </c>
      <c r="D211" s="616" t="s">
        <v>5476</v>
      </c>
      <c r="E211" s="616" t="s">
        <v>5507</v>
      </c>
      <c r="F211" s="616" t="s">
        <v>5594</v>
      </c>
      <c r="G211" s="819"/>
      <c r="H211" s="636"/>
      <c r="I211" s="610"/>
      <c r="J211" s="610"/>
      <c r="K211" s="811"/>
      <c r="L211" s="811"/>
    </row>
    <row r="212" spans="1:12" s="598" customFormat="1">
      <c r="A212" s="673">
        <v>204</v>
      </c>
      <c r="B212" s="610" t="s">
        <v>5366</v>
      </c>
      <c r="C212" s="616" t="s">
        <v>5378</v>
      </c>
      <c r="D212" s="616" t="s">
        <v>5595</v>
      </c>
      <c r="E212" s="616" t="s">
        <v>5418</v>
      </c>
      <c r="F212" s="616" t="s">
        <v>5596</v>
      </c>
      <c r="G212" s="819"/>
      <c r="H212" s="636"/>
      <c r="I212" s="610"/>
      <c r="J212" s="610"/>
      <c r="K212" s="811"/>
      <c r="L212" s="811"/>
    </row>
    <row r="213" spans="1:12" s="598" customFormat="1">
      <c r="A213" s="673">
        <v>205</v>
      </c>
      <c r="B213" s="610" t="s">
        <v>5366</v>
      </c>
      <c r="C213" s="616" t="s">
        <v>5378</v>
      </c>
      <c r="D213" s="616" t="s">
        <v>5452</v>
      </c>
      <c r="E213" s="616">
        <v>2003</v>
      </c>
      <c r="F213" s="616" t="s">
        <v>5597</v>
      </c>
      <c r="G213" s="819"/>
      <c r="H213" s="636"/>
      <c r="I213" s="610"/>
      <c r="J213" s="610"/>
      <c r="K213" s="811"/>
      <c r="L213" s="811"/>
    </row>
    <row r="214" spans="1:12" s="598" customFormat="1">
      <c r="A214" s="673">
        <v>206</v>
      </c>
      <c r="B214" s="610" t="s">
        <v>5366</v>
      </c>
      <c r="C214" s="616" t="s">
        <v>5378</v>
      </c>
      <c r="D214" s="616" t="s">
        <v>5598</v>
      </c>
      <c r="E214" s="616" t="s">
        <v>5599</v>
      </c>
      <c r="F214" s="616" t="s">
        <v>5600</v>
      </c>
      <c r="G214" s="819"/>
      <c r="H214" s="636"/>
      <c r="I214" s="610"/>
      <c r="J214" s="610"/>
      <c r="K214" s="811"/>
      <c r="L214" s="811"/>
    </row>
    <row r="215" spans="1:12" s="598" customFormat="1">
      <c r="A215" s="673">
        <v>207</v>
      </c>
      <c r="B215" s="610" t="s">
        <v>5366</v>
      </c>
      <c r="C215" s="616" t="s">
        <v>5378</v>
      </c>
      <c r="D215" s="616" t="s">
        <v>5476</v>
      </c>
      <c r="E215" s="616" t="s">
        <v>5418</v>
      </c>
      <c r="F215" s="616" t="s">
        <v>5601</v>
      </c>
      <c r="G215" s="819"/>
      <c r="H215" s="636"/>
      <c r="I215" s="610"/>
      <c r="J215" s="610"/>
      <c r="K215" s="811"/>
      <c r="L215" s="811"/>
    </row>
    <row r="216" spans="1:12" s="598" customFormat="1">
      <c r="A216" s="673">
        <v>208</v>
      </c>
      <c r="B216" s="610" t="s">
        <v>5366</v>
      </c>
      <c r="C216" s="616" t="s">
        <v>5378</v>
      </c>
      <c r="D216" s="620" t="s">
        <v>5602</v>
      </c>
      <c r="E216" s="626" t="s">
        <v>5392</v>
      </c>
      <c r="F216" s="616" t="s">
        <v>5603</v>
      </c>
      <c r="G216" s="819"/>
      <c r="H216" s="636"/>
      <c r="I216" s="610"/>
      <c r="J216" s="610"/>
      <c r="K216" s="811"/>
      <c r="L216" s="811"/>
    </row>
    <row r="217" spans="1:12" s="598" customFormat="1">
      <c r="A217" s="673">
        <v>209</v>
      </c>
      <c r="B217" s="610" t="s">
        <v>5366</v>
      </c>
      <c r="C217" s="616" t="s">
        <v>5604</v>
      </c>
      <c r="D217" s="616" t="s">
        <v>5605</v>
      </c>
      <c r="E217" s="619" t="s">
        <v>5529</v>
      </c>
      <c r="F217" s="616" t="s">
        <v>5606</v>
      </c>
      <c r="G217" s="819"/>
      <c r="H217" s="636"/>
      <c r="I217" s="610"/>
      <c r="J217" s="610"/>
      <c r="K217" s="811"/>
      <c r="L217" s="811"/>
    </row>
    <row r="218" spans="1:12" s="598" customFormat="1">
      <c r="A218" s="673">
        <v>210</v>
      </c>
      <c r="B218" s="610" t="s">
        <v>5366</v>
      </c>
      <c r="C218" s="624" t="s">
        <v>5367</v>
      </c>
      <c r="D218" s="616" t="s">
        <v>5452</v>
      </c>
      <c r="E218" s="619">
        <v>1999</v>
      </c>
      <c r="F218" s="616" t="s">
        <v>5607</v>
      </c>
      <c r="G218" s="819"/>
      <c r="H218" s="636"/>
      <c r="I218" s="610"/>
      <c r="J218" s="610"/>
      <c r="K218" s="811"/>
      <c r="L218" s="811"/>
    </row>
    <row r="219" spans="1:12" s="598" customFormat="1">
      <c r="A219" s="673">
        <v>211</v>
      </c>
      <c r="B219" s="610" t="s">
        <v>5366</v>
      </c>
      <c r="C219" s="616" t="s">
        <v>5608</v>
      </c>
      <c r="D219" s="620" t="s">
        <v>5609</v>
      </c>
      <c r="E219" s="619">
        <v>1994</v>
      </c>
      <c r="F219" s="616" t="s">
        <v>5610</v>
      </c>
      <c r="G219" s="819"/>
      <c r="H219" s="636"/>
      <c r="I219" s="610"/>
      <c r="J219" s="610"/>
      <c r="K219" s="811"/>
      <c r="L219" s="811"/>
    </row>
    <row r="220" spans="1:12" s="598" customFormat="1">
      <c r="A220" s="673">
        <v>212</v>
      </c>
      <c r="B220" s="610" t="s">
        <v>5366</v>
      </c>
      <c r="C220" s="616" t="s">
        <v>5372</v>
      </c>
      <c r="D220" s="619" t="s">
        <v>5611</v>
      </c>
      <c r="E220" s="616">
        <v>1998</v>
      </c>
      <c r="F220" s="616" t="s">
        <v>5612</v>
      </c>
      <c r="G220" s="819"/>
      <c r="H220" s="636"/>
      <c r="I220" s="616"/>
      <c r="J220" s="616"/>
      <c r="K220" s="811"/>
      <c r="L220" s="811"/>
    </row>
    <row r="221" spans="1:12" s="598" customFormat="1">
      <c r="A221" s="673">
        <v>213</v>
      </c>
      <c r="B221" s="610" t="s">
        <v>5366</v>
      </c>
      <c r="C221" s="616" t="s">
        <v>5608</v>
      </c>
      <c r="D221" s="616" t="s">
        <v>5613</v>
      </c>
      <c r="E221" s="616">
        <v>1991</v>
      </c>
      <c r="F221" s="616" t="s">
        <v>5614</v>
      </c>
      <c r="G221" s="819"/>
      <c r="H221" s="636"/>
      <c r="I221" s="616"/>
      <c r="J221" s="616"/>
      <c r="K221" s="811"/>
      <c r="L221" s="811"/>
    </row>
    <row r="222" spans="1:12" s="598" customFormat="1">
      <c r="A222" s="673">
        <v>214</v>
      </c>
      <c r="B222" s="610" t="s">
        <v>5366</v>
      </c>
      <c r="C222" s="616" t="s">
        <v>5378</v>
      </c>
      <c r="D222" s="616" t="s">
        <v>5605</v>
      </c>
      <c r="E222" s="616">
        <v>1991</v>
      </c>
      <c r="F222" s="616" t="s">
        <v>5615</v>
      </c>
      <c r="G222" s="819"/>
      <c r="H222" s="636"/>
      <c r="I222" s="623"/>
      <c r="J222" s="623"/>
      <c r="K222" s="811"/>
      <c r="L222" s="811"/>
    </row>
    <row r="223" spans="1:12" s="598" customFormat="1">
      <c r="A223" s="673">
        <v>215</v>
      </c>
      <c r="B223" s="610" t="s">
        <v>5366</v>
      </c>
      <c r="C223" s="616" t="s">
        <v>5616</v>
      </c>
      <c r="D223" s="616" t="s">
        <v>5611</v>
      </c>
      <c r="E223" s="616">
        <v>1998</v>
      </c>
      <c r="F223" s="616" t="s">
        <v>5617</v>
      </c>
      <c r="G223" s="819"/>
      <c r="H223" s="636"/>
      <c r="I223" s="610"/>
      <c r="J223" s="610"/>
      <c r="K223" s="811"/>
      <c r="L223" s="811"/>
    </row>
    <row r="224" spans="1:12" s="598" customFormat="1">
      <c r="A224" s="673">
        <v>216</v>
      </c>
      <c r="B224" s="610" t="s">
        <v>5366</v>
      </c>
      <c r="C224" s="616" t="s">
        <v>5378</v>
      </c>
      <c r="D224" s="616" t="s">
        <v>5605</v>
      </c>
      <c r="E224" s="616">
        <v>1999</v>
      </c>
      <c r="F224" s="616" t="s">
        <v>5618</v>
      </c>
      <c r="G224" s="819"/>
      <c r="H224" s="636"/>
      <c r="I224" s="616"/>
      <c r="J224" s="616"/>
      <c r="K224" s="811"/>
      <c r="L224" s="811"/>
    </row>
    <row r="225" spans="1:12" s="598" customFormat="1">
      <c r="A225" s="673">
        <v>217</v>
      </c>
      <c r="B225" s="610" t="s">
        <v>5366</v>
      </c>
      <c r="C225" s="616" t="s">
        <v>5378</v>
      </c>
      <c r="D225" s="616" t="s">
        <v>5605</v>
      </c>
      <c r="E225" s="616">
        <v>1991</v>
      </c>
      <c r="F225" s="616" t="s">
        <v>5619</v>
      </c>
      <c r="G225" s="819"/>
      <c r="H225" s="636"/>
      <c r="I225" s="616"/>
      <c r="J225" s="616"/>
      <c r="K225" s="811"/>
      <c r="L225" s="811"/>
    </row>
    <row r="226" spans="1:12" s="598" customFormat="1">
      <c r="A226" s="673">
        <v>218</v>
      </c>
      <c r="B226" s="610" t="s">
        <v>5366</v>
      </c>
      <c r="C226" s="616" t="s">
        <v>5378</v>
      </c>
      <c r="D226" s="616" t="s">
        <v>5605</v>
      </c>
      <c r="E226" s="616">
        <v>1992</v>
      </c>
      <c r="F226" s="616" t="s">
        <v>5620</v>
      </c>
      <c r="G226" s="819"/>
      <c r="H226" s="636"/>
      <c r="I226" s="616"/>
      <c r="J226" s="616"/>
      <c r="K226" s="811"/>
      <c r="L226" s="811"/>
    </row>
    <row r="227" spans="1:12" s="598" customFormat="1">
      <c r="A227" s="673">
        <v>219</v>
      </c>
      <c r="B227" s="610" t="s">
        <v>5366</v>
      </c>
      <c r="C227" s="616" t="s">
        <v>5367</v>
      </c>
      <c r="D227" s="616" t="s">
        <v>5605</v>
      </c>
      <c r="E227" s="616">
        <v>1998</v>
      </c>
      <c r="F227" s="616" t="s">
        <v>5621</v>
      </c>
      <c r="G227" s="819"/>
      <c r="H227" s="636"/>
      <c r="I227" s="616"/>
      <c r="J227" s="616"/>
      <c r="K227" s="811"/>
      <c r="L227" s="811"/>
    </row>
    <row r="228" spans="1:12" s="598" customFormat="1">
      <c r="A228" s="673">
        <v>220</v>
      </c>
      <c r="B228" s="610" t="s">
        <v>5366</v>
      </c>
      <c r="C228" s="616" t="s">
        <v>5367</v>
      </c>
      <c r="D228" s="620"/>
      <c r="E228" s="616">
        <v>1997</v>
      </c>
      <c r="F228" s="616" t="s">
        <v>5622</v>
      </c>
      <c r="G228" s="819"/>
      <c r="H228" s="636"/>
      <c r="I228" s="616"/>
      <c r="J228" s="616"/>
      <c r="K228" s="811"/>
      <c r="L228" s="811"/>
    </row>
    <row r="229" spans="1:12" s="598" customFormat="1">
      <c r="A229" s="673">
        <v>221</v>
      </c>
      <c r="B229" s="610" t="s">
        <v>5366</v>
      </c>
      <c r="C229" s="616" t="s">
        <v>5378</v>
      </c>
      <c r="D229" s="616" t="s">
        <v>5605</v>
      </c>
      <c r="E229" s="616">
        <v>1996</v>
      </c>
      <c r="F229" s="616" t="s">
        <v>5623</v>
      </c>
      <c r="G229" s="819"/>
      <c r="H229" s="636"/>
      <c r="I229" s="616"/>
      <c r="J229" s="616"/>
      <c r="K229" s="811"/>
      <c r="L229" s="811"/>
    </row>
    <row r="230" spans="1:12" s="598" customFormat="1">
      <c r="A230" s="673">
        <v>222</v>
      </c>
      <c r="B230" s="610" t="s">
        <v>5366</v>
      </c>
      <c r="C230" s="630" t="s">
        <v>5378</v>
      </c>
      <c r="D230" s="630" t="s">
        <v>5447</v>
      </c>
      <c r="E230" s="630">
        <v>1998</v>
      </c>
      <c r="F230" s="631" t="s">
        <v>5624</v>
      </c>
      <c r="G230" s="819"/>
      <c r="H230" s="636"/>
      <c r="I230" s="630"/>
      <c r="J230" s="630"/>
      <c r="K230" s="811"/>
      <c r="L230" s="811"/>
    </row>
    <row r="231" spans="1:12" s="598" customFormat="1">
      <c r="A231" s="673">
        <v>223</v>
      </c>
      <c r="B231" s="610" t="s">
        <v>5366</v>
      </c>
      <c r="C231" s="630" t="s">
        <v>5625</v>
      </c>
      <c r="D231" s="630" t="s">
        <v>5586</v>
      </c>
      <c r="E231" s="630">
        <v>1983</v>
      </c>
      <c r="F231" s="616" t="s">
        <v>5626</v>
      </c>
      <c r="G231" s="819"/>
      <c r="H231" s="636"/>
      <c r="I231" s="616"/>
      <c r="J231" s="616"/>
      <c r="K231" s="811"/>
      <c r="L231" s="811"/>
    </row>
    <row r="232" spans="1:12" s="598" customFormat="1">
      <c r="A232" s="673">
        <v>224</v>
      </c>
      <c r="B232" s="610" t="s">
        <v>5366</v>
      </c>
      <c r="C232" s="616" t="s">
        <v>5387</v>
      </c>
      <c r="D232" s="616" t="s">
        <v>5627</v>
      </c>
      <c r="E232" s="616">
        <v>1996</v>
      </c>
      <c r="F232" s="616" t="s">
        <v>5628</v>
      </c>
      <c r="G232" s="819"/>
      <c r="H232" s="636"/>
      <c r="I232" s="616"/>
      <c r="J232" s="616"/>
      <c r="K232" s="811"/>
      <c r="L232" s="811"/>
    </row>
    <row r="233" spans="1:12" s="598" customFormat="1">
      <c r="A233" s="673">
        <v>225</v>
      </c>
      <c r="B233" s="610" t="s">
        <v>5366</v>
      </c>
      <c r="C233" s="630" t="s">
        <v>5378</v>
      </c>
      <c r="D233" s="630" t="s">
        <v>5629</v>
      </c>
      <c r="E233" s="630">
        <v>1985</v>
      </c>
      <c r="F233" s="630" t="s">
        <v>5630</v>
      </c>
      <c r="G233" s="819"/>
      <c r="H233" s="636"/>
      <c r="I233" s="630"/>
      <c r="J233" s="630"/>
      <c r="K233" s="811"/>
      <c r="L233" s="811"/>
    </row>
    <row r="234" spans="1:12" s="598" customFormat="1">
      <c r="A234" s="673">
        <v>226</v>
      </c>
      <c r="B234" s="610" t="s">
        <v>5366</v>
      </c>
      <c r="C234" s="630" t="s">
        <v>5387</v>
      </c>
      <c r="D234" s="630" t="s">
        <v>5388</v>
      </c>
      <c r="E234" s="630">
        <v>1998</v>
      </c>
      <c r="F234" s="630" t="s">
        <v>5631</v>
      </c>
      <c r="G234" s="819"/>
      <c r="H234" s="636"/>
      <c r="I234" s="630"/>
      <c r="J234" s="630"/>
      <c r="K234" s="811"/>
      <c r="L234" s="811"/>
    </row>
    <row r="235" spans="1:12" s="598" customFormat="1">
      <c r="A235" s="673">
        <v>227</v>
      </c>
      <c r="B235" s="610" t="s">
        <v>5366</v>
      </c>
      <c r="C235" s="616" t="s">
        <v>5372</v>
      </c>
      <c r="D235" s="630" t="s">
        <v>5632</v>
      </c>
      <c r="E235" s="616">
        <v>1997</v>
      </c>
      <c r="F235" s="616" t="s">
        <v>5633</v>
      </c>
      <c r="G235" s="819"/>
      <c r="H235" s="636"/>
      <c r="I235" s="630"/>
      <c r="J235" s="630"/>
      <c r="K235" s="811"/>
      <c r="L235" s="811"/>
    </row>
    <row r="236" spans="1:12" s="598" customFormat="1">
      <c r="A236" s="673">
        <v>228</v>
      </c>
      <c r="B236" s="610" t="s">
        <v>5366</v>
      </c>
      <c r="C236" s="616" t="s">
        <v>5505</v>
      </c>
      <c r="D236" s="630" t="s">
        <v>5476</v>
      </c>
      <c r="E236" s="616">
        <v>1997</v>
      </c>
      <c r="F236" s="616" t="s">
        <v>5634</v>
      </c>
      <c r="G236" s="819"/>
      <c r="H236" s="636"/>
      <c r="I236" s="630"/>
      <c r="J236" s="630"/>
      <c r="K236" s="811"/>
      <c r="L236" s="811"/>
    </row>
    <row r="237" spans="1:12" s="598" customFormat="1">
      <c r="A237" s="673">
        <v>229</v>
      </c>
      <c r="B237" s="610" t="s">
        <v>5366</v>
      </c>
      <c r="C237" s="616" t="s">
        <v>5505</v>
      </c>
      <c r="D237" s="630">
        <v>310</v>
      </c>
      <c r="E237" s="616">
        <v>1994</v>
      </c>
      <c r="F237" s="616" t="s">
        <v>5635</v>
      </c>
      <c r="G237" s="819"/>
      <c r="H237" s="636"/>
      <c r="I237" s="630"/>
      <c r="J237" s="630"/>
      <c r="K237" s="811"/>
      <c r="L237" s="811"/>
    </row>
    <row r="238" spans="1:12" s="598" customFormat="1">
      <c r="A238" s="673">
        <v>230</v>
      </c>
      <c r="B238" s="610" t="s">
        <v>5366</v>
      </c>
      <c r="C238" s="616" t="s">
        <v>5505</v>
      </c>
      <c r="D238" s="630" t="s">
        <v>5636</v>
      </c>
      <c r="E238" s="616">
        <v>1990</v>
      </c>
      <c r="F238" s="616" t="s">
        <v>5637</v>
      </c>
      <c r="G238" s="819"/>
      <c r="H238" s="636"/>
      <c r="I238" s="630"/>
      <c r="J238" s="630"/>
      <c r="K238" s="811"/>
      <c r="L238" s="811"/>
    </row>
    <row r="239" spans="1:12" s="598" customFormat="1">
      <c r="A239" s="673">
        <v>231</v>
      </c>
      <c r="B239" s="610" t="s">
        <v>5366</v>
      </c>
      <c r="C239" s="616" t="s">
        <v>5387</v>
      </c>
      <c r="D239" s="630" t="s">
        <v>5638</v>
      </c>
      <c r="E239" s="616">
        <v>2001</v>
      </c>
      <c r="F239" s="616" t="s">
        <v>5639</v>
      </c>
      <c r="G239" s="819"/>
      <c r="H239" s="636"/>
      <c r="I239" s="630"/>
      <c r="J239" s="630"/>
      <c r="K239" s="811"/>
      <c r="L239" s="811"/>
    </row>
    <row r="240" spans="1:12" s="598" customFormat="1">
      <c r="A240" s="673">
        <v>232</v>
      </c>
      <c r="B240" s="610" t="s">
        <v>5366</v>
      </c>
      <c r="C240" s="616" t="s">
        <v>5387</v>
      </c>
      <c r="D240" s="630" t="s">
        <v>5388</v>
      </c>
      <c r="E240" s="616">
        <v>1993</v>
      </c>
      <c r="F240" s="616" t="s">
        <v>5640</v>
      </c>
      <c r="G240" s="819"/>
      <c r="H240" s="636"/>
      <c r="I240" s="630"/>
      <c r="J240" s="630"/>
      <c r="K240" s="811"/>
      <c r="L240" s="811"/>
    </row>
    <row r="241" spans="1:12" s="598" customFormat="1">
      <c r="A241" s="673">
        <v>233</v>
      </c>
      <c r="B241" s="610" t="s">
        <v>5366</v>
      </c>
      <c r="C241" s="616" t="s">
        <v>5505</v>
      </c>
      <c r="D241" s="630" t="s">
        <v>5641</v>
      </c>
      <c r="E241" s="616">
        <v>1993</v>
      </c>
      <c r="F241" s="616" t="s">
        <v>5642</v>
      </c>
      <c r="G241" s="819"/>
      <c r="H241" s="636"/>
      <c r="I241" s="630"/>
      <c r="J241" s="630"/>
      <c r="K241" s="811"/>
      <c r="L241" s="811"/>
    </row>
    <row r="242" spans="1:12" s="598" customFormat="1">
      <c r="A242" s="673">
        <v>234</v>
      </c>
      <c r="B242" s="610" t="s">
        <v>5366</v>
      </c>
      <c r="C242" s="616" t="s">
        <v>5643</v>
      </c>
      <c r="D242" s="630" t="s">
        <v>5644</v>
      </c>
      <c r="E242" s="616">
        <v>2002</v>
      </c>
      <c r="F242" s="616" t="s">
        <v>5645</v>
      </c>
      <c r="G242" s="819"/>
      <c r="H242" s="636"/>
      <c r="I242" s="630"/>
      <c r="J242" s="630"/>
      <c r="K242" s="811"/>
      <c r="L242" s="811"/>
    </row>
    <row r="243" spans="1:12" s="598" customFormat="1">
      <c r="A243" s="673">
        <v>235</v>
      </c>
      <c r="B243" s="610" t="s">
        <v>5366</v>
      </c>
      <c r="C243" s="616" t="s">
        <v>5505</v>
      </c>
      <c r="D243" s="630" t="s">
        <v>5646</v>
      </c>
      <c r="E243" s="616">
        <v>1992</v>
      </c>
      <c r="F243" s="616" t="s">
        <v>5647</v>
      </c>
      <c r="G243" s="819"/>
      <c r="H243" s="636"/>
      <c r="I243" s="630"/>
      <c r="J243" s="630"/>
      <c r="K243" s="811"/>
      <c r="L243" s="811"/>
    </row>
    <row r="244" spans="1:12" s="598" customFormat="1">
      <c r="A244" s="673">
        <v>236</v>
      </c>
      <c r="B244" s="610" t="s">
        <v>5366</v>
      </c>
      <c r="C244" s="616" t="s">
        <v>5387</v>
      </c>
      <c r="D244" s="630" t="s">
        <v>5373</v>
      </c>
      <c r="E244" s="616">
        <v>1998</v>
      </c>
      <c r="F244" s="616" t="s">
        <v>5648</v>
      </c>
      <c r="G244" s="819"/>
      <c r="H244" s="636"/>
      <c r="I244" s="630"/>
      <c r="J244" s="630"/>
      <c r="K244" s="811"/>
      <c r="L244" s="811"/>
    </row>
    <row r="245" spans="1:12" s="598" customFormat="1">
      <c r="A245" s="673">
        <v>237</v>
      </c>
      <c r="B245" s="610" t="s">
        <v>5366</v>
      </c>
      <c r="C245" s="616" t="s">
        <v>5505</v>
      </c>
      <c r="D245" s="630" t="s">
        <v>5649</v>
      </c>
      <c r="E245" s="616">
        <v>1992</v>
      </c>
      <c r="F245" s="616" t="s">
        <v>5650</v>
      </c>
      <c r="G245" s="819"/>
      <c r="H245" s="636"/>
      <c r="I245" s="630"/>
      <c r="J245" s="630"/>
      <c r="K245" s="811"/>
      <c r="L245" s="811"/>
    </row>
    <row r="246" spans="1:12" s="598" customFormat="1">
      <c r="A246" s="673">
        <v>238</v>
      </c>
      <c r="B246" s="610" t="s">
        <v>5366</v>
      </c>
      <c r="C246" s="616" t="s">
        <v>5387</v>
      </c>
      <c r="D246" s="630" t="s">
        <v>5611</v>
      </c>
      <c r="E246" s="616">
        <v>1999</v>
      </c>
      <c r="F246" s="616" t="s">
        <v>5651</v>
      </c>
      <c r="G246" s="819"/>
      <c r="H246" s="636"/>
      <c r="I246" s="630"/>
      <c r="J246" s="630"/>
      <c r="K246" s="811"/>
      <c r="L246" s="811"/>
    </row>
    <row r="247" spans="1:12" s="598" customFormat="1">
      <c r="A247" s="673">
        <v>239</v>
      </c>
      <c r="B247" s="610" t="s">
        <v>5366</v>
      </c>
      <c r="C247" s="616" t="s">
        <v>5387</v>
      </c>
      <c r="D247" s="630" t="s">
        <v>5373</v>
      </c>
      <c r="E247" s="616">
        <v>1992</v>
      </c>
      <c r="F247" s="616" t="s">
        <v>5652</v>
      </c>
      <c r="G247" s="819"/>
      <c r="H247" s="636"/>
      <c r="I247" s="630"/>
      <c r="J247" s="630"/>
      <c r="K247" s="811"/>
      <c r="L247" s="811"/>
    </row>
    <row r="248" spans="1:12" s="598" customFormat="1">
      <c r="A248" s="673">
        <v>240</v>
      </c>
      <c r="B248" s="610" t="s">
        <v>5366</v>
      </c>
      <c r="C248" s="616" t="s">
        <v>5387</v>
      </c>
      <c r="D248" s="630" t="s">
        <v>5373</v>
      </c>
      <c r="E248" s="616">
        <v>1998</v>
      </c>
      <c r="F248" s="616" t="s">
        <v>5653</v>
      </c>
      <c r="G248" s="819"/>
      <c r="H248" s="636"/>
      <c r="I248" s="630"/>
      <c r="J248" s="630"/>
      <c r="K248" s="811"/>
      <c r="L248" s="811"/>
    </row>
    <row r="249" spans="1:12" s="598" customFormat="1">
      <c r="A249" s="673">
        <v>241</v>
      </c>
      <c r="B249" s="610" t="s">
        <v>5366</v>
      </c>
      <c r="C249" s="616" t="s">
        <v>5387</v>
      </c>
      <c r="D249" s="630" t="s">
        <v>5611</v>
      </c>
      <c r="E249" s="616">
        <v>1997</v>
      </c>
      <c r="F249" s="616" t="s">
        <v>5654</v>
      </c>
      <c r="G249" s="819"/>
      <c r="H249" s="636"/>
      <c r="I249" s="630"/>
      <c r="J249" s="630"/>
      <c r="K249" s="811"/>
      <c r="L249" s="811"/>
    </row>
    <row r="250" spans="1:12" s="598" customFormat="1">
      <c r="A250" s="673">
        <v>242</v>
      </c>
      <c r="B250" s="610" t="s">
        <v>5366</v>
      </c>
      <c r="C250" s="616" t="s">
        <v>5387</v>
      </c>
      <c r="D250" s="630" t="s">
        <v>5655</v>
      </c>
      <c r="E250" s="616">
        <v>1991</v>
      </c>
      <c r="F250" s="616" t="s">
        <v>5656</v>
      </c>
      <c r="G250" s="819"/>
      <c r="H250" s="636"/>
      <c r="I250" s="630"/>
      <c r="J250" s="630"/>
      <c r="K250" s="811"/>
      <c r="L250" s="811"/>
    </row>
    <row r="251" spans="1:12" s="598" customFormat="1">
      <c r="A251" s="673">
        <v>243</v>
      </c>
      <c r="B251" s="610" t="s">
        <v>5366</v>
      </c>
      <c r="C251" s="616" t="s">
        <v>5505</v>
      </c>
      <c r="D251" s="630" t="s">
        <v>5657</v>
      </c>
      <c r="E251" s="616">
        <v>1997</v>
      </c>
      <c r="F251" s="616" t="s">
        <v>5658</v>
      </c>
      <c r="G251" s="819"/>
      <c r="H251" s="636"/>
      <c r="I251" s="630"/>
      <c r="J251" s="630"/>
      <c r="K251" s="811"/>
      <c r="L251" s="811"/>
    </row>
    <row r="252" spans="1:12" s="598" customFormat="1">
      <c r="A252" s="673">
        <v>244</v>
      </c>
      <c r="B252" s="610" t="s">
        <v>5366</v>
      </c>
      <c r="C252" s="616" t="s">
        <v>5505</v>
      </c>
      <c r="D252" s="630" t="s">
        <v>5452</v>
      </c>
      <c r="E252" s="616">
        <v>1997</v>
      </c>
      <c r="F252" s="616" t="s">
        <v>5659</v>
      </c>
      <c r="G252" s="819"/>
      <c r="H252" s="636"/>
      <c r="I252" s="630"/>
      <c r="J252" s="630"/>
      <c r="K252" s="811"/>
      <c r="L252" s="811"/>
    </row>
    <row r="253" spans="1:12" s="598" customFormat="1">
      <c r="A253" s="673">
        <v>245</v>
      </c>
      <c r="B253" s="610" t="s">
        <v>5366</v>
      </c>
      <c r="C253" s="616" t="s">
        <v>5505</v>
      </c>
      <c r="D253" s="630" t="s">
        <v>5452</v>
      </c>
      <c r="E253" s="616">
        <v>2004</v>
      </c>
      <c r="F253" s="616" t="s">
        <v>5660</v>
      </c>
      <c r="G253" s="819"/>
      <c r="H253" s="636"/>
      <c r="I253" s="630"/>
      <c r="J253" s="630"/>
      <c r="K253" s="811"/>
      <c r="L253" s="811"/>
    </row>
    <row r="254" spans="1:12" s="598" customFormat="1">
      <c r="A254" s="673">
        <v>246</v>
      </c>
      <c r="B254" s="610" t="s">
        <v>5366</v>
      </c>
      <c r="C254" s="616" t="s">
        <v>5387</v>
      </c>
      <c r="D254" s="630" t="s">
        <v>5661</v>
      </c>
      <c r="E254" s="616">
        <v>1992</v>
      </c>
      <c r="F254" s="616" t="s">
        <v>5662</v>
      </c>
      <c r="G254" s="819"/>
      <c r="H254" s="636"/>
      <c r="I254" s="630"/>
      <c r="J254" s="630"/>
      <c r="K254" s="811"/>
      <c r="L254" s="811"/>
    </row>
    <row r="255" spans="1:12" s="598" customFormat="1">
      <c r="A255" s="673">
        <v>247</v>
      </c>
      <c r="B255" s="610" t="s">
        <v>5366</v>
      </c>
      <c r="C255" s="616" t="s">
        <v>5387</v>
      </c>
      <c r="D255" s="630" t="s">
        <v>5663</v>
      </c>
      <c r="E255" s="616">
        <v>1998</v>
      </c>
      <c r="F255" s="616" t="s">
        <v>5664</v>
      </c>
      <c r="G255" s="819"/>
      <c r="H255" s="636"/>
      <c r="I255" s="630"/>
      <c r="J255" s="630"/>
      <c r="K255" s="811"/>
      <c r="L255" s="811"/>
    </row>
    <row r="256" spans="1:12" s="598" customFormat="1">
      <c r="A256" s="673">
        <v>248</v>
      </c>
      <c r="B256" s="610" t="s">
        <v>5366</v>
      </c>
      <c r="C256" s="616" t="s">
        <v>5387</v>
      </c>
      <c r="D256" s="630" t="s">
        <v>5388</v>
      </c>
      <c r="E256" s="616">
        <v>1995</v>
      </c>
      <c r="F256" s="616" t="s">
        <v>5665</v>
      </c>
      <c r="G256" s="819"/>
      <c r="H256" s="636"/>
      <c r="I256" s="630"/>
      <c r="J256" s="630"/>
      <c r="K256" s="811"/>
      <c r="L256" s="811"/>
    </row>
    <row r="257" spans="1:12" s="598" customFormat="1">
      <c r="A257" s="673">
        <v>249</v>
      </c>
      <c r="B257" s="610" t="s">
        <v>5366</v>
      </c>
      <c r="C257" s="616" t="s">
        <v>5505</v>
      </c>
      <c r="D257" s="630" t="s">
        <v>5666</v>
      </c>
      <c r="E257" s="616">
        <v>1991</v>
      </c>
      <c r="F257" s="616" t="s">
        <v>5667</v>
      </c>
      <c r="G257" s="819"/>
      <c r="H257" s="636"/>
      <c r="I257" s="630"/>
      <c r="J257" s="630"/>
      <c r="K257" s="811"/>
      <c r="L257" s="811"/>
    </row>
    <row r="258" spans="1:12" s="598" customFormat="1">
      <c r="A258" s="673">
        <v>250</v>
      </c>
      <c r="B258" s="610" t="s">
        <v>5366</v>
      </c>
      <c r="C258" s="616" t="s">
        <v>5387</v>
      </c>
      <c r="D258" s="630" t="s">
        <v>5668</v>
      </c>
      <c r="E258" s="616">
        <v>1996</v>
      </c>
      <c r="F258" s="616" t="s">
        <v>5669</v>
      </c>
      <c r="G258" s="819"/>
      <c r="H258" s="636"/>
      <c r="I258" s="630"/>
      <c r="J258" s="630"/>
      <c r="K258" s="811"/>
      <c r="L258" s="811"/>
    </row>
    <row r="259" spans="1:12" s="598" customFormat="1">
      <c r="A259" s="673">
        <v>251</v>
      </c>
      <c r="B259" s="610" t="s">
        <v>5366</v>
      </c>
      <c r="C259" s="616" t="s">
        <v>5505</v>
      </c>
      <c r="D259" s="630" t="s">
        <v>5670</v>
      </c>
      <c r="E259" s="616">
        <v>1999</v>
      </c>
      <c r="F259" s="616" t="s">
        <v>5671</v>
      </c>
      <c r="G259" s="819"/>
      <c r="H259" s="636"/>
      <c r="I259" s="630"/>
      <c r="J259" s="630"/>
      <c r="K259" s="811"/>
      <c r="L259" s="811"/>
    </row>
    <row r="260" spans="1:12" s="598" customFormat="1">
      <c r="A260" s="673">
        <v>252</v>
      </c>
      <c r="B260" s="610" t="s">
        <v>5366</v>
      </c>
      <c r="C260" s="616" t="s">
        <v>5378</v>
      </c>
      <c r="D260" s="630" t="s">
        <v>5672</v>
      </c>
      <c r="E260" s="616">
        <v>1988</v>
      </c>
      <c r="F260" s="616" t="s">
        <v>5673</v>
      </c>
      <c r="G260" s="819"/>
      <c r="H260" s="636"/>
      <c r="I260" s="630"/>
      <c r="J260" s="630"/>
      <c r="K260" s="811"/>
      <c r="L260" s="811"/>
    </row>
    <row r="261" spans="1:12" s="598" customFormat="1">
      <c r="A261" s="673">
        <v>253</v>
      </c>
      <c r="B261" s="610" t="s">
        <v>5366</v>
      </c>
      <c r="C261" s="616" t="s">
        <v>5378</v>
      </c>
      <c r="D261" s="630" t="s">
        <v>5463</v>
      </c>
      <c r="E261" s="616">
        <v>1999</v>
      </c>
      <c r="F261" s="616" t="s">
        <v>5674</v>
      </c>
      <c r="G261" s="819"/>
      <c r="H261" s="636"/>
      <c r="I261" s="630"/>
      <c r="J261" s="630"/>
      <c r="K261" s="811"/>
      <c r="L261" s="811"/>
    </row>
    <row r="262" spans="1:12" s="598" customFormat="1">
      <c r="A262" s="673">
        <v>254</v>
      </c>
      <c r="B262" s="610" t="s">
        <v>5366</v>
      </c>
      <c r="C262" s="616" t="s">
        <v>5378</v>
      </c>
      <c r="D262" s="630" t="s">
        <v>5580</v>
      </c>
      <c r="E262" s="616">
        <v>1990</v>
      </c>
      <c r="F262" s="616" t="s">
        <v>5675</v>
      </c>
      <c r="G262" s="819"/>
      <c r="H262" s="636"/>
      <c r="I262" s="630"/>
      <c r="J262" s="630"/>
      <c r="K262" s="811"/>
      <c r="L262" s="811"/>
    </row>
    <row r="263" spans="1:12" s="598" customFormat="1">
      <c r="A263" s="673">
        <v>255</v>
      </c>
      <c r="B263" s="610" t="s">
        <v>5366</v>
      </c>
      <c r="C263" s="616" t="s">
        <v>5378</v>
      </c>
      <c r="D263" s="630" t="s">
        <v>5676</v>
      </c>
      <c r="E263" s="616">
        <v>1993</v>
      </c>
      <c r="F263" s="616" t="s">
        <v>5677</v>
      </c>
      <c r="G263" s="819"/>
      <c r="H263" s="636"/>
      <c r="I263" s="630"/>
      <c r="J263" s="630"/>
      <c r="K263" s="811"/>
      <c r="L263" s="811"/>
    </row>
    <row r="264" spans="1:12" s="598" customFormat="1">
      <c r="A264" s="673">
        <v>256</v>
      </c>
      <c r="B264" s="610" t="s">
        <v>5366</v>
      </c>
      <c r="C264" s="616" t="s">
        <v>5678</v>
      </c>
      <c r="D264" s="630" t="s">
        <v>5679</v>
      </c>
      <c r="E264" s="616">
        <v>1988</v>
      </c>
      <c r="F264" s="616" t="s">
        <v>5680</v>
      </c>
      <c r="G264" s="819"/>
      <c r="H264" s="636"/>
      <c r="I264" s="630"/>
      <c r="J264" s="630"/>
      <c r="K264" s="811"/>
      <c r="L264" s="811"/>
    </row>
    <row r="265" spans="1:12" s="598" customFormat="1">
      <c r="A265" s="673">
        <v>257</v>
      </c>
      <c r="B265" s="610" t="s">
        <v>5366</v>
      </c>
      <c r="C265" s="616" t="s">
        <v>5378</v>
      </c>
      <c r="D265" s="630" t="s">
        <v>5476</v>
      </c>
      <c r="E265" s="616">
        <v>1996</v>
      </c>
      <c r="F265" s="616" t="s">
        <v>5681</v>
      </c>
      <c r="G265" s="819"/>
      <c r="H265" s="636"/>
      <c r="I265" s="630"/>
      <c r="J265" s="630"/>
      <c r="K265" s="811"/>
      <c r="L265" s="811"/>
    </row>
    <row r="266" spans="1:12" s="598" customFormat="1">
      <c r="A266" s="673">
        <v>258</v>
      </c>
      <c r="B266" s="610" t="s">
        <v>5366</v>
      </c>
      <c r="C266" s="616" t="s">
        <v>5387</v>
      </c>
      <c r="D266" s="630" t="s">
        <v>5388</v>
      </c>
      <c r="E266" s="616">
        <v>1998</v>
      </c>
      <c r="F266" s="616" t="s">
        <v>5664</v>
      </c>
      <c r="G266" s="819"/>
      <c r="H266" s="636"/>
      <c r="I266" s="630"/>
      <c r="J266" s="630"/>
      <c r="K266" s="811"/>
      <c r="L266" s="811"/>
    </row>
    <row r="267" spans="1:12" s="598" customFormat="1">
      <c r="A267" s="673">
        <v>259</v>
      </c>
      <c r="B267" s="610" t="s">
        <v>5366</v>
      </c>
      <c r="C267" s="616" t="s">
        <v>5378</v>
      </c>
      <c r="D267" s="630" t="s">
        <v>5506</v>
      </c>
      <c r="E267" s="616">
        <v>1999</v>
      </c>
      <c r="F267" s="616" t="s">
        <v>5682</v>
      </c>
      <c r="G267" s="819"/>
      <c r="H267" s="636"/>
      <c r="I267" s="630"/>
      <c r="J267" s="630"/>
      <c r="K267" s="811"/>
      <c r="L267" s="811"/>
    </row>
    <row r="268" spans="1:12" s="598" customFormat="1">
      <c r="A268" s="673">
        <v>260</v>
      </c>
      <c r="B268" s="610" t="s">
        <v>5366</v>
      </c>
      <c r="C268" s="616" t="s">
        <v>5378</v>
      </c>
      <c r="D268" s="630" t="s">
        <v>5683</v>
      </c>
      <c r="E268" s="616">
        <v>1997</v>
      </c>
      <c r="F268" s="616" t="s">
        <v>5684</v>
      </c>
      <c r="G268" s="819"/>
      <c r="H268" s="636"/>
      <c r="I268" s="630"/>
      <c r="J268" s="630"/>
      <c r="K268" s="811"/>
      <c r="L268" s="811"/>
    </row>
    <row r="269" spans="1:12" s="598" customFormat="1">
      <c r="A269" s="673">
        <v>261</v>
      </c>
      <c r="B269" s="610" t="s">
        <v>5366</v>
      </c>
      <c r="C269" s="616" t="s">
        <v>5378</v>
      </c>
      <c r="D269" s="630" t="s">
        <v>5685</v>
      </c>
      <c r="E269" s="616">
        <v>1997</v>
      </c>
      <c r="F269" s="616" t="s">
        <v>5686</v>
      </c>
      <c r="G269" s="819"/>
      <c r="H269" s="636"/>
      <c r="I269" s="630"/>
      <c r="J269" s="630"/>
      <c r="K269" s="811"/>
      <c r="L269" s="811"/>
    </row>
    <row r="270" spans="1:12" s="598" customFormat="1">
      <c r="A270" s="673">
        <v>262</v>
      </c>
      <c r="B270" s="610" t="s">
        <v>5366</v>
      </c>
      <c r="C270" s="616" t="s">
        <v>5387</v>
      </c>
      <c r="D270" s="630" t="s">
        <v>5687</v>
      </c>
      <c r="E270" s="616">
        <v>1995</v>
      </c>
      <c r="F270" s="616" t="s">
        <v>5688</v>
      </c>
      <c r="G270" s="819"/>
      <c r="H270" s="636"/>
      <c r="I270" s="630"/>
      <c r="J270" s="630"/>
      <c r="K270" s="811"/>
      <c r="L270" s="811"/>
    </row>
    <row r="271" spans="1:12" s="598" customFormat="1">
      <c r="A271" s="673">
        <v>263</v>
      </c>
      <c r="B271" s="610" t="s">
        <v>5366</v>
      </c>
      <c r="C271" s="616" t="s">
        <v>5378</v>
      </c>
      <c r="D271" s="630" t="s">
        <v>5689</v>
      </c>
      <c r="E271" s="616">
        <v>1997</v>
      </c>
      <c r="F271" s="616" t="s">
        <v>5690</v>
      </c>
      <c r="G271" s="819"/>
      <c r="H271" s="636"/>
      <c r="I271" s="630"/>
      <c r="J271" s="630"/>
      <c r="K271" s="811"/>
      <c r="L271" s="811"/>
    </row>
    <row r="272" spans="1:12" s="598" customFormat="1">
      <c r="A272" s="673">
        <v>264</v>
      </c>
      <c r="B272" s="610" t="s">
        <v>5366</v>
      </c>
      <c r="C272" s="616" t="s">
        <v>5378</v>
      </c>
      <c r="D272" s="630" t="s">
        <v>5580</v>
      </c>
      <c r="E272" s="616">
        <v>1994</v>
      </c>
      <c r="F272" s="616" t="s">
        <v>5691</v>
      </c>
      <c r="G272" s="819"/>
      <c r="H272" s="636"/>
      <c r="I272" s="630"/>
      <c r="J272" s="630"/>
      <c r="K272" s="811"/>
      <c r="L272" s="811"/>
    </row>
    <row r="273" spans="1:12" s="598" customFormat="1">
      <c r="A273" s="673">
        <v>265</v>
      </c>
      <c r="B273" s="610" t="s">
        <v>5366</v>
      </c>
      <c r="C273" s="616" t="s">
        <v>5378</v>
      </c>
      <c r="D273" s="630" t="s">
        <v>5672</v>
      </c>
      <c r="E273" s="616">
        <v>1987</v>
      </c>
      <c r="F273" s="616" t="s">
        <v>5692</v>
      </c>
      <c r="G273" s="819"/>
      <c r="H273" s="636"/>
      <c r="I273" s="630"/>
      <c r="J273" s="630"/>
      <c r="K273" s="811"/>
      <c r="L273" s="811"/>
    </row>
    <row r="274" spans="1:12" s="598" customFormat="1">
      <c r="A274" s="673">
        <v>266</v>
      </c>
      <c r="B274" s="610" t="s">
        <v>5366</v>
      </c>
      <c r="C274" s="616" t="s">
        <v>5378</v>
      </c>
      <c r="D274" s="630" t="s">
        <v>5580</v>
      </c>
      <c r="E274" s="616">
        <v>1995</v>
      </c>
      <c r="F274" s="616" t="s">
        <v>5693</v>
      </c>
      <c r="G274" s="819"/>
      <c r="H274" s="636"/>
      <c r="I274" s="630"/>
      <c r="J274" s="630"/>
      <c r="K274" s="811"/>
      <c r="L274" s="811"/>
    </row>
    <row r="275" spans="1:12" s="598" customFormat="1">
      <c r="A275" s="673">
        <v>267</v>
      </c>
      <c r="B275" s="610" t="s">
        <v>5366</v>
      </c>
      <c r="C275" s="616" t="s">
        <v>5367</v>
      </c>
      <c r="D275" s="630" t="s">
        <v>5694</v>
      </c>
      <c r="E275" s="616">
        <v>2001</v>
      </c>
      <c r="F275" s="616" t="s">
        <v>5695</v>
      </c>
      <c r="G275" s="819"/>
      <c r="H275" s="636"/>
      <c r="I275" s="630"/>
      <c r="J275" s="630"/>
      <c r="K275" s="811"/>
      <c r="L275" s="811"/>
    </row>
    <row r="276" spans="1:12" s="598" customFormat="1">
      <c r="A276" s="673">
        <v>268</v>
      </c>
      <c r="B276" s="610" t="s">
        <v>5366</v>
      </c>
      <c r="C276" s="616" t="s">
        <v>5387</v>
      </c>
      <c r="D276" s="630" t="s">
        <v>5661</v>
      </c>
      <c r="E276" s="616">
        <v>1998</v>
      </c>
      <c r="F276" s="616" t="s">
        <v>5696</v>
      </c>
      <c r="G276" s="819"/>
      <c r="H276" s="636"/>
      <c r="I276" s="630"/>
      <c r="J276" s="630"/>
      <c r="K276" s="811"/>
      <c r="L276" s="811"/>
    </row>
    <row r="277" spans="1:12" s="598" customFormat="1">
      <c r="A277" s="673">
        <v>269</v>
      </c>
      <c r="B277" s="610" t="s">
        <v>5366</v>
      </c>
      <c r="C277" s="616" t="s">
        <v>5378</v>
      </c>
      <c r="D277" s="630" t="s">
        <v>5697</v>
      </c>
      <c r="E277" s="616">
        <v>1996</v>
      </c>
      <c r="F277" s="616" t="s">
        <v>5698</v>
      </c>
      <c r="G277" s="819"/>
      <c r="H277" s="636"/>
      <c r="I277" s="630"/>
      <c r="J277" s="630"/>
      <c r="K277" s="811"/>
      <c r="L277" s="811"/>
    </row>
    <row r="278" spans="1:12" s="598" customFormat="1">
      <c r="A278" s="673">
        <v>270</v>
      </c>
      <c r="B278" s="610" t="s">
        <v>5366</v>
      </c>
      <c r="C278" s="616" t="s">
        <v>5378</v>
      </c>
      <c r="D278" s="630" t="s">
        <v>5699</v>
      </c>
      <c r="E278" s="616">
        <v>1995</v>
      </c>
      <c r="F278" s="616" t="s">
        <v>5700</v>
      </c>
      <c r="G278" s="819"/>
      <c r="H278" s="636"/>
      <c r="I278" s="630"/>
      <c r="J278" s="630"/>
      <c r="K278" s="811"/>
      <c r="L278" s="811"/>
    </row>
    <row r="279" spans="1:12" s="598" customFormat="1">
      <c r="A279" s="673">
        <v>271</v>
      </c>
      <c r="B279" s="610" t="s">
        <v>5366</v>
      </c>
      <c r="C279" s="616" t="s">
        <v>5387</v>
      </c>
      <c r="D279" s="630" t="s">
        <v>5663</v>
      </c>
      <c r="E279" s="616">
        <v>1995</v>
      </c>
      <c r="F279" s="616" t="s">
        <v>5701</v>
      </c>
      <c r="G279" s="819"/>
      <c r="H279" s="636"/>
      <c r="I279" s="630"/>
      <c r="J279" s="630"/>
      <c r="K279" s="811"/>
      <c r="L279" s="811"/>
    </row>
    <row r="280" spans="1:12" s="598" customFormat="1">
      <c r="A280" s="673">
        <v>272</v>
      </c>
      <c r="B280" s="610" t="s">
        <v>5366</v>
      </c>
      <c r="C280" s="616" t="s">
        <v>5378</v>
      </c>
      <c r="D280" s="630" t="s">
        <v>5590</v>
      </c>
      <c r="E280" s="616">
        <v>2001</v>
      </c>
      <c r="F280" s="616" t="s">
        <v>5702</v>
      </c>
      <c r="G280" s="819"/>
      <c r="H280" s="636"/>
      <c r="I280" s="630"/>
      <c r="J280" s="630"/>
      <c r="K280" s="811"/>
      <c r="L280" s="811"/>
    </row>
    <row r="281" spans="1:12" s="598" customFormat="1">
      <c r="A281" s="673">
        <v>273</v>
      </c>
      <c r="B281" s="610" t="s">
        <v>5366</v>
      </c>
      <c r="C281" s="616" t="s">
        <v>5378</v>
      </c>
      <c r="D281" s="630" t="s">
        <v>5602</v>
      </c>
      <c r="E281" s="616">
        <v>1999</v>
      </c>
      <c r="F281" s="616" t="s">
        <v>5703</v>
      </c>
      <c r="G281" s="819"/>
      <c r="H281" s="636"/>
      <c r="I281" s="630"/>
      <c r="J281" s="630"/>
      <c r="K281" s="811"/>
      <c r="L281" s="811"/>
    </row>
    <row r="282" spans="1:12" s="598" customFormat="1">
      <c r="A282" s="673">
        <v>274</v>
      </c>
      <c r="B282" s="610" t="s">
        <v>5366</v>
      </c>
      <c r="C282" s="616" t="s">
        <v>5378</v>
      </c>
      <c r="D282" s="630" t="s">
        <v>5580</v>
      </c>
      <c r="E282" s="616">
        <v>1995</v>
      </c>
      <c r="F282" s="616" t="s">
        <v>5704</v>
      </c>
      <c r="G282" s="819"/>
      <c r="H282" s="636"/>
      <c r="I282" s="630"/>
      <c r="J282" s="630"/>
      <c r="K282" s="811"/>
      <c r="L282" s="811"/>
    </row>
    <row r="283" spans="1:12" s="598" customFormat="1">
      <c r="A283" s="673">
        <v>275</v>
      </c>
      <c r="B283" s="610" t="s">
        <v>5366</v>
      </c>
      <c r="C283" s="616" t="s">
        <v>5378</v>
      </c>
      <c r="D283" s="630" t="s">
        <v>5476</v>
      </c>
      <c r="E283" s="616">
        <v>1999</v>
      </c>
      <c r="F283" s="616" t="s">
        <v>5705</v>
      </c>
      <c r="G283" s="819"/>
      <c r="H283" s="636"/>
      <c r="I283" s="630"/>
      <c r="J283" s="630"/>
      <c r="K283" s="811"/>
      <c r="L283" s="811"/>
    </row>
    <row r="284" spans="1:12" s="598" customFormat="1">
      <c r="A284" s="673">
        <v>276</v>
      </c>
      <c r="B284" s="610" t="s">
        <v>5366</v>
      </c>
      <c r="C284" s="616" t="s">
        <v>5387</v>
      </c>
      <c r="D284" s="630" t="s">
        <v>5611</v>
      </c>
      <c r="E284" s="616">
        <v>1997</v>
      </c>
      <c r="F284" s="616" t="s">
        <v>5706</v>
      </c>
      <c r="G284" s="819"/>
      <c r="H284" s="636"/>
      <c r="I284" s="630"/>
      <c r="J284" s="630"/>
      <c r="K284" s="811"/>
      <c r="L284" s="811"/>
    </row>
    <row r="285" spans="1:12" s="598" customFormat="1">
      <c r="A285" s="673">
        <v>277</v>
      </c>
      <c r="B285" s="610" t="s">
        <v>5366</v>
      </c>
      <c r="C285" s="616" t="s">
        <v>5378</v>
      </c>
      <c r="D285" s="630" t="s">
        <v>5580</v>
      </c>
      <c r="E285" s="616">
        <v>1997</v>
      </c>
      <c r="F285" s="616" t="s">
        <v>5707</v>
      </c>
      <c r="G285" s="819"/>
      <c r="H285" s="636"/>
      <c r="I285" s="630"/>
      <c r="J285" s="630"/>
      <c r="K285" s="811"/>
      <c r="L285" s="811"/>
    </row>
    <row r="286" spans="1:12" s="598" customFormat="1">
      <c r="A286" s="673">
        <v>278</v>
      </c>
      <c r="B286" s="610" t="s">
        <v>5366</v>
      </c>
      <c r="C286" s="616" t="s">
        <v>5378</v>
      </c>
      <c r="D286" s="630" t="s">
        <v>5670</v>
      </c>
      <c r="E286" s="616">
        <v>1999</v>
      </c>
      <c r="F286" s="616" t="s">
        <v>5708</v>
      </c>
      <c r="G286" s="819"/>
      <c r="H286" s="636"/>
      <c r="I286" s="630"/>
      <c r="J286" s="630"/>
      <c r="K286" s="811"/>
      <c r="L286" s="811"/>
    </row>
    <row r="287" spans="1:12" s="598" customFormat="1">
      <c r="A287" s="673">
        <v>279</v>
      </c>
      <c r="B287" s="610" t="s">
        <v>5366</v>
      </c>
      <c r="C287" s="616" t="s">
        <v>5378</v>
      </c>
      <c r="D287" s="630" t="s">
        <v>5709</v>
      </c>
      <c r="E287" s="616">
        <v>1997</v>
      </c>
      <c r="F287" s="616" t="s">
        <v>5710</v>
      </c>
      <c r="G287" s="819"/>
      <c r="H287" s="636"/>
      <c r="I287" s="630"/>
      <c r="J287" s="630"/>
      <c r="K287" s="811"/>
      <c r="L287" s="811"/>
    </row>
    <row r="288" spans="1:12" s="598" customFormat="1" ht="30">
      <c r="A288" s="673">
        <v>280</v>
      </c>
      <c r="B288" s="610" t="s">
        <v>5366</v>
      </c>
      <c r="C288" s="616" t="s">
        <v>5387</v>
      </c>
      <c r="D288" s="630" t="s">
        <v>5609</v>
      </c>
      <c r="E288" s="616">
        <v>1993</v>
      </c>
      <c r="F288" s="616" t="s">
        <v>5711</v>
      </c>
      <c r="G288" s="819"/>
      <c r="H288" s="636"/>
      <c r="I288" s="630"/>
      <c r="J288" s="630"/>
      <c r="K288" s="811"/>
      <c r="L288" s="811"/>
    </row>
    <row r="289" spans="1:12" s="598" customFormat="1">
      <c r="A289" s="673">
        <v>281</v>
      </c>
      <c r="B289" s="610" t="s">
        <v>5366</v>
      </c>
      <c r="C289" s="616" t="s">
        <v>5378</v>
      </c>
      <c r="D289" s="630" t="s">
        <v>5452</v>
      </c>
      <c r="E289" s="616">
        <v>1997</v>
      </c>
      <c r="F289" s="616" t="s">
        <v>5712</v>
      </c>
      <c r="G289" s="819"/>
      <c r="H289" s="636"/>
      <c r="I289" s="630"/>
      <c r="J289" s="630"/>
      <c r="K289" s="811"/>
      <c r="L289" s="811"/>
    </row>
    <row r="290" spans="1:12" s="598" customFormat="1">
      <c r="A290" s="673">
        <v>282</v>
      </c>
      <c r="B290" s="610" t="s">
        <v>5366</v>
      </c>
      <c r="C290" s="616" t="s">
        <v>5378</v>
      </c>
      <c r="D290" s="630" t="s">
        <v>5476</v>
      </c>
      <c r="E290" s="616">
        <v>1997</v>
      </c>
      <c r="F290" s="616" t="s">
        <v>5713</v>
      </c>
      <c r="G290" s="819"/>
      <c r="H290" s="636"/>
      <c r="I290" s="630"/>
      <c r="J290" s="630"/>
      <c r="K290" s="811"/>
      <c r="L290" s="811"/>
    </row>
    <row r="291" spans="1:12" s="598" customFormat="1">
      <c r="A291" s="673">
        <v>283</v>
      </c>
      <c r="B291" s="610" t="s">
        <v>5366</v>
      </c>
      <c r="C291" s="616" t="s">
        <v>5387</v>
      </c>
      <c r="D291" s="630" t="s">
        <v>5388</v>
      </c>
      <c r="E291" s="616">
        <v>1998</v>
      </c>
      <c r="F291" s="616" t="s">
        <v>5714</v>
      </c>
      <c r="G291" s="819"/>
      <c r="H291" s="636"/>
      <c r="I291" s="630"/>
      <c r="J291" s="630"/>
      <c r="K291" s="811"/>
      <c r="L291" s="811"/>
    </row>
    <row r="292" spans="1:12" s="598" customFormat="1">
      <c r="A292" s="673">
        <v>284</v>
      </c>
      <c r="B292" s="610" t="s">
        <v>5366</v>
      </c>
      <c r="C292" s="616" t="s">
        <v>5378</v>
      </c>
      <c r="D292" s="630" t="s">
        <v>5580</v>
      </c>
      <c r="E292" s="616">
        <v>1990</v>
      </c>
      <c r="F292" s="616" t="s">
        <v>5715</v>
      </c>
      <c r="G292" s="819"/>
      <c r="H292" s="636"/>
      <c r="I292" s="630"/>
      <c r="J292" s="630"/>
      <c r="K292" s="811"/>
      <c r="L292" s="811"/>
    </row>
    <row r="293" spans="1:12" s="598" customFormat="1">
      <c r="A293" s="673">
        <v>285</v>
      </c>
      <c r="B293" s="610" t="s">
        <v>5366</v>
      </c>
      <c r="C293" s="616" t="s">
        <v>5378</v>
      </c>
      <c r="D293" s="630" t="s">
        <v>5580</v>
      </c>
      <c r="E293" s="616">
        <v>1994</v>
      </c>
      <c r="F293" s="616" t="s">
        <v>5716</v>
      </c>
      <c r="G293" s="819"/>
      <c r="H293" s="636"/>
      <c r="I293" s="630"/>
      <c r="J293" s="630"/>
      <c r="K293" s="811"/>
      <c r="L293" s="811"/>
    </row>
    <row r="294" spans="1:12" s="598" customFormat="1">
      <c r="A294" s="673">
        <v>286</v>
      </c>
      <c r="B294" s="610" t="s">
        <v>5366</v>
      </c>
      <c r="C294" s="616" t="s">
        <v>5387</v>
      </c>
      <c r="D294" s="630" t="s">
        <v>5611</v>
      </c>
      <c r="E294" s="616">
        <v>1996</v>
      </c>
      <c r="F294" s="616" t="s">
        <v>5717</v>
      </c>
      <c r="G294" s="819"/>
      <c r="H294" s="636"/>
      <c r="I294" s="630"/>
      <c r="J294" s="630"/>
      <c r="K294" s="811"/>
      <c r="L294" s="811"/>
    </row>
    <row r="295" spans="1:12" s="598" customFormat="1">
      <c r="A295" s="673">
        <v>287</v>
      </c>
      <c r="B295" s="610" t="s">
        <v>5366</v>
      </c>
      <c r="C295" s="616" t="s">
        <v>5378</v>
      </c>
      <c r="D295" s="630" t="s">
        <v>5718</v>
      </c>
      <c r="E295" s="616">
        <v>1998</v>
      </c>
      <c r="F295" s="616" t="s">
        <v>5719</v>
      </c>
      <c r="G295" s="819"/>
      <c r="H295" s="636"/>
      <c r="I295" s="630"/>
      <c r="J295" s="630"/>
      <c r="K295" s="811"/>
      <c r="L295" s="811"/>
    </row>
    <row r="296" spans="1:12" s="598" customFormat="1">
      <c r="A296" s="673">
        <v>288</v>
      </c>
      <c r="B296" s="610" t="s">
        <v>5366</v>
      </c>
      <c r="C296" s="616" t="s">
        <v>5378</v>
      </c>
      <c r="D296" s="630" t="s">
        <v>5709</v>
      </c>
      <c r="E296" s="616">
        <v>1999</v>
      </c>
      <c r="F296" s="616" t="s">
        <v>5720</v>
      </c>
      <c r="G296" s="819"/>
      <c r="H296" s="636"/>
      <c r="I296" s="630"/>
      <c r="J296" s="630"/>
      <c r="K296" s="811"/>
      <c r="L296" s="811"/>
    </row>
    <row r="297" spans="1:12" s="598" customFormat="1">
      <c r="A297" s="673">
        <v>289</v>
      </c>
      <c r="B297" s="610" t="s">
        <v>5366</v>
      </c>
      <c r="C297" s="616" t="s">
        <v>5387</v>
      </c>
      <c r="D297" s="630" t="s">
        <v>5687</v>
      </c>
      <c r="E297" s="616">
        <v>1992</v>
      </c>
      <c r="F297" s="616" t="s">
        <v>5721</v>
      </c>
      <c r="G297" s="819"/>
      <c r="H297" s="636"/>
      <c r="I297" s="630"/>
      <c r="J297" s="630"/>
      <c r="K297" s="811"/>
      <c r="L297" s="811"/>
    </row>
    <row r="298" spans="1:12" s="598" customFormat="1">
      <c r="A298" s="673">
        <v>290</v>
      </c>
      <c r="B298" s="610" t="s">
        <v>5366</v>
      </c>
      <c r="C298" s="616" t="s">
        <v>5378</v>
      </c>
      <c r="D298" s="630" t="s">
        <v>5722</v>
      </c>
      <c r="E298" s="616">
        <v>1998</v>
      </c>
      <c r="F298" s="616" t="s">
        <v>5723</v>
      </c>
      <c r="G298" s="819"/>
      <c r="H298" s="636"/>
      <c r="I298" s="630"/>
      <c r="J298" s="630"/>
      <c r="K298" s="811"/>
      <c r="L298" s="811"/>
    </row>
    <row r="299" spans="1:12" s="598" customFormat="1">
      <c r="A299" s="673">
        <v>291</v>
      </c>
      <c r="B299" s="610" t="s">
        <v>5366</v>
      </c>
      <c r="C299" s="616" t="s">
        <v>5724</v>
      </c>
      <c r="D299" s="630" t="s">
        <v>5725</v>
      </c>
      <c r="E299" s="616" t="s">
        <v>5392</v>
      </c>
      <c r="F299" s="616" t="s">
        <v>5726</v>
      </c>
      <c r="G299" s="819"/>
      <c r="H299" s="636"/>
      <c r="I299" s="630"/>
      <c r="J299" s="630"/>
      <c r="K299" s="811"/>
      <c r="L299" s="811"/>
    </row>
    <row r="300" spans="1:12" s="598" customFormat="1">
      <c r="A300" s="673">
        <v>292</v>
      </c>
      <c r="B300" s="610" t="s">
        <v>5366</v>
      </c>
      <c r="C300" s="616" t="s">
        <v>5727</v>
      </c>
      <c r="D300" s="630" t="s">
        <v>5728</v>
      </c>
      <c r="E300" s="616" t="s">
        <v>5403</v>
      </c>
      <c r="F300" s="616" t="s">
        <v>5729</v>
      </c>
      <c r="G300" s="819"/>
      <c r="H300" s="636"/>
      <c r="I300" s="630"/>
      <c r="J300" s="630"/>
      <c r="K300" s="811"/>
      <c r="L300" s="811"/>
    </row>
    <row r="301" spans="1:12" s="598" customFormat="1">
      <c r="A301" s="673">
        <v>293</v>
      </c>
      <c r="B301" s="610" t="s">
        <v>5366</v>
      </c>
      <c r="C301" s="616" t="s">
        <v>5727</v>
      </c>
      <c r="D301" s="630" t="s">
        <v>5728</v>
      </c>
      <c r="E301" s="616" t="s">
        <v>5418</v>
      </c>
      <c r="F301" s="616" t="s">
        <v>5730</v>
      </c>
      <c r="G301" s="819"/>
      <c r="H301" s="636"/>
      <c r="I301" s="630"/>
      <c r="J301" s="630"/>
      <c r="K301" s="811"/>
      <c r="L301" s="811"/>
    </row>
    <row r="302" spans="1:12" s="598" customFormat="1">
      <c r="A302" s="673">
        <v>294</v>
      </c>
      <c r="B302" s="610" t="s">
        <v>5366</v>
      </c>
      <c r="C302" s="616" t="s">
        <v>5731</v>
      </c>
      <c r="D302" s="630" t="s">
        <v>5732</v>
      </c>
      <c r="E302" s="616" t="s">
        <v>5733</v>
      </c>
      <c r="F302" s="616" t="s">
        <v>5734</v>
      </c>
      <c r="G302" s="819"/>
      <c r="H302" s="636"/>
      <c r="I302" s="630"/>
      <c r="J302" s="630"/>
      <c r="K302" s="811"/>
      <c r="L302" s="811"/>
    </row>
    <row r="303" spans="1:12" s="598" customFormat="1">
      <c r="A303" s="673">
        <v>295</v>
      </c>
      <c r="B303" s="610" t="s">
        <v>5366</v>
      </c>
      <c r="C303" s="616" t="s">
        <v>5731</v>
      </c>
      <c r="D303" s="630" t="s">
        <v>5732</v>
      </c>
      <c r="E303" s="616" t="s">
        <v>5487</v>
      </c>
      <c r="F303" s="616" t="s">
        <v>5735</v>
      </c>
      <c r="G303" s="819"/>
      <c r="H303" s="636"/>
      <c r="I303" s="630"/>
      <c r="J303" s="630"/>
      <c r="K303" s="811"/>
      <c r="L303" s="811"/>
    </row>
    <row r="304" spans="1:12" s="598" customFormat="1">
      <c r="A304" s="673">
        <v>296</v>
      </c>
      <c r="B304" s="610" t="s">
        <v>5366</v>
      </c>
      <c r="C304" s="616" t="s">
        <v>5727</v>
      </c>
      <c r="D304" s="630" t="s">
        <v>5728</v>
      </c>
      <c r="E304" s="616" t="s">
        <v>5487</v>
      </c>
      <c r="F304" s="616" t="s">
        <v>5736</v>
      </c>
      <c r="G304" s="819"/>
      <c r="H304" s="636"/>
      <c r="I304" s="630"/>
      <c r="J304" s="630"/>
      <c r="K304" s="811"/>
      <c r="L304" s="811"/>
    </row>
    <row r="305" spans="1:12" s="598" customFormat="1">
      <c r="A305" s="673">
        <v>297</v>
      </c>
      <c r="B305" s="610" t="s">
        <v>5366</v>
      </c>
      <c r="C305" s="616" t="s">
        <v>5731</v>
      </c>
      <c r="D305" s="630" t="s">
        <v>5737</v>
      </c>
      <c r="E305" s="616" t="s">
        <v>5392</v>
      </c>
      <c r="F305" s="616" t="s">
        <v>5738</v>
      </c>
      <c r="G305" s="819"/>
      <c r="H305" s="636"/>
      <c r="I305" s="630"/>
      <c r="J305" s="630"/>
      <c r="K305" s="811"/>
      <c r="L305" s="811"/>
    </row>
    <row r="306" spans="1:12" s="598" customFormat="1">
      <c r="A306" s="673">
        <v>298</v>
      </c>
      <c r="B306" s="610" t="s">
        <v>5366</v>
      </c>
      <c r="C306" s="616" t="s">
        <v>5731</v>
      </c>
      <c r="D306" s="630" t="s">
        <v>5732</v>
      </c>
      <c r="E306" s="616" t="s">
        <v>5507</v>
      </c>
      <c r="F306" s="616" t="s">
        <v>5739</v>
      </c>
      <c r="G306" s="819"/>
      <c r="H306" s="636"/>
      <c r="I306" s="630"/>
      <c r="J306" s="630"/>
      <c r="K306" s="811"/>
      <c r="L306" s="811"/>
    </row>
    <row r="307" spans="1:12" s="598" customFormat="1">
      <c r="A307" s="673">
        <v>299</v>
      </c>
      <c r="B307" s="610" t="s">
        <v>5366</v>
      </c>
      <c r="C307" s="616" t="s">
        <v>5727</v>
      </c>
      <c r="D307" s="630" t="s">
        <v>5740</v>
      </c>
      <c r="E307" s="616" t="s">
        <v>5389</v>
      </c>
      <c r="F307" s="616" t="s">
        <v>5741</v>
      </c>
      <c r="G307" s="819"/>
      <c r="H307" s="636"/>
      <c r="I307" s="630"/>
      <c r="J307" s="630"/>
      <c r="K307" s="811"/>
      <c r="L307" s="811"/>
    </row>
    <row r="308" spans="1:12" s="598" customFormat="1">
      <c r="A308" s="673">
        <v>300</v>
      </c>
      <c r="B308" s="610" t="s">
        <v>5366</v>
      </c>
      <c r="C308" s="616" t="s">
        <v>5727</v>
      </c>
      <c r="D308" s="630" t="s">
        <v>5742</v>
      </c>
      <c r="E308" s="616" t="s">
        <v>5418</v>
      </c>
      <c r="F308" s="616" t="s">
        <v>5743</v>
      </c>
      <c r="G308" s="819"/>
      <c r="H308" s="636"/>
      <c r="I308" s="630"/>
      <c r="J308" s="630"/>
      <c r="K308" s="811"/>
      <c r="L308" s="811"/>
    </row>
    <row r="309" spans="1:12" s="598" customFormat="1">
      <c r="A309" s="673">
        <v>301</v>
      </c>
      <c r="B309" s="610" t="s">
        <v>5366</v>
      </c>
      <c r="C309" s="616" t="s">
        <v>5727</v>
      </c>
      <c r="D309" s="630" t="s">
        <v>5728</v>
      </c>
      <c r="E309" s="616" t="s">
        <v>5744</v>
      </c>
      <c r="F309" s="616" t="s">
        <v>5745</v>
      </c>
      <c r="G309" s="819"/>
      <c r="H309" s="636"/>
      <c r="I309" s="630"/>
      <c r="J309" s="630"/>
      <c r="K309" s="811"/>
      <c r="L309" s="811"/>
    </row>
    <row r="310" spans="1:12" s="598" customFormat="1">
      <c r="A310" s="673">
        <v>302</v>
      </c>
      <c r="B310" s="610" t="s">
        <v>5366</v>
      </c>
      <c r="C310" s="616" t="s">
        <v>5727</v>
      </c>
      <c r="D310" s="630" t="s">
        <v>5746</v>
      </c>
      <c r="E310" s="616" t="s">
        <v>5392</v>
      </c>
      <c r="F310" s="616" t="s">
        <v>5747</v>
      </c>
      <c r="G310" s="819"/>
      <c r="H310" s="636"/>
      <c r="I310" s="630"/>
      <c r="J310" s="630"/>
      <c r="K310" s="811"/>
      <c r="L310" s="811"/>
    </row>
    <row r="311" spans="1:12" s="598" customFormat="1">
      <c r="A311" s="673">
        <v>303</v>
      </c>
      <c r="B311" s="610" t="s">
        <v>5366</v>
      </c>
      <c r="C311" s="616" t="s">
        <v>5731</v>
      </c>
      <c r="D311" s="630" t="s">
        <v>5732</v>
      </c>
      <c r="E311" s="616" t="s">
        <v>5581</v>
      </c>
      <c r="F311" s="616" t="s">
        <v>5748</v>
      </c>
      <c r="G311" s="819"/>
      <c r="H311" s="636"/>
      <c r="I311" s="630"/>
      <c r="J311" s="630"/>
      <c r="K311" s="811"/>
      <c r="L311" s="811"/>
    </row>
    <row r="312" spans="1:12" s="598" customFormat="1">
      <c r="A312" s="673">
        <v>304</v>
      </c>
      <c r="B312" s="610" t="s">
        <v>5366</v>
      </c>
      <c r="C312" s="616" t="s">
        <v>5749</v>
      </c>
      <c r="D312" s="630" t="s">
        <v>5750</v>
      </c>
      <c r="E312" s="616" t="s">
        <v>5392</v>
      </c>
      <c r="F312" s="616" t="s">
        <v>5751</v>
      </c>
      <c r="G312" s="819"/>
      <c r="H312" s="636"/>
      <c r="I312" s="630"/>
      <c r="J312" s="630"/>
      <c r="K312" s="811"/>
      <c r="L312" s="811"/>
    </row>
    <row r="313" spans="1:12" s="598" customFormat="1">
      <c r="A313" s="673">
        <v>305</v>
      </c>
      <c r="B313" s="610" t="s">
        <v>5366</v>
      </c>
      <c r="C313" s="616" t="s">
        <v>5731</v>
      </c>
      <c r="D313" s="630" t="s">
        <v>5732</v>
      </c>
      <c r="E313" s="616" t="s">
        <v>5426</v>
      </c>
      <c r="F313" s="616" t="s">
        <v>5752</v>
      </c>
      <c r="G313" s="819"/>
      <c r="H313" s="636"/>
      <c r="I313" s="630"/>
      <c r="J313" s="630"/>
      <c r="K313" s="811"/>
      <c r="L313" s="811"/>
    </row>
    <row r="314" spans="1:12" s="598" customFormat="1">
      <c r="A314" s="673">
        <v>306</v>
      </c>
      <c r="B314" s="610" t="s">
        <v>5366</v>
      </c>
      <c r="C314" s="616" t="s">
        <v>5749</v>
      </c>
      <c r="D314" s="630" t="s">
        <v>5753</v>
      </c>
      <c r="E314" s="616" t="s">
        <v>5487</v>
      </c>
      <c r="F314" s="616" t="s">
        <v>5754</v>
      </c>
      <c r="G314" s="819"/>
      <c r="H314" s="636"/>
      <c r="I314" s="630"/>
      <c r="J314" s="630"/>
      <c r="K314" s="811"/>
      <c r="L314" s="811"/>
    </row>
    <row r="315" spans="1:12" s="598" customFormat="1">
      <c r="A315" s="673">
        <v>307</v>
      </c>
      <c r="B315" s="610" t="s">
        <v>5366</v>
      </c>
      <c r="C315" s="616" t="s">
        <v>5727</v>
      </c>
      <c r="D315" s="630" t="s">
        <v>5755</v>
      </c>
      <c r="E315" s="616" t="s">
        <v>5426</v>
      </c>
      <c r="F315" s="616" t="s">
        <v>5756</v>
      </c>
      <c r="G315" s="819"/>
      <c r="H315" s="636"/>
      <c r="I315" s="630"/>
      <c r="J315" s="630"/>
      <c r="K315" s="811"/>
      <c r="L315" s="811"/>
    </row>
    <row r="316" spans="1:12" s="598" customFormat="1">
      <c r="A316" s="673">
        <v>308</v>
      </c>
      <c r="B316" s="610" t="s">
        <v>5366</v>
      </c>
      <c r="C316" s="616" t="s">
        <v>5727</v>
      </c>
      <c r="D316" s="630" t="s">
        <v>5728</v>
      </c>
      <c r="E316" s="616" t="s">
        <v>5757</v>
      </c>
      <c r="F316" s="616" t="s">
        <v>5758</v>
      </c>
      <c r="G316" s="819"/>
      <c r="H316" s="636"/>
      <c r="I316" s="630"/>
      <c r="J316" s="630"/>
      <c r="K316" s="811"/>
      <c r="L316" s="811"/>
    </row>
    <row r="317" spans="1:12" s="598" customFormat="1">
      <c r="A317" s="673">
        <v>309</v>
      </c>
      <c r="B317" s="610" t="s">
        <v>5366</v>
      </c>
      <c r="C317" s="616" t="s">
        <v>5724</v>
      </c>
      <c r="D317" s="630" t="s">
        <v>5437</v>
      </c>
      <c r="E317" s="616" t="s">
        <v>5397</v>
      </c>
      <c r="F317" s="616" t="s">
        <v>5759</v>
      </c>
      <c r="G317" s="819"/>
      <c r="H317" s="636"/>
      <c r="I317" s="630"/>
      <c r="J317" s="630"/>
      <c r="K317" s="811"/>
      <c r="L317" s="811"/>
    </row>
    <row r="318" spans="1:12" s="598" customFormat="1">
      <c r="A318" s="673">
        <v>310</v>
      </c>
      <c r="B318" s="610" t="s">
        <v>5366</v>
      </c>
      <c r="C318" s="616" t="s">
        <v>5727</v>
      </c>
      <c r="D318" s="630" t="s">
        <v>5728</v>
      </c>
      <c r="E318" s="616" t="s">
        <v>5760</v>
      </c>
      <c r="F318" s="616" t="s">
        <v>5761</v>
      </c>
      <c r="G318" s="819"/>
      <c r="H318" s="636"/>
      <c r="I318" s="630"/>
      <c r="J318" s="630"/>
      <c r="K318" s="811"/>
      <c r="L318" s="811"/>
    </row>
    <row r="319" spans="1:12" s="598" customFormat="1">
      <c r="A319" s="673">
        <v>311</v>
      </c>
      <c r="B319" s="610" t="s">
        <v>5366</v>
      </c>
      <c r="C319" s="616" t="s">
        <v>5727</v>
      </c>
      <c r="D319" s="630" t="s">
        <v>5742</v>
      </c>
      <c r="E319" s="616" t="s">
        <v>5392</v>
      </c>
      <c r="F319" s="616" t="s">
        <v>5762</v>
      </c>
      <c r="G319" s="819"/>
      <c r="H319" s="636"/>
      <c r="I319" s="630"/>
      <c r="J319" s="630"/>
      <c r="K319" s="811"/>
      <c r="L319" s="811"/>
    </row>
    <row r="320" spans="1:12" s="598" customFormat="1">
      <c r="A320" s="673">
        <v>312</v>
      </c>
      <c r="B320" s="610" t="s">
        <v>5366</v>
      </c>
      <c r="C320" s="616" t="s">
        <v>5727</v>
      </c>
      <c r="D320" s="630" t="s">
        <v>5763</v>
      </c>
      <c r="E320" s="616" t="s">
        <v>5764</v>
      </c>
      <c r="F320" s="616" t="s">
        <v>5765</v>
      </c>
      <c r="G320" s="819"/>
      <c r="H320" s="636"/>
      <c r="I320" s="630"/>
      <c r="J320" s="630"/>
      <c r="K320" s="811"/>
      <c r="L320" s="811"/>
    </row>
    <row r="321" spans="1:12" s="598" customFormat="1">
      <c r="A321" s="673">
        <v>313</v>
      </c>
      <c r="B321" s="610" t="s">
        <v>5366</v>
      </c>
      <c r="C321" s="616" t="s">
        <v>5378</v>
      </c>
      <c r="D321" s="630" t="s">
        <v>5766</v>
      </c>
      <c r="E321" s="616" t="s">
        <v>5374</v>
      </c>
      <c r="F321" s="616" t="s">
        <v>5767</v>
      </c>
      <c r="G321" s="819"/>
      <c r="H321" s="636"/>
      <c r="I321" s="630"/>
      <c r="J321" s="630"/>
      <c r="K321" s="811"/>
      <c r="L321" s="811"/>
    </row>
    <row r="322" spans="1:12" s="598" customFormat="1">
      <c r="A322" s="673">
        <v>314</v>
      </c>
      <c r="B322" s="610" t="s">
        <v>5366</v>
      </c>
      <c r="C322" s="616" t="s">
        <v>5387</v>
      </c>
      <c r="D322" s="630" t="s">
        <v>5768</v>
      </c>
      <c r="E322" s="616">
        <v>1998</v>
      </c>
      <c r="F322" s="616" t="s">
        <v>5769</v>
      </c>
      <c r="G322" s="820"/>
      <c r="H322" s="636"/>
      <c r="I322" s="630"/>
      <c r="J322" s="630"/>
      <c r="K322" s="812"/>
      <c r="L322" s="812"/>
    </row>
    <row r="323" spans="1:12" s="598" customFormat="1" ht="30">
      <c r="A323" s="673">
        <v>315</v>
      </c>
      <c r="B323" s="610" t="s">
        <v>5366</v>
      </c>
      <c r="C323" s="616" t="s">
        <v>5770</v>
      </c>
      <c r="D323" s="630" t="s">
        <v>5771</v>
      </c>
      <c r="E323" s="616" t="s">
        <v>5772</v>
      </c>
      <c r="F323" s="616" t="s">
        <v>5773</v>
      </c>
      <c r="G323" s="807">
        <v>5400</v>
      </c>
      <c r="H323" s="630"/>
      <c r="I323" s="630"/>
      <c r="J323" s="630"/>
      <c r="K323" s="810" t="s">
        <v>5423</v>
      </c>
      <c r="L323" s="813" t="s">
        <v>5774</v>
      </c>
    </row>
    <row r="324" spans="1:12" s="598" customFormat="1">
      <c r="A324" s="673">
        <v>316</v>
      </c>
      <c r="B324" s="610" t="s">
        <v>5366</v>
      </c>
      <c r="C324" s="616" t="s">
        <v>5775</v>
      </c>
      <c r="D324" s="630">
        <v>0.40500000000000003</v>
      </c>
      <c r="E324" s="616" t="s">
        <v>5776</v>
      </c>
      <c r="F324" s="616" t="s">
        <v>5777</v>
      </c>
      <c r="G324" s="808"/>
      <c r="H324" s="630"/>
      <c r="I324" s="630"/>
      <c r="J324" s="630"/>
      <c r="K324" s="811"/>
      <c r="L324" s="814"/>
    </row>
    <row r="325" spans="1:12" s="598" customFormat="1">
      <c r="A325" s="673">
        <v>317</v>
      </c>
      <c r="B325" s="610" t="s">
        <v>5366</v>
      </c>
      <c r="C325" s="616" t="s">
        <v>5778</v>
      </c>
      <c r="D325" s="630">
        <v>4.0090000000000003</v>
      </c>
      <c r="E325" s="616" t="s">
        <v>5779</v>
      </c>
      <c r="F325" s="616" t="s">
        <v>5780</v>
      </c>
      <c r="G325" s="808"/>
      <c r="H325" s="630"/>
      <c r="I325" s="630"/>
      <c r="J325" s="630"/>
      <c r="K325" s="811"/>
      <c r="L325" s="814"/>
    </row>
    <row r="326" spans="1:12" s="598" customFormat="1">
      <c r="A326" s="673">
        <v>318</v>
      </c>
      <c r="B326" s="610" t="s">
        <v>5366</v>
      </c>
      <c r="C326" s="616" t="s">
        <v>5770</v>
      </c>
      <c r="D326" s="630" t="s">
        <v>5781</v>
      </c>
      <c r="E326" s="616" t="s">
        <v>5392</v>
      </c>
      <c r="F326" s="616" t="s">
        <v>5782</v>
      </c>
      <c r="G326" s="808"/>
      <c r="H326" s="630"/>
      <c r="I326" s="630"/>
      <c r="J326" s="630"/>
      <c r="K326" s="811"/>
      <c r="L326" s="814"/>
    </row>
    <row r="327" spans="1:12" s="598" customFormat="1">
      <c r="A327" s="673">
        <v>319</v>
      </c>
      <c r="B327" s="610" t="s">
        <v>5366</v>
      </c>
      <c r="C327" s="616" t="s">
        <v>5770</v>
      </c>
      <c r="D327" s="630" t="s">
        <v>5783</v>
      </c>
      <c r="E327" s="616" t="s">
        <v>5784</v>
      </c>
      <c r="F327" s="616" t="s">
        <v>5785</v>
      </c>
      <c r="G327" s="808"/>
      <c r="H327" s="630"/>
      <c r="I327" s="630"/>
      <c r="J327" s="630"/>
      <c r="K327" s="811"/>
      <c r="L327" s="814"/>
    </row>
    <row r="328" spans="1:12" s="598" customFormat="1">
      <c r="A328" s="673">
        <v>320</v>
      </c>
      <c r="B328" s="610" t="s">
        <v>5366</v>
      </c>
      <c r="C328" s="616" t="s">
        <v>5786</v>
      </c>
      <c r="D328" s="630" t="s">
        <v>5787</v>
      </c>
      <c r="E328" s="616" t="s">
        <v>5403</v>
      </c>
      <c r="F328" s="616" t="s">
        <v>5788</v>
      </c>
      <c r="G328" s="808"/>
      <c r="H328" s="630"/>
      <c r="I328" s="630"/>
      <c r="J328" s="630"/>
      <c r="K328" s="811"/>
      <c r="L328" s="814"/>
    </row>
    <row r="329" spans="1:12" s="598" customFormat="1">
      <c r="A329" s="673">
        <v>321</v>
      </c>
      <c r="B329" s="610" t="s">
        <v>5366</v>
      </c>
      <c r="C329" s="616" t="s">
        <v>5789</v>
      </c>
      <c r="D329" s="630" t="s">
        <v>5790</v>
      </c>
      <c r="E329" s="616" t="s">
        <v>5733</v>
      </c>
      <c r="F329" s="616" t="s">
        <v>5791</v>
      </c>
      <c r="G329" s="808"/>
      <c r="H329" s="630"/>
      <c r="I329" s="630"/>
      <c r="J329" s="630"/>
      <c r="K329" s="811"/>
      <c r="L329" s="814"/>
    </row>
    <row r="330" spans="1:12" s="598" customFormat="1">
      <c r="A330" s="673">
        <v>322</v>
      </c>
      <c r="B330" s="610" t="s">
        <v>5366</v>
      </c>
      <c r="C330" s="616" t="s">
        <v>5792</v>
      </c>
      <c r="D330" s="630" t="s">
        <v>5793</v>
      </c>
      <c r="E330" s="616" t="s">
        <v>5418</v>
      </c>
      <c r="F330" s="616" t="s">
        <v>5794</v>
      </c>
      <c r="G330" s="808"/>
      <c r="H330" s="630"/>
      <c r="I330" s="630"/>
      <c r="J330" s="630"/>
      <c r="K330" s="811"/>
      <c r="L330" s="814"/>
    </row>
    <row r="331" spans="1:12" s="598" customFormat="1">
      <c r="A331" s="673">
        <v>323</v>
      </c>
      <c r="B331" s="610" t="s">
        <v>5366</v>
      </c>
      <c r="C331" s="616" t="s">
        <v>5792</v>
      </c>
      <c r="D331" s="630" t="s">
        <v>5795</v>
      </c>
      <c r="E331" s="616" t="s">
        <v>5392</v>
      </c>
      <c r="F331" s="616" t="s">
        <v>5796</v>
      </c>
      <c r="G331" s="808"/>
      <c r="H331" s="630"/>
      <c r="I331" s="630"/>
      <c r="J331" s="630"/>
      <c r="K331" s="811"/>
      <c r="L331" s="814"/>
    </row>
    <row r="332" spans="1:12" s="598" customFormat="1">
      <c r="A332" s="673">
        <v>324</v>
      </c>
      <c r="B332" s="610" t="s">
        <v>5366</v>
      </c>
      <c r="C332" s="616" t="s">
        <v>5778</v>
      </c>
      <c r="D332" s="630" t="s">
        <v>5797</v>
      </c>
      <c r="E332" s="616" t="s">
        <v>5392</v>
      </c>
      <c r="F332" s="616" t="s">
        <v>5798</v>
      </c>
      <c r="G332" s="808"/>
      <c r="H332" s="630"/>
      <c r="I332" s="630"/>
      <c r="J332" s="630"/>
      <c r="K332" s="811"/>
      <c r="L332" s="814"/>
    </row>
    <row r="333" spans="1:12" s="598" customFormat="1">
      <c r="A333" s="673">
        <v>325</v>
      </c>
      <c r="B333" s="610" t="s">
        <v>5366</v>
      </c>
      <c r="C333" s="616" t="s">
        <v>5799</v>
      </c>
      <c r="D333" s="630" t="s">
        <v>5800</v>
      </c>
      <c r="E333" s="616" t="s">
        <v>5733</v>
      </c>
      <c r="F333" s="616" t="s">
        <v>5801</v>
      </c>
      <c r="G333" s="808"/>
      <c r="H333" s="630"/>
      <c r="I333" s="630"/>
      <c r="J333" s="630"/>
      <c r="K333" s="811"/>
      <c r="L333" s="814"/>
    </row>
    <row r="334" spans="1:12" s="598" customFormat="1">
      <c r="A334" s="673">
        <v>326</v>
      </c>
      <c r="B334" s="610" t="s">
        <v>5366</v>
      </c>
      <c r="C334" s="616" t="s">
        <v>5789</v>
      </c>
      <c r="D334" s="630" t="s">
        <v>5802</v>
      </c>
      <c r="E334" s="616" t="s">
        <v>5772</v>
      </c>
      <c r="F334" s="616" t="s">
        <v>5803</v>
      </c>
      <c r="G334" s="808"/>
      <c r="H334" s="630"/>
      <c r="I334" s="630"/>
      <c r="J334" s="630"/>
      <c r="K334" s="811"/>
      <c r="L334" s="814"/>
    </row>
    <row r="335" spans="1:12" s="598" customFormat="1">
      <c r="A335" s="673">
        <v>327</v>
      </c>
      <c r="B335" s="610" t="s">
        <v>5366</v>
      </c>
      <c r="C335" s="616" t="s">
        <v>5778</v>
      </c>
      <c r="D335" s="630" t="s">
        <v>5804</v>
      </c>
      <c r="E335" s="616" t="s">
        <v>5403</v>
      </c>
      <c r="F335" s="616" t="s">
        <v>5805</v>
      </c>
      <c r="G335" s="808"/>
      <c r="H335" s="630"/>
      <c r="I335" s="630"/>
      <c r="J335" s="630"/>
      <c r="K335" s="811"/>
      <c r="L335" s="814"/>
    </row>
    <row r="336" spans="1:12" s="598" customFormat="1">
      <c r="A336" s="673">
        <v>328</v>
      </c>
      <c r="B336" s="610" t="s">
        <v>5366</v>
      </c>
      <c r="C336" s="616" t="s">
        <v>5789</v>
      </c>
      <c r="D336" s="630" t="s">
        <v>5806</v>
      </c>
      <c r="E336" s="616" t="s">
        <v>5760</v>
      </c>
      <c r="F336" s="616" t="s">
        <v>5807</v>
      </c>
      <c r="G336" s="808"/>
      <c r="H336" s="630"/>
      <c r="I336" s="630"/>
      <c r="J336" s="630"/>
      <c r="K336" s="811"/>
      <c r="L336" s="814"/>
    </row>
    <row r="337" spans="1:12" s="598" customFormat="1">
      <c r="A337" s="673">
        <v>329</v>
      </c>
      <c r="B337" s="610" t="s">
        <v>5366</v>
      </c>
      <c r="C337" s="616" t="s">
        <v>5808</v>
      </c>
      <c r="D337" s="630" t="s">
        <v>5507</v>
      </c>
      <c r="E337" s="616" t="s">
        <v>5507</v>
      </c>
      <c r="F337" s="616" t="s">
        <v>5809</v>
      </c>
      <c r="G337" s="808"/>
      <c r="H337" s="630"/>
      <c r="I337" s="630"/>
      <c r="J337" s="630"/>
      <c r="K337" s="811"/>
      <c r="L337" s="814"/>
    </row>
    <row r="338" spans="1:12" s="598" customFormat="1">
      <c r="A338" s="673">
        <v>330</v>
      </c>
      <c r="B338" s="610" t="s">
        <v>5366</v>
      </c>
      <c r="C338" s="616" t="s">
        <v>5810</v>
      </c>
      <c r="D338" s="630" t="s">
        <v>5811</v>
      </c>
      <c r="E338" s="616" t="s">
        <v>5403</v>
      </c>
      <c r="F338" s="616" t="s">
        <v>5812</v>
      </c>
      <c r="G338" s="808"/>
      <c r="H338" s="630"/>
      <c r="I338" s="630"/>
      <c r="J338" s="630"/>
      <c r="K338" s="811"/>
      <c r="L338" s="814"/>
    </row>
    <row r="339" spans="1:12" s="598" customFormat="1">
      <c r="A339" s="673">
        <v>331</v>
      </c>
      <c r="B339" s="610" t="s">
        <v>5366</v>
      </c>
      <c r="C339" s="616" t="s">
        <v>5813</v>
      </c>
      <c r="D339" s="630" t="s">
        <v>5814</v>
      </c>
      <c r="E339" s="616" t="s">
        <v>5497</v>
      </c>
      <c r="F339" s="616" t="s">
        <v>5815</v>
      </c>
      <c r="G339" s="808"/>
      <c r="H339" s="630"/>
      <c r="I339" s="630"/>
      <c r="J339" s="630"/>
      <c r="K339" s="811"/>
      <c r="L339" s="814"/>
    </row>
    <row r="340" spans="1:12" s="598" customFormat="1">
      <c r="A340" s="673">
        <v>332</v>
      </c>
      <c r="B340" s="610" t="s">
        <v>5366</v>
      </c>
      <c r="C340" s="616" t="s">
        <v>5810</v>
      </c>
      <c r="D340" s="630" t="s">
        <v>5787</v>
      </c>
      <c r="E340" s="616" t="s">
        <v>5733</v>
      </c>
      <c r="F340" s="616" t="s">
        <v>5816</v>
      </c>
      <c r="G340" s="808"/>
      <c r="H340" s="630"/>
      <c r="I340" s="630"/>
      <c r="J340" s="630"/>
      <c r="K340" s="811"/>
      <c r="L340" s="814"/>
    </row>
    <row r="341" spans="1:12" s="598" customFormat="1">
      <c r="A341" s="673">
        <v>333</v>
      </c>
      <c r="B341" s="610" t="s">
        <v>5366</v>
      </c>
      <c r="C341" s="616" t="s">
        <v>5813</v>
      </c>
      <c r="D341" s="630" t="s">
        <v>5814</v>
      </c>
      <c r="E341" s="616" t="s">
        <v>5497</v>
      </c>
      <c r="F341" s="616" t="s">
        <v>5817</v>
      </c>
      <c r="G341" s="808"/>
      <c r="H341" s="630"/>
      <c r="I341" s="630"/>
      <c r="J341" s="630"/>
      <c r="K341" s="811"/>
      <c r="L341" s="814"/>
    </row>
    <row r="342" spans="1:12" s="598" customFormat="1">
      <c r="A342" s="673">
        <v>334</v>
      </c>
      <c r="B342" s="610" t="s">
        <v>5366</v>
      </c>
      <c r="C342" s="616" t="s">
        <v>5818</v>
      </c>
      <c r="D342" s="630" t="s">
        <v>5819</v>
      </c>
      <c r="E342" s="616" t="s">
        <v>5392</v>
      </c>
      <c r="F342" s="616" t="s">
        <v>5369</v>
      </c>
      <c r="G342" s="808"/>
      <c r="H342" s="630"/>
      <c r="I342" s="630"/>
      <c r="J342" s="630"/>
      <c r="K342" s="811"/>
      <c r="L342" s="814"/>
    </row>
    <row r="343" spans="1:12" s="598" customFormat="1">
      <c r="A343" s="673">
        <v>335</v>
      </c>
      <c r="B343" s="610" t="s">
        <v>5366</v>
      </c>
      <c r="C343" s="616" t="s">
        <v>5813</v>
      </c>
      <c r="D343" s="630" t="s">
        <v>5814</v>
      </c>
      <c r="E343" s="616" t="s">
        <v>5497</v>
      </c>
      <c r="F343" s="616" t="s">
        <v>5820</v>
      </c>
      <c r="G343" s="808"/>
      <c r="H343" s="630"/>
      <c r="I343" s="630"/>
      <c r="J343" s="630"/>
      <c r="K343" s="811"/>
      <c r="L343" s="814"/>
    </row>
    <row r="344" spans="1:12" s="598" customFormat="1">
      <c r="A344" s="673">
        <v>336</v>
      </c>
      <c r="B344" s="610" t="s">
        <v>5366</v>
      </c>
      <c r="C344" s="616" t="s">
        <v>5821</v>
      </c>
      <c r="D344" s="630" t="s">
        <v>5822</v>
      </c>
      <c r="E344" s="616" t="s">
        <v>5403</v>
      </c>
      <c r="F344" s="616" t="s">
        <v>5823</v>
      </c>
      <c r="G344" s="808"/>
      <c r="H344" s="630"/>
      <c r="I344" s="630"/>
      <c r="J344" s="630"/>
      <c r="K344" s="811"/>
      <c r="L344" s="814"/>
    </row>
    <row r="345" spans="1:12" s="598" customFormat="1">
      <c r="A345" s="673">
        <v>337</v>
      </c>
      <c r="B345" s="610" t="s">
        <v>5366</v>
      </c>
      <c r="C345" s="616" t="s">
        <v>5824</v>
      </c>
      <c r="D345" s="630" t="s">
        <v>5825</v>
      </c>
      <c r="E345" s="616" t="s">
        <v>5392</v>
      </c>
      <c r="F345" s="616" t="s">
        <v>5826</v>
      </c>
      <c r="G345" s="808"/>
      <c r="H345" s="630"/>
      <c r="I345" s="630"/>
      <c r="J345" s="630"/>
      <c r="K345" s="811"/>
      <c r="L345" s="814"/>
    </row>
    <row r="346" spans="1:12" s="598" customFormat="1">
      <c r="A346" s="673">
        <v>338</v>
      </c>
      <c r="B346" s="610" t="s">
        <v>5366</v>
      </c>
      <c r="C346" s="616" t="s">
        <v>5378</v>
      </c>
      <c r="D346" s="630" t="s">
        <v>5827</v>
      </c>
      <c r="E346" s="616" t="s">
        <v>5507</v>
      </c>
      <c r="F346" s="616" t="s">
        <v>5828</v>
      </c>
      <c r="G346" s="808"/>
      <c r="H346" s="630"/>
      <c r="I346" s="630"/>
      <c r="J346" s="630"/>
      <c r="K346" s="811"/>
      <c r="L346" s="814"/>
    </row>
    <row r="347" spans="1:12" s="598" customFormat="1">
      <c r="A347" s="673">
        <v>339</v>
      </c>
      <c r="B347" s="610" t="s">
        <v>5366</v>
      </c>
      <c r="C347" s="616" t="s">
        <v>5829</v>
      </c>
      <c r="D347" s="630" t="s">
        <v>5830</v>
      </c>
      <c r="E347" s="616" t="s">
        <v>5831</v>
      </c>
      <c r="F347" s="616" t="s">
        <v>5832</v>
      </c>
      <c r="G347" s="808"/>
      <c r="H347" s="630"/>
      <c r="I347" s="630"/>
      <c r="J347" s="630"/>
      <c r="K347" s="811"/>
      <c r="L347" s="814"/>
    </row>
    <row r="348" spans="1:12" s="598" customFormat="1">
      <c r="A348" s="673">
        <v>340</v>
      </c>
      <c r="B348" s="610" t="s">
        <v>5366</v>
      </c>
      <c r="C348" s="616" t="s">
        <v>5833</v>
      </c>
      <c r="D348" s="630" t="s">
        <v>5834</v>
      </c>
      <c r="E348" s="616" t="s">
        <v>5733</v>
      </c>
      <c r="F348" s="616" t="s">
        <v>5835</v>
      </c>
      <c r="G348" s="808"/>
      <c r="H348" s="630"/>
      <c r="I348" s="630"/>
      <c r="J348" s="630"/>
      <c r="K348" s="811"/>
      <c r="L348" s="814"/>
    </row>
    <row r="349" spans="1:12" s="598" customFormat="1">
      <c r="A349" s="673">
        <v>341</v>
      </c>
      <c r="B349" s="610" t="s">
        <v>5366</v>
      </c>
      <c r="C349" s="616" t="s">
        <v>5836</v>
      </c>
      <c r="D349" s="630" t="s">
        <v>5837</v>
      </c>
      <c r="E349" s="616" t="s">
        <v>5418</v>
      </c>
      <c r="F349" s="616" t="s">
        <v>5838</v>
      </c>
      <c r="G349" s="808"/>
      <c r="H349" s="630"/>
      <c r="I349" s="630"/>
      <c r="J349" s="630"/>
      <c r="K349" s="811"/>
      <c r="L349" s="814"/>
    </row>
    <row r="350" spans="1:12" s="598" customFormat="1">
      <c r="A350" s="673">
        <v>342</v>
      </c>
      <c r="B350" s="610" t="s">
        <v>5366</v>
      </c>
      <c r="C350" s="616" t="s">
        <v>5378</v>
      </c>
      <c r="D350" s="630" t="s">
        <v>5839</v>
      </c>
      <c r="E350" s="616" t="s">
        <v>5397</v>
      </c>
      <c r="F350" s="616" t="s">
        <v>5422</v>
      </c>
      <c r="G350" s="808"/>
      <c r="H350" s="630"/>
      <c r="I350" s="630"/>
      <c r="J350" s="630"/>
      <c r="K350" s="811"/>
      <c r="L350" s="814"/>
    </row>
    <row r="351" spans="1:12" s="598" customFormat="1">
      <c r="A351" s="673">
        <v>343</v>
      </c>
      <c r="B351" s="610" t="s">
        <v>5366</v>
      </c>
      <c r="C351" s="616" t="s">
        <v>5821</v>
      </c>
      <c r="D351" s="630" t="s">
        <v>5840</v>
      </c>
      <c r="E351" s="616" t="s">
        <v>5733</v>
      </c>
      <c r="F351" s="616" t="s">
        <v>5841</v>
      </c>
      <c r="G351" s="809"/>
      <c r="H351" s="630"/>
      <c r="I351" s="630"/>
      <c r="J351" s="630"/>
      <c r="K351" s="812"/>
      <c r="L351" s="815"/>
    </row>
    <row r="352" spans="1:12" s="598" customFormat="1">
      <c r="A352" s="673">
        <v>344</v>
      </c>
      <c r="B352" s="610" t="s">
        <v>5366</v>
      </c>
      <c r="C352" s="616" t="s">
        <v>5799</v>
      </c>
      <c r="D352" s="630" t="s">
        <v>5842</v>
      </c>
      <c r="E352" s="616">
        <v>1986</v>
      </c>
      <c r="F352" s="616" t="s">
        <v>5843</v>
      </c>
      <c r="G352" s="807">
        <v>12000</v>
      </c>
      <c r="H352" s="630"/>
      <c r="I352" s="630"/>
      <c r="J352" s="630"/>
      <c r="K352" s="810" t="s">
        <v>5844</v>
      </c>
      <c r="L352" s="813" t="s">
        <v>5845</v>
      </c>
    </row>
    <row r="353" spans="1:12" s="598" customFormat="1">
      <c r="A353" s="673">
        <v>345</v>
      </c>
      <c r="B353" s="610" t="s">
        <v>5366</v>
      </c>
      <c r="C353" s="616" t="s">
        <v>5799</v>
      </c>
      <c r="D353" s="630" t="s">
        <v>5846</v>
      </c>
      <c r="E353" s="616">
        <v>1994</v>
      </c>
      <c r="F353" s="616" t="s">
        <v>5847</v>
      </c>
      <c r="G353" s="808"/>
      <c r="H353" s="630"/>
      <c r="I353" s="630"/>
      <c r="J353" s="630"/>
      <c r="K353" s="811"/>
      <c r="L353" s="814"/>
    </row>
    <row r="354" spans="1:12" s="598" customFormat="1">
      <c r="A354" s="673">
        <v>346</v>
      </c>
      <c r="B354" s="610" t="s">
        <v>5366</v>
      </c>
      <c r="C354" s="616" t="s">
        <v>5848</v>
      </c>
      <c r="D354" s="630" t="s">
        <v>5849</v>
      </c>
      <c r="E354" s="616">
        <v>1986</v>
      </c>
      <c r="F354" s="616" t="s">
        <v>5850</v>
      </c>
      <c r="G354" s="808"/>
      <c r="H354" s="630"/>
      <c r="I354" s="630"/>
      <c r="J354" s="630"/>
      <c r="K354" s="811"/>
      <c r="L354" s="814"/>
    </row>
    <row r="355" spans="1:12" s="598" customFormat="1">
      <c r="A355" s="673">
        <v>347</v>
      </c>
      <c r="B355" s="610" t="s">
        <v>5366</v>
      </c>
      <c r="C355" s="616" t="s">
        <v>5851</v>
      </c>
      <c r="D355" s="630" t="s">
        <v>5852</v>
      </c>
      <c r="E355" s="616">
        <v>1996</v>
      </c>
      <c r="F355" s="616" t="s">
        <v>5853</v>
      </c>
      <c r="G355" s="808"/>
      <c r="H355" s="630"/>
      <c r="I355" s="630"/>
      <c r="J355" s="630"/>
      <c r="K355" s="811"/>
      <c r="L355" s="814"/>
    </row>
    <row r="356" spans="1:12" s="598" customFormat="1">
      <c r="A356" s="673">
        <v>348</v>
      </c>
      <c r="B356" s="610" t="s">
        <v>5366</v>
      </c>
      <c r="C356" s="616" t="s">
        <v>5851</v>
      </c>
      <c r="D356" s="630" t="s">
        <v>5854</v>
      </c>
      <c r="E356" s="616">
        <v>2001</v>
      </c>
      <c r="F356" s="616" t="s">
        <v>5855</v>
      </c>
      <c r="G356" s="808"/>
      <c r="H356" s="630"/>
      <c r="I356" s="630"/>
      <c r="J356" s="630"/>
      <c r="K356" s="811"/>
      <c r="L356" s="814"/>
    </row>
    <row r="357" spans="1:12" s="598" customFormat="1">
      <c r="A357" s="673">
        <v>349</v>
      </c>
      <c r="B357" s="610" t="s">
        <v>5366</v>
      </c>
      <c r="C357" s="616" t="s">
        <v>5799</v>
      </c>
      <c r="D357" s="630" t="s">
        <v>5856</v>
      </c>
      <c r="E357" s="616">
        <v>1997</v>
      </c>
      <c r="F357" s="616" t="s">
        <v>5857</v>
      </c>
      <c r="G357" s="808"/>
      <c r="H357" s="630"/>
      <c r="I357" s="630"/>
      <c r="J357" s="630"/>
      <c r="K357" s="811"/>
      <c r="L357" s="814"/>
    </row>
    <row r="358" spans="1:12" s="598" customFormat="1">
      <c r="A358" s="673">
        <v>350</v>
      </c>
      <c r="B358" s="610" t="s">
        <v>5366</v>
      </c>
      <c r="C358" s="616" t="s">
        <v>5799</v>
      </c>
      <c r="D358" s="630" t="s">
        <v>5858</v>
      </c>
      <c r="E358" s="616">
        <v>2009</v>
      </c>
      <c r="F358" s="616" t="s">
        <v>5859</v>
      </c>
      <c r="G358" s="808"/>
      <c r="H358" s="630"/>
      <c r="I358" s="630"/>
      <c r="J358" s="630"/>
      <c r="K358" s="811"/>
      <c r="L358" s="814"/>
    </row>
    <row r="359" spans="1:12" s="598" customFormat="1">
      <c r="A359" s="673">
        <v>351</v>
      </c>
      <c r="B359" s="610" t="s">
        <v>5366</v>
      </c>
      <c r="C359" s="616" t="s">
        <v>5860</v>
      </c>
      <c r="D359" s="630" t="s">
        <v>5861</v>
      </c>
      <c r="E359" s="616">
        <v>1998</v>
      </c>
      <c r="F359" s="616" t="s">
        <v>5862</v>
      </c>
      <c r="G359" s="808"/>
      <c r="H359" s="630"/>
      <c r="I359" s="630"/>
      <c r="J359" s="630"/>
      <c r="K359" s="811"/>
      <c r="L359" s="814"/>
    </row>
    <row r="360" spans="1:12" s="598" customFormat="1">
      <c r="A360" s="673">
        <v>352</v>
      </c>
      <c r="B360" s="610" t="s">
        <v>5366</v>
      </c>
      <c r="C360" s="616" t="s">
        <v>5799</v>
      </c>
      <c r="D360" s="630" t="s">
        <v>5863</v>
      </c>
      <c r="E360" s="616">
        <v>1997</v>
      </c>
      <c r="F360" s="616" t="s">
        <v>5864</v>
      </c>
      <c r="G360" s="808"/>
      <c r="H360" s="630"/>
      <c r="I360" s="630"/>
      <c r="J360" s="630"/>
      <c r="K360" s="811"/>
      <c r="L360" s="814"/>
    </row>
    <row r="361" spans="1:12" s="598" customFormat="1">
      <c r="A361" s="673">
        <v>353</v>
      </c>
      <c r="B361" s="610" t="s">
        <v>5366</v>
      </c>
      <c r="C361" s="616" t="s">
        <v>5860</v>
      </c>
      <c r="D361" s="630" t="s">
        <v>5865</v>
      </c>
      <c r="E361" s="616">
        <v>1997</v>
      </c>
      <c r="F361" s="616" t="s">
        <v>5866</v>
      </c>
      <c r="G361" s="808"/>
      <c r="H361" s="630"/>
      <c r="I361" s="630"/>
      <c r="J361" s="630"/>
      <c r="K361" s="811"/>
      <c r="L361" s="814"/>
    </row>
    <row r="362" spans="1:12" s="598" customFormat="1">
      <c r="A362" s="673">
        <v>354</v>
      </c>
      <c r="B362" s="610" t="s">
        <v>5366</v>
      </c>
      <c r="C362" s="616" t="s">
        <v>5860</v>
      </c>
      <c r="D362" s="630" t="s">
        <v>5842</v>
      </c>
      <c r="E362" s="616">
        <v>1999</v>
      </c>
      <c r="F362" s="616" t="s">
        <v>5867</v>
      </c>
      <c r="G362" s="808"/>
      <c r="H362" s="630"/>
      <c r="I362" s="630"/>
      <c r="J362" s="630"/>
      <c r="K362" s="811"/>
      <c r="L362" s="814"/>
    </row>
    <row r="363" spans="1:12" s="598" customFormat="1">
      <c r="A363" s="673">
        <v>355</v>
      </c>
      <c r="B363" s="610" t="s">
        <v>5366</v>
      </c>
      <c r="C363" s="616" t="s">
        <v>5799</v>
      </c>
      <c r="D363" s="630" t="s">
        <v>5856</v>
      </c>
      <c r="E363" s="616">
        <v>1999</v>
      </c>
      <c r="F363" s="616" t="s">
        <v>5868</v>
      </c>
      <c r="G363" s="808"/>
      <c r="H363" s="630"/>
      <c r="I363" s="630"/>
      <c r="J363" s="630"/>
      <c r="K363" s="811"/>
      <c r="L363" s="814"/>
    </row>
    <row r="364" spans="1:12" s="598" customFormat="1">
      <c r="A364" s="673">
        <v>356</v>
      </c>
      <c r="B364" s="610" t="s">
        <v>5366</v>
      </c>
      <c r="C364" s="616" t="s">
        <v>5799</v>
      </c>
      <c r="D364" s="630" t="s">
        <v>5869</v>
      </c>
      <c r="E364" s="616">
        <v>1997</v>
      </c>
      <c r="F364" s="616" t="s">
        <v>5870</v>
      </c>
      <c r="G364" s="808"/>
      <c r="H364" s="630"/>
      <c r="I364" s="630"/>
      <c r="J364" s="630"/>
      <c r="K364" s="811"/>
      <c r="L364" s="814"/>
    </row>
    <row r="365" spans="1:12" s="598" customFormat="1">
      <c r="A365" s="673">
        <v>357</v>
      </c>
      <c r="B365" s="610" t="s">
        <v>5366</v>
      </c>
      <c r="C365" s="616" t="s">
        <v>5799</v>
      </c>
      <c r="D365" s="630" t="s">
        <v>5871</v>
      </c>
      <c r="E365" s="616">
        <v>1997</v>
      </c>
      <c r="F365" s="616" t="s">
        <v>5872</v>
      </c>
      <c r="G365" s="808"/>
      <c r="H365" s="630"/>
      <c r="I365" s="630"/>
      <c r="J365" s="630"/>
      <c r="K365" s="811"/>
      <c r="L365" s="814"/>
    </row>
    <row r="366" spans="1:12" s="598" customFormat="1">
      <c r="A366" s="673">
        <v>358</v>
      </c>
      <c r="B366" s="610" t="s">
        <v>5366</v>
      </c>
      <c r="C366" s="616" t="s">
        <v>5860</v>
      </c>
      <c r="D366" s="630" t="s">
        <v>5842</v>
      </c>
      <c r="E366" s="616">
        <v>1996</v>
      </c>
      <c r="F366" s="616" t="s">
        <v>5873</v>
      </c>
      <c r="G366" s="808"/>
      <c r="H366" s="630"/>
      <c r="I366" s="630"/>
      <c r="J366" s="630"/>
      <c r="K366" s="811"/>
      <c r="L366" s="814"/>
    </row>
    <row r="367" spans="1:12" s="598" customFormat="1">
      <c r="A367" s="673">
        <v>359</v>
      </c>
      <c r="B367" s="610" t="s">
        <v>5366</v>
      </c>
      <c r="C367" s="616" t="s">
        <v>5799</v>
      </c>
      <c r="D367" s="630" t="s">
        <v>5874</v>
      </c>
      <c r="E367" s="616">
        <v>1988</v>
      </c>
      <c r="F367" s="616" t="s">
        <v>5875</v>
      </c>
      <c r="G367" s="808"/>
      <c r="H367" s="630"/>
      <c r="I367" s="630"/>
      <c r="J367" s="630"/>
      <c r="K367" s="811"/>
      <c r="L367" s="814"/>
    </row>
    <row r="368" spans="1:12" s="598" customFormat="1">
      <c r="A368" s="673">
        <v>360</v>
      </c>
      <c r="B368" s="610" t="s">
        <v>5366</v>
      </c>
      <c r="C368" s="616" t="s">
        <v>5799</v>
      </c>
      <c r="D368" s="630" t="s">
        <v>5846</v>
      </c>
      <c r="E368" s="616">
        <v>1991</v>
      </c>
      <c r="F368" s="616" t="s">
        <v>5876</v>
      </c>
      <c r="G368" s="808"/>
      <c r="H368" s="630"/>
      <c r="I368" s="630"/>
      <c r="J368" s="630"/>
      <c r="K368" s="811"/>
      <c r="L368" s="814"/>
    </row>
    <row r="369" spans="1:12" s="598" customFormat="1">
      <c r="A369" s="673">
        <v>361</v>
      </c>
      <c r="B369" s="610" t="s">
        <v>5366</v>
      </c>
      <c r="C369" s="616" t="s">
        <v>5799</v>
      </c>
      <c r="D369" s="630" t="s">
        <v>5869</v>
      </c>
      <c r="E369" s="616">
        <v>1992</v>
      </c>
      <c r="F369" s="616" t="s">
        <v>5877</v>
      </c>
      <c r="G369" s="808"/>
      <c r="H369" s="630"/>
      <c r="I369" s="630"/>
      <c r="J369" s="630"/>
      <c r="K369" s="811"/>
      <c r="L369" s="814"/>
    </row>
    <row r="370" spans="1:12" s="598" customFormat="1">
      <c r="A370" s="673">
        <v>362</v>
      </c>
      <c r="B370" s="610" t="s">
        <v>5366</v>
      </c>
      <c r="C370" s="616" t="s">
        <v>5860</v>
      </c>
      <c r="D370" s="630" t="s">
        <v>5842</v>
      </c>
      <c r="E370" s="616">
        <v>1991</v>
      </c>
      <c r="F370" s="616" t="s">
        <v>5878</v>
      </c>
      <c r="G370" s="808"/>
      <c r="H370" s="630"/>
      <c r="I370" s="630"/>
      <c r="J370" s="630"/>
      <c r="K370" s="811"/>
      <c r="L370" s="814"/>
    </row>
    <row r="371" spans="1:12" s="598" customFormat="1">
      <c r="A371" s="673">
        <v>363</v>
      </c>
      <c r="B371" s="610" t="s">
        <v>5366</v>
      </c>
      <c r="C371" s="616" t="s">
        <v>5799</v>
      </c>
      <c r="D371" s="630" t="s">
        <v>5879</v>
      </c>
      <c r="E371" s="616">
        <v>1988</v>
      </c>
      <c r="F371" s="616" t="s">
        <v>5880</v>
      </c>
      <c r="G371" s="808"/>
      <c r="H371" s="630"/>
      <c r="I371" s="630"/>
      <c r="J371" s="630"/>
      <c r="K371" s="811"/>
      <c r="L371" s="814"/>
    </row>
    <row r="372" spans="1:12" s="598" customFormat="1">
      <c r="A372" s="673">
        <v>364</v>
      </c>
      <c r="B372" s="610" t="s">
        <v>5366</v>
      </c>
      <c r="C372" s="616" t="s">
        <v>5799</v>
      </c>
      <c r="D372" s="630" t="s">
        <v>5871</v>
      </c>
      <c r="E372" s="616">
        <v>1991</v>
      </c>
      <c r="F372" s="616" t="s">
        <v>5881</v>
      </c>
      <c r="G372" s="808"/>
      <c r="H372" s="630"/>
      <c r="I372" s="630"/>
      <c r="J372" s="630"/>
      <c r="K372" s="811"/>
      <c r="L372" s="814"/>
    </row>
    <row r="373" spans="1:12" s="598" customFormat="1">
      <c r="A373" s="673">
        <v>365</v>
      </c>
      <c r="B373" s="610" t="s">
        <v>5366</v>
      </c>
      <c r="C373" s="616" t="s">
        <v>5799</v>
      </c>
      <c r="D373" s="630" t="s">
        <v>5882</v>
      </c>
      <c r="E373" s="616">
        <v>1990</v>
      </c>
      <c r="F373" s="616" t="s">
        <v>5883</v>
      </c>
      <c r="G373" s="808"/>
      <c r="H373" s="630"/>
      <c r="I373" s="630"/>
      <c r="J373" s="630"/>
      <c r="K373" s="811"/>
      <c r="L373" s="814"/>
    </row>
    <row r="374" spans="1:12" s="598" customFormat="1">
      <c r="A374" s="673">
        <v>366</v>
      </c>
      <c r="B374" s="610" t="s">
        <v>5366</v>
      </c>
      <c r="C374" s="616" t="s">
        <v>5799</v>
      </c>
      <c r="D374" s="630" t="s">
        <v>5884</v>
      </c>
      <c r="E374" s="616">
        <v>1991</v>
      </c>
      <c r="F374" s="616" t="s">
        <v>5885</v>
      </c>
      <c r="G374" s="808"/>
      <c r="H374" s="630"/>
      <c r="I374" s="630"/>
      <c r="J374" s="630"/>
      <c r="K374" s="811"/>
      <c r="L374" s="814"/>
    </row>
    <row r="375" spans="1:12" s="598" customFormat="1">
      <c r="A375" s="673">
        <v>367</v>
      </c>
      <c r="B375" s="610" t="s">
        <v>5366</v>
      </c>
      <c r="C375" s="616" t="s">
        <v>5860</v>
      </c>
      <c r="D375" s="630" t="s">
        <v>5886</v>
      </c>
      <c r="E375" s="616">
        <v>1992</v>
      </c>
      <c r="F375" s="616" t="s">
        <v>5887</v>
      </c>
      <c r="G375" s="808"/>
      <c r="H375" s="630"/>
      <c r="I375" s="630"/>
      <c r="J375" s="630"/>
      <c r="K375" s="811"/>
      <c r="L375" s="814"/>
    </row>
    <row r="376" spans="1:12" s="598" customFormat="1">
      <c r="A376" s="673">
        <v>368</v>
      </c>
      <c r="B376" s="610" t="s">
        <v>5366</v>
      </c>
      <c r="C376" s="616" t="s">
        <v>5799</v>
      </c>
      <c r="D376" s="630" t="s">
        <v>5888</v>
      </c>
      <c r="E376" s="616">
        <v>1991</v>
      </c>
      <c r="F376" s="616" t="s">
        <v>5889</v>
      </c>
      <c r="G376" s="808"/>
      <c r="H376" s="630"/>
      <c r="I376" s="630"/>
      <c r="J376" s="630"/>
      <c r="K376" s="811"/>
      <c r="L376" s="814"/>
    </row>
    <row r="377" spans="1:12" s="598" customFormat="1">
      <c r="A377" s="673">
        <v>369</v>
      </c>
      <c r="B377" s="610" t="s">
        <v>5366</v>
      </c>
      <c r="C377" s="616" t="s">
        <v>5799</v>
      </c>
      <c r="D377" s="630" t="s">
        <v>5871</v>
      </c>
      <c r="E377" s="616">
        <v>1996</v>
      </c>
      <c r="F377" s="616" t="s">
        <v>5890</v>
      </c>
      <c r="G377" s="808"/>
      <c r="H377" s="630"/>
      <c r="I377" s="630"/>
      <c r="J377" s="630"/>
      <c r="K377" s="811"/>
      <c r="L377" s="814"/>
    </row>
    <row r="378" spans="1:12" s="598" customFormat="1">
      <c r="A378" s="673">
        <v>370</v>
      </c>
      <c r="B378" s="610" t="s">
        <v>5366</v>
      </c>
      <c r="C378" s="616" t="s">
        <v>5799</v>
      </c>
      <c r="D378" s="630" t="s">
        <v>5879</v>
      </c>
      <c r="E378" s="616">
        <v>1986</v>
      </c>
      <c r="F378" s="616" t="s">
        <v>5891</v>
      </c>
      <c r="G378" s="808"/>
      <c r="H378" s="630"/>
      <c r="I378" s="630"/>
      <c r="J378" s="630"/>
      <c r="K378" s="811"/>
      <c r="L378" s="814"/>
    </row>
    <row r="379" spans="1:12" s="598" customFormat="1">
      <c r="A379" s="673">
        <v>371</v>
      </c>
      <c r="B379" s="610" t="s">
        <v>5366</v>
      </c>
      <c r="C379" s="616" t="s">
        <v>5848</v>
      </c>
      <c r="D379" s="630" t="s">
        <v>5849</v>
      </c>
      <c r="E379" s="616">
        <v>1986</v>
      </c>
      <c r="F379" s="616" t="s">
        <v>5892</v>
      </c>
      <c r="G379" s="808"/>
      <c r="H379" s="630"/>
      <c r="I379" s="630"/>
      <c r="J379" s="630"/>
      <c r="K379" s="811"/>
      <c r="L379" s="814"/>
    </row>
    <row r="380" spans="1:12" s="598" customFormat="1">
      <c r="A380" s="673">
        <v>372</v>
      </c>
      <c r="B380" s="610" t="s">
        <v>5366</v>
      </c>
      <c r="C380" s="616" t="s">
        <v>5860</v>
      </c>
      <c r="D380" s="630" t="s">
        <v>5893</v>
      </c>
      <c r="E380" s="616">
        <v>1996</v>
      </c>
      <c r="F380" s="616" t="s">
        <v>5894</v>
      </c>
      <c r="G380" s="808"/>
      <c r="H380" s="630"/>
      <c r="I380" s="630"/>
      <c r="J380" s="630"/>
      <c r="K380" s="811"/>
      <c r="L380" s="814"/>
    </row>
    <row r="381" spans="1:12" s="598" customFormat="1">
      <c r="A381" s="673">
        <v>373</v>
      </c>
      <c r="B381" s="610" t="s">
        <v>5366</v>
      </c>
      <c r="C381" s="616" t="s">
        <v>5799</v>
      </c>
      <c r="D381" s="630" t="s">
        <v>5869</v>
      </c>
      <c r="E381" s="616">
        <v>1992</v>
      </c>
      <c r="F381" s="616" t="s">
        <v>5895</v>
      </c>
      <c r="G381" s="808"/>
      <c r="H381" s="630"/>
      <c r="I381" s="630"/>
      <c r="J381" s="630"/>
      <c r="K381" s="811"/>
      <c r="L381" s="814"/>
    </row>
    <row r="382" spans="1:12" s="598" customFormat="1">
      <c r="A382" s="673">
        <v>374</v>
      </c>
      <c r="B382" s="610" t="s">
        <v>5366</v>
      </c>
      <c r="C382" s="616" t="s">
        <v>5799</v>
      </c>
      <c r="D382" s="630" t="s">
        <v>5871</v>
      </c>
      <c r="E382" s="616">
        <v>1991</v>
      </c>
      <c r="F382" s="616" t="s">
        <v>5896</v>
      </c>
      <c r="G382" s="808"/>
      <c r="H382" s="630"/>
      <c r="I382" s="630"/>
      <c r="J382" s="630"/>
      <c r="K382" s="811"/>
      <c r="L382" s="814"/>
    </row>
    <row r="383" spans="1:12" s="598" customFormat="1">
      <c r="A383" s="673">
        <v>375</v>
      </c>
      <c r="B383" s="610" t="s">
        <v>5366</v>
      </c>
      <c r="C383" s="616" t="s">
        <v>5799</v>
      </c>
      <c r="D383" s="630" t="s">
        <v>5884</v>
      </c>
      <c r="E383" s="616">
        <v>1990</v>
      </c>
      <c r="F383" s="616" t="s">
        <v>5897</v>
      </c>
      <c r="G383" s="808"/>
      <c r="H383" s="630"/>
      <c r="I383" s="630"/>
      <c r="J383" s="630"/>
      <c r="K383" s="811"/>
      <c r="L383" s="814"/>
    </row>
    <row r="384" spans="1:12" s="598" customFormat="1">
      <c r="A384" s="673">
        <v>376</v>
      </c>
      <c r="B384" s="610" t="s">
        <v>5366</v>
      </c>
      <c r="C384" s="616" t="s">
        <v>5860</v>
      </c>
      <c r="D384" s="630" t="s">
        <v>5842</v>
      </c>
      <c r="E384" s="616">
        <v>1998</v>
      </c>
      <c r="F384" s="616" t="s">
        <v>5898</v>
      </c>
      <c r="G384" s="808"/>
      <c r="H384" s="630"/>
      <c r="I384" s="630"/>
      <c r="J384" s="630"/>
      <c r="K384" s="811"/>
      <c r="L384" s="814"/>
    </row>
    <row r="385" spans="1:12" s="598" customFormat="1">
      <c r="A385" s="673">
        <v>377</v>
      </c>
      <c r="B385" s="610" t="s">
        <v>5366</v>
      </c>
      <c r="C385" s="616" t="s">
        <v>5799</v>
      </c>
      <c r="D385" s="630" t="s">
        <v>5871</v>
      </c>
      <c r="E385" s="616">
        <v>1991</v>
      </c>
      <c r="F385" s="616" t="s">
        <v>5899</v>
      </c>
      <c r="G385" s="808"/>
      <c r="H385" s="630"/>
      <c r="I385" s="630"/>
      <c r="J385" s="630"/>
      <c r="K385" s="811"/>
      <c r="L385" s="814"/>
    </row>
    <row r="386" spans="1:12" s="598" customFormat="1">
      <c r="A386" s="673">
        <v>378</v>
      </c>
      <c r="B386" s="610" t="s">
        <v>5366</v>
      </c>
      <c r="C386" s="616" t="s">
        <v>5799</v>
      </c>
      <c r="D386" s="630" t="s">
        <v>5874</v>
      </c>
      <c r="E386" s="616">
        <v>1986</v>
      </c>
      <c r="F386" s="616" t="s">
        <v>5900</v>
      </c>
      <c r="G386" s="808"/>
      <c r="H386" s="630"/>
      <c r="I386" s="630"/>
      <c r="J386" s="630"/>
      <c r="K386" s="811"/>
      <c r="L386" s="814"/>
    </row>
    <row r="387" spans="1:12" s="598" customFormat="1">
      <c r="A387" s="673">
        <v>379</v>
      </c>
      <c r="B387" s="610" t="s">
        <v>5366</v>
      </c>
      <c r="C387" s="616" t="s">
        <v>5799</v>
      </c>
      <c r="D387" s="630" t="s">
        <v>5901</v>
      </c>
      <c r="E387" s="616">
        <v>1996</v>
      </c>
      <c r="F387" s="616" t="s">
        <v>5902</v>
      </c>
      <c r="G387" s="808"/>
      <c r="H387" s="630"/>
      <c r="I387" s="630"/>
      <c r="J387" s="630"/>
      <c r="K387" s="811"/>
      <c r="L387" s="814"/>
    </row>
    <row r="388" spans="1:12" s="598" customFormat="1">
      <c r="A388" s="673">
        <v>380</v>
      </c>
      <c r="B388" s="610" t="s">
        <v>5366</v>
      </c>
      <c r="C388" s="616" t="s">
        <v>5799</v>
      </c>
      <c r="D388" s="630" t="s">
        <v>5903</v>
      </c>
      <c r="E388" s="616">
        <v>1996</v>
      </c>
      <c r="F388" s="616" t="s">
        <v>5904</v>
      </c>
      <c r="G388" s="808"/>
      <c r="H388" s="630"/>
      <c r="I388" s="630"/>
      <c r="J388" s="630"/>
      <c r="K388" s="811"/>
      <c r="L388" s="814"/>
    </row>
    <row r="389" spans="1:12" s="598" customFormat="1">
      <c r="A389" s="673">
        <v>381</v>
      </c>
      <c r="B389" s="610" t="s">
        <v>5366</v>
      </c>
      <c r="C389" s="616" t="s">
        <v>5799</v>
      </c>
      <c r="D389" s="630" t="s">
        <v>5871</v>
      </c>
      <c r="E389" s="616">
        <v>1994</v>
      </c>
      <c r="F389" s="616" t="s">
        <v>5905</v>
      </c>
      <c r="G389" s="808"/>
      <c r="H389" s="630"/>
      <c r="I389" s="630"/>
      <c r="J389" s="630"/>
      <c r="K389" s="811"/>
      <c r="L389" s="814"/>
    </row>
    <row r="390" spans="1:12" s="598" customFormat="1">
      <c r="A390" s="673">
        <v>382</v>
      </c>
      <c r="B390" s="610" t="s">
        <v>5366</v>
      </c>
      <c r="C390" s="616" t="s">
        <v>5906</v>
      </c>
      <c r="D390" s="630" t="s">
        <v>5907</v>
      </c>
      <c r="E390" s="616">
        <v>2004</v>
      </c>
      <c r="F390" s="616" t="s">
        <v>5908</v>
      </c>
      <c r="G390" s="808"/>
      <c r="H390" s="630"/>
      <c r="I390" s="630"/>
      <c r="J390" s="630"/>
      <c r="K390" s="811"/>
      <c r="L390" s="814"/>
    </row>
    <row r="391" spans="1:12" s="598" customFormat="1">
      <c r="A391" s="673">
        <v>383</v>
      </c>
      <c r="B391" s="610" t="s">
        <v>5366</v>
      </c>
      <c r="C391" s="616" t="s">
        <v>5909</v>
      </c>
      <c r="D391" s="630" t="s">
        <v>5863</v>
      </c>
      <c r="E391" s="616">
        <v>1997</v>
      </c>
      <c r="F391" s="616" t="s">
        <v>5910</v>
      </c>
      <c r="G391" s="808"/>
      <c r="H391" s="630"/>
      <c r="I391" s="630"/>
      <c r="J391" s="630"/>
      <c r="K391" s="811"/>
      <c r="L391" s="814"/>
    </row>
    <row r="392" spans="1:12" s="598" customFormat="1">
      <c r="A392" s="673">
        <v>384</v>
      </c>
      <c r="B392" s="610" t="s">
        <v>5366</v>
      </c>
      <c r="C392" s="616" t="s">
        <v>5527</v>
      </c>
      <c r="D392" s="630" t="s">
        <v>5911</v>
      </c>
      <c r="E392" s="616">
        <v>2004</v>
      </c>
      <c r="F392" s="616" t="s">
        <v>5912</v>
      </c>
      <c r="G392" s="808"/>
      <c r="H392" s="630"/>
      <c r="I392" s="630"/>
      <c r="J392" s="630"/>
      <c r="K392" s="811"/>
      <c r="L392" s="814"/>
    </row>
    <row r="393" spans="1:12" s="598" customFormat="1">
      <c r="A393" s="673">
        <v>385</v>
      </c>
      <c r="B393" s="610" t="s">
        <v>5366</v>
      </c>
      <c r="C393" s="616" t="s">
        <v>5799</v>
      </c>
      <c r="D393" s="630" t="s">
        <v>5913</v>
      </c>
      <c r="E393" s="616">
        <v>1999</v>
      </c>
      <c r="F393" s="616" t="s">
        <v>5914</v>
      </c>
      <c r="G393" s="808"/>
      <c r="H393" s="630"/>
      <c r="I393" s="630"/>
      <c r="J393" s="630"/>
      <c r="K393" s="811"/>
      <c r="L393" s="814"/>
    </row>
    <row r="394" spans="1:12" s="598" customFormat="1">
      <c r="A394" s="673">
        <v>386</v>
      </c>
      <c r="B394" s="610" t="s">
        <v>5366</v>
      </c>
      <c r="C394" s="616" t="s">
        <v>5799</v>
      </c>
      <c r="D394" s="630" t="s">
        <v>5915</v>
      </c>
      <c r="E394" s="616">
        <v>1996</v>
      </c>
      <c r="F394" s="616" t="s">
        <v>5916</v>
      </c>
      <c r="G394" s="808"/>
      <c r="H394" s="630"/>
      <c r="I394" s="630"/>
      <c r="J394" s="630"/>
      <c r="K394" s="811"/>
      <c r="L394" s="814"/>
    </row>
    <row r="395" spans="1:12" s="598" customFormat="1">
      <c r="A395" s="673">
        <v>387</v>
      </c>
      <c r="B395" s="610" t="s">
        <v>5366</v>
      </c>
      <c r="C395" s="616" t="s">
        <v>5799</v>
      </c>
      <c r="D395" s="630" t="s">
        <v>5874</v>
      </c>
      <c r="E395" s="616">
        <v>1984</v>
      </c>
      <c r="F395" s="616" t="s">
        <v>5917</v>
      </c>
      <c r="G395" s="808"/>
      <c r="H395" s="630"/>
      <c r="I395" s="630"/>
      <c r="J395" s="630"/>
      <c r="K395" s="811"/>
      <c r="L395" s="814"/>
    </row>
    <row r="396" spans="1:12" s="598" customFormat="1">
      <c r="A396" s="673">
        <v>388</v>
      </c>
      <c r="B396" s="610" t="s">
        <v>5366</v>
      </c>
      <c r="C396" s="616" t="s">
        <v>5799</v>
      </c>
      <c r="D396" s="630" t="s">
        <v>5918</v>
      </c>
      <c r="E396" s="616">
        <v>1992</v>
      </c>
      <c r="F396" s="616" t="s">
        <v>5919</v>
      </c>
      <c r="G396" s="808"/>
      <c r="H396" s="630"/>
      <c r="I396" s="630"/>
      <c r="J396" s="630"/>
      <c r="K396" s="811"/>
      <c r="L396" s="814"/>
    </row>
    <row r="397" spans="1:12" s="598" customFormat="1">
      <c r="A397" s="673">
        <v>389</v>
      </c>
      <c r="B397" s="610" t="s">
        <v>5366</v>
      </c>
      <c r="C397" s="616" t="s">
        <v>5799</v>
      </c>
      <c r="D397" s="630" t="s">
        <v>5871</v>
      </c>
      <c r="E397" s="616">
        <v>1990</v>
      </c>
      <c r="F397" s="616" t="s">
        <v>5920</v>
      </c>
      <c r="G397" s="808"/>
      <c r="H397" s="630"/>
      <c r="I397" s="630"/>
      <c r="J397" s="630"/>
      <c r="K397" s="811"/>
      <c r="L397" s="814"/>
    </row>
    <row r="398" spans="1:12" s="598" customFormat="1">
      <c r="A398" s="673">
        <v>390</v>
      </c>
      <c r="B398" s="610" t="s">
        <v>5366</v>
      </c>
      <c r="C398" s="616" t="s">
        <v>5799</v>
      </c>
      <c r="D398" s="630" t="s">
        <v>5856</v>
      </c>
      <c r="E398" s="616">
        <v>1995</v>
      </c>
      <c r="F398" s="616" t="s">
        <v>5921</v>
      </c>
      <c r="G398" s="808"/>
      <c r="H398" s="630"/>
      <c r="I398" s="630"/>
      <c r="J398" s="630"/>
      <c r="K398" s="811"/>
      <c r="L398" s="814"/>
    </row>
    <row r="399" spans="1:12" s="598" customFormat="1">
      <c r="A399" s="673">
        <v>391</v>
      </c>
      <c r="B399" s="610" t="s">
        <v>5366</v>
      </c>
      <c r="C399" s="616" t="s">
        <v>5799</v>
      </c>
      <c r="D399" s="630" t="s">
        <v>5882</v>
      </c>
      <c r="E399" s="616">
        <v>1989</v>
      </c>
      <c r="F399" s="616" t="s">
        <v>5922</v>
      </c>
      <c r="G399" s="808"/>
      <c r="H399" s="630"/>
      <c r="I399" s="630"/>
      <c r="J399" s="630"/>
      <c r="K399" s="811"/>
      <c r="L399" s="814"/>
    </row>
    <row r="400" spans="1:12" s="598" customFormat="1">
      <c r="A400" s="673">
        <v>392</v>
      </c>
      <c r="B400" s="610" t="s">
        <v>5366</v>
      </c>
      <c r="C400" s="616" t="s">
        <v>5799</v>
      </c>
      <c r="D400" s="630" t="s">
        <v>5923</v>
      </c>
      <c r="E400" s="616">
        <v>1989</v>
      </c>
      <c r="F400" s="616" t="s">
        <v>5924</v>
      </c>
      <c r="G400" s="808"/>
      <c r="H400" s="630"/>
      <c r="I400" s="630"/>
      <c r="J400" s="630"/>
      <c r="K400" s="811"/>
      <c r="L400" s="814"/>
    </row>
    <row r="401" spans="1:12" s="598" customFormat="1">
      <c r="A401" s="673">
        <v>393</v>
      </c>
      <c r="B401" s="610" t="s">
        <v>5366</v>
      </c>
      <c r="C401" s="616" t="s">
        <v>5799</v>
      </c>
      <c r="D401" s="630" t="s">
        <v>5925</v>
      </c>
      <c r="E401" s="616">
        <v>1992</v>
      </c>
      <c r="F401" s="616" t="s">
        <v>5926</v>
      </c>
      <c r="G401" s="808"/>
      <c r="H401" s="630"/>
      <c r="I401" s="630"/>
      <c r="J401" s="630"/>
      <c r="K401" s="811"/>
      <c r="L401" s="814"/>
    </row>
    <row r="402" spans="1:12" s="598" customFormat="1">
      <c r="A402" s="673">
        <v>394</v>
      </c>
      <c r="B402" s="610" t="s">
        <v>5366</v>
      </c>
      <c r="C402" s="616" t="s">
        <v>5799</v>
      </c>
      <c r="D402" s="630" t="s">
        <v>5925</v>
      </c>
      <c r="E402" s="616">
        <v>1992</v>
      </c>
      <c r="F402" s="616" t="s">
        <v>5927</v>
      </c>
      <c r="G402" s="808"/>
      <c r="H402" s="630"/>
      <c r="I402" s="630"/>
      <c r="J402" s="630"/>
      <c r="K402" s="811"/>
      <c r="L402" s="814"/>
    </row>
    <row r="403" spans="1:12" s="598" customFormat="1">
      <c r="A403" s="673">
        <v>395</v>
      </c>
      <c r="B403" s="610" t="s">
        <v>5366</v>
      </c>
      <c r="C403" s="616" t="s">
        <v>5799</v>
      </c>
      <c r="D403" s="630" t="s">
        <v>5915</v>
      </c>
      <c r="E403" s="616">
        <v>1998</v>
      </c>
      <c r="F403" s="616" t="s">
        <v>5928</v>
      </c>
      <c r="G403" s="808"/>
      <c r="H403" s="630"/>
      <c r="I403" s="630"/>
      <c r="J403" s="630"/>
      <c r="K403" s="811"/>
      <c r="L403" s="814"/>
    </row>
    <row r="404" spans="1:12" s="598" customFormat="1">
      <c r="A404" s="673">
        <v>396</v>
      </c>
      <c r="B404" s="610" t="s">
        <v>5366</v>
      </c>
      <c r="C404" s="616" t="s">
        <v>5929</v>
      </c>
      <c r="D404" s="630" t="s">
        <v>5930</v>
      </c>
      <c r="E404" s="616">
        <v>1991</v>
      </c>
      <c r="F404" s="616" t="s">
        <v>5931</v>
      </c>
      <c r="G404" s="808"/>
      <c r="H404" s="630"/>
      <c r="I404" s="630"/>
      <c r="J404" s="630"/>
      <c r="K404" s="811"/>
      <c r="L404" s="814"/>
    </row>
    <row r="405" spans="1:12" s="598" customFormat="1">
      <c r="A405" s="673">
        <v>397</v>
      </c>
      <c r="B405" s="610" t="s">
        <v>5366</v>
      </c>
      <c r="C405" s="616" t="s">
        <v>5860</v>
      </c>
      <c r="D405" s="630" t="s">
        <v>5861</v>
      </c>
      <c r="E405" s="616">
        <v>1994</v>
      </c>
      <c r="F405" s="616" t="s">
        <v>5932</v>
      </c>
      <c r="G405" s="808"/>
      <c r="H405" s="630"/>
      <c r="I405" s="630"/>
      <c r="J405" s="630"/>
      <c r="K405" s="811"/>
      <c r="L405" s="814"/>
    </row>
    <row r="406" spans="1:12" s="598" customFormat="1">
      <c r="A406" s="673">
        <v>398</v>
      </c>
      <c r="B406" s="610" t="s">
        <v>5366</v>
      </c>
      <c r="C406" s="616" t="s">
        <v>5799</v>
      </c>
      <c r="D406" s="630" t="s">
        <v>5933</v>
      </c>
      <c r="E406" s="616">
        <v>1993</v>
      </c>
      <c r="F406" s="616" t="s">
        <v>5934</v>
      </c>
      <c r="G406" s="808"/>
      <c r="H406" s="630"/>
      <c r="I406" s="630"/>
      <c r="J406" s="630"/>
      <c r="K406" s="811"/>
      <c r="L406" s="814"/>
    </row>
    <row r="407" spans="1:12" s="598" customFormat="1">
      <c r="A407" s="673">
        <v>399</v>
      </c>
      <c r="B407" s="610" t="s">
        <v>5366</v>
      </c>
      <c r="C407" s="616" t="s">
        <v>5860</v>
      </c>
      <c r="D407" s="630" t="s">
        <v>5935</v>
      </c>
      <c r="E407" s="616">
        <v>1992</v>
      </c>
      <c r="F407" s="616" t="s">
        <v>5936</v>
      </c>
      <c r="G407" s="808"/>
      <c r="H407" s="630"/>
      <c r="I407" s="630"/>
      <c r="J407" s="630"/>
      <c r="K407" s="811"/>
      <c r="L407" s="814"/>
    </row>
    <row r="408" spans="1:12" s="598" customFormat="1">
      <c r="A408" s="673">
        <v>400</v>
      </c>
      <c r="B408" s="610" t="s">
        <v>5366</v>
      </c>
      <c r="C408" s="616" t="s">
        <v>5799</v>
      </c>
      <c r="D408" s="630" t="s">
        <v>5937</v>
      </c>
      <c r="E408" s="616">
        <v>1998</v>
      </c>
      <c r="F408" s="616" t="s">
        <v>5938</v>
      </c>
      <c r="G408" s="808"/>
      <c r="H408" s="630"/>
      <c r="I408" s="630"/>
      <c r="J408" s="630"/>
      <c r="K408" s="811"/>
      <c r="L408" s="814"/>
    </row>
    <row r="409" spans="1:12" s="598" customFormat="1" ht="30">
      <c r="A409" s="673">
        <v>401</v>
      </c>
      <c r="B409" s="610" t="s">
        <v>5366</v>
      </c>
      <c r="C409" s="616" t="s">
        <v>5792</v>
      </c>
      <c r="D409" s="630" t="s">
        <v>5939</v>
      </c>
      <c r="E409" s="616">
        <v>1996</v>
      </c>
      <c r="F409" s="616" t="s">
        <v>5940</v>
      </c>
      <c r="G409" s="808"/>
      <c r="H409" s="630"/>
      <c r="I409" s="630"/>
      <c r="J409" s="630"/>
      <c r="K409" s="811"/>
      <c r="L409" s="814"/>
    </row>
    <row r="410" spans="1:12" s="598" customFormat="1">
      <c r="A410" s="673">
        <v>402</v>
      </c>
      <c r="B410" s="610" t="s">
        <v>5366</v>
      </c>
      <c r="C410" s="616" t="s">
        <v>5799</v>
      </c>
      <c r="D410" s="630" t="s">
        <v>5884</v>
      </c>
      <c r="E410" s="616">
        <v>1990</v>
      </c>
      <c r="F410" s="616" t="s">
        <v>5941</v>
      </c>
      <c r="G410" s="808"/>
      <c r="H410" s="630"/>
      <c r="I410" s="630"/>
      <c r="J410" s="630"/>
      <c r="K410" s="811"/>
      <c r="L410" s="814"/>
    </row>
    <row r="411" spans="1:12" s="598" customFormat="1">
      <c r="A411" s="673">
        <v>403</v>
      </c>
      <c r="B411" s="610" t="s">
        <v>5366</v>
      </c>
      <c r="C411" s="616" t="s">
        <v>5860</v>
      </c>
      <c r="D411" s="630" t="s">
        <v>5942</v>
      </c>
      <c r="E411" s="616">
        <v>1986</v>
      </c>
      <c r="F411" s="616" t="s">
        <v>5943</v>
      </c>
      <c r="G411" s="808"/>
      <c r="H411" s="630"/>
      <c r="I411" s="630"/>
      <c r="J411" s="630"/>
      <c r="K411" s="811"/>
      <c r="L411" s="814"/>
    </row>
    <row r="412" spans="1:12" s="598" customFormat="1">
      <c r="A412" s="673">
        <v>404</v>
      </c>
      <c r="B412" s="610" t="s">
        <v>5366</v>
      </c>
      <c r="C412" s="616" t="s">
        <v>5860</v>
      </c>
      <c r="D412" s="630" t="s">
        <v>5886</v>
      </c>
      <c r="E412" s="616">
        <v>1991</v>
      </c>
      <c r="F412" s="616" t="s">
        <v>5944</v>
      </c>
      <c r="G412" s="808"/>
      <c r="H412" s="630"/>
      <c r="I412" s="630"/>
      <c r="J412" s="630"/>
      <c r="K412" s="811"/>
      <c r="L412" s="814"/>
    </row>
    <row r="413" spans="1:12" s="598" customFormat="1">
      <c r="A413" s="673">
        <v>405</v>
      </c>
      <c r="B413" s="610" t="s">
        <v>5366</v>
      </c>
      <c r="C413" s="616" t="s">
        <v>5860</v>
      </c>
      <c r="D413" s="630" t="s">
        <v>5945</v>
      </c>
      <c r="E413" s="616">
        <v>1997</v>
      </c>
      <c r="F413" s="616" t="s">
        <v>5946</v>
      </c>
      <c r="G413" s="808"/>
      <c r="H413" s="630"/>
      <c r="I413" s="630"/>
      <c r="J413" s="630"/>
      <c r="K413" s="811"/>
      <c r="L413" s="814"/>
    </row>
    <row r="414" spans="1:12" s="598" customFormat="1">
      <c r="A414" s="673">
        <v>406</v>
      </c>
      <c r="B414" s="610" t="s">
        <v>5366</v>
      </c>
      <c r="C414" s="616" t="s">
        <v>5860</v>
      </c>
      <c r="D414" s="630" t="s">
        <v>5935</v>
      </c>
      <c r="E414" s="616">
        <v>1991</v>
      </c>
      <c r="F414" s="616" t="s">
        <v>5947</v>
      </c>
      <c r="G414" s="808"/>
      <c r="H414" s="630"/>
      <c r="I414" s="630"/>
      <c r="J414" s="630"/>
      <c r="K414" s="811"/>
      <c r="L414" s="814"/>
    </row>
    <row r="415" spans="1:12" s="598" customFormat="1">
      <c r="A415" s="673">
        <v>407</v>
      </c>
      <c r="B415" s="610" t="s">
        <v>5366</v>
      </c>
      <c r="C415" s="616" t="s">
        <v>5860</v>
      </c>
      <c r="D415" s="630" t="s">
        <v>5842</v>
      </c>
      <c r="E415" s="616">
        <v>1995</v>
      </c>
      <c r="F415" s="616" t="s">
        <v>5948</v>
      </c>
      <c r="G415" s="808"/>
      <c r="H415" s="630"/>
      <c r="I415" s="630"/>
      <c r="J415" s="630"/>
      <c r="K415" s="811"/>
      <c r="L415" s="814"/>
    </row>
    <row r="416" spans="1:12" s="598" customFormat="1">
      <c r="A416" s="673">
        <v>408</v>
      </c>
      <c r="B416" s="610" t="s">
        <v>5366</v>
      </c>
      <c r="C416" s="616" t="s">
        <v>5799</v>
      </c>
      <c r="D416" s="630" t="s">
        <v>5949</v>
      </c>
      <c r="E416" s="616">
        <v>1998</v>
      </c>
      <c r="F416" s="616" t="s">
        <v>5950</v>
      </c>
      <c r="G416" s="808"/>
      <c r="H416" s="630"/>
      <c r="I416" s="630"/>
      <c r="J416" s="630"/>
      <c r="K416" s="811"/>
      <c r="L416" s="814"/>
    </row>
    <row r="417" spans="1:12" s="598" customFormat="1">
      <c r="A417" s="673">
        <v>409</v>
      </c>
      <c r="B417" s="610" t="s">
        <v>5366</v>
      </c>
      <c r="C417" s="616" t="s">
        <v>5860</v>
      </c>
      <c r="D417" s="630" t="s">
        <v>5842</v>
      </c>
      <c r="E417" s="616">
        <v>1991</v>
      </c>
      <c r="F417" s="616" t="s">
        <v>5951</v>
      </c>
      <c r="G417" s="808"/>
      <c r="H417" s="630"/>
      <c r="I417" s="630"/>
      <c r="J417" s="630"/>
      <c r="K417" s="811"/>
      <c r="L417" s="814"/>
    </row>
    <row r="418" spans="1:12" s="598" customFormat="1">
      <c r="A418" s="673">
        <v>410</v>
      </c>
      <c r="B418" s="610" t="s">
        <v>5366</v>
      </c>
      <c r="C418" s="616" t="s">
        <v>5799</v>
      </c>
      <c r="D418" s="630" t="s">
        <v>5871</v>
      </c>
      <c r="E418" s="616">
        <v>1991</v>
      </c>
      <c r="F418" s="616" t="s">
        <v>5952</v>
      </c>
      <c r="G418" s="808"/>
      <c r="H418" s="630"/>
      <c r="I418" s="630"/>
      <c r="J418" s="630"/>
      <c r="K418" s="811"/>
      <c r="L418" s="814"/>
    </row>
    <row r="419" spans="1:12" s="598" customFormat="1">
      <c r="A419" s="673">
        <v>411</v>
      </c>
      <c r="B419" s="610" t="s">
        <v>5366</v>
      </c>
      <c r="C419" s="616" t="s">
        <v>5799</v>
      </c>
      <c r="D419" s="630" t="s">
        <v>5858</v>
      </c>
      <c r="E419" s="616">
        <v>2000</v>
      </c>
      <c r="F419" s="616" t="s">
        <v>5953</v>
      </c>
      <c r="G419" s="808"/>
      <c r="H419" s="630"/>
      <c r="I419" s="630"/>
      <c r="J419" s="630"/>
      <c r="K419" s="811"/>
      <c r="L419" s="814"/>
    </row>
    <row r="420" spans="1:12" s="598" customFormat="1">
      <c r="A420" s="673">
        <v>412</v>
      </c>
      <c r="B420" s="610" t="s">
        <v>5366</v>
      </c>
      <c r="C420" s="616" t="s">
        <v>5799</v>
      </c>
      <c r="D420" s="630" t="s">
        <v>5869</v>
      </c>
      <c r="E420" s="616">
        <v>1999</v>
      </c>
      <c r="F420" s="616" t="s">
        <v>5954</v>
      </c>
      <c r="G420" s="808"/>
      <c r="H420" s="630"/>
      <c r="I420" s="630"/>
      <c r="J420" s="630"/>
      <c r="K420" s="811"/>
      <c r="L420" s="814"/>
    </row>
    <row r="421" spans="1:12" s="598" customFormat="1">
      <c r="A421" s="673">
        <v>413</v>
      </c>
      <c r="B421" s="610" t="s">
        <v>5366</v>
      </c>
      <c r="C421" s="616" t="s">
        <v>5799</v>
      </c>
      <c r="D421" s="630" t="s">
        <v>5955</v>
      </c>
      <c r="E421" s="616">
        <v>1985</v>
      </c>
      <c r="F421" s="616" t="s">
        <v>5956</v>
      </c>
      <c r="G421" s="808"/>
      <c r="H421" s="630"/>
      <c r="I421" s="630"/>
      <c r="J421" s="630"/>
      <c r="K421" s="811"/>
      <c r="L421" s="814"/>
    </row>
    <row r="422" spans="1:12" s="598" customFormat="1">
      <c r="A422" s="673">
        <v>414</v>
      </c>
      <c r="B422" s="610" t="s">
        <v>5366</v>
      </c>
      <c r="C422" s="616" t="s">
        <v>5799</v>
      </c>
      <c r="D422" s="630" t="s">
        <v>5846</v>
      </c>
      <c r="E422" s="616">
        <v>1993</v>
      </c>
      <c r="F422" s="616" t="s">
        <v>5957</v>
      </c>
      <c r="G422" s="808"/>
      <c r="H422" s="630"/>
      <c r="I422" s="630"/>
      <c r="J422" s="630"/>
      <c r="K422" s="811"/>
      <c r="L422" s="814"/>
    </row>
    <row r="423" spans="1:12" s="598" customFormat="1">
      <c r="A423" s="673">
        <v>415</v>
      </c>
      <c r="B423" s="610" t="s">
        <v>5366</v>
      </c>
      <c r="C423" s="616" t="s">
        <v>5799</v>
      </c>
      <c r="D423" s="630" t="s">
        <v>5925</v>
      </c>
      <c r="E423" s="616">
        <v>1991</v>
      </c>
      <c r="F423" s="616" t="s">
        <v>5958</v>
      </c>
      <c r="G423" s="808"/>
      <c r="H423" s="630"/>
      <c r="I423" s="630"/>
      <c r="J423" s="630"/>
      <c r="K423" s="811"/>
      <c r="L423" s="814"/>
    </row>
    <row r="424" spans="1:12" s="598" customFormat="1">
      <c r="A424" s="673">
        <v>416</v>
      </c>
      <c r="B424" s="610" t="s">
        <v>5366</v>
      </c>
      <c r="C424" s="616" t="s">
        <v>5860</v>
      </c>
      <c r="D424" s="630" t="s">
        <v>5842</v>
      </c>
      <c r="E424" s="616">
        <v>1993</v>
      </c>
      <c r="F424" s="616" t="s">
        <v>5959</v>
      </c>
      <c r="G424" s="808"/>
      <c r="H424" s="630"/>
      <c r="I424" s="630"/>
      <c r="J424" s="630"/>
      <c r="K424" s="811"/>
      <c r="L424" s="814"/>
    </row>
    <row r="425" spans="1:12" s="598" customFormat="1">
      <c r="A425" s="673">
        <v>417</v>
      </c>
      <c r="B425" s="610" t="s">
        <v>5366</v>
      </c>
      <c r="C425" s="616" t="s">
        <v>5799</v>
      </c>
      <c r="D425" s="630" t="s">
        <v>5960</v>
      </c>
      <c r="E425" s="616">
        <v>1999</v>
      </c>
      <c r="F425" s="616" t="s">
        <v>5961</v>
      </c>
      <c r="G425" s="808"/>
      <c r="H425" s="630"/>
      <c r="I425" s="630"/>
      <c r="J425" s="630"/>
      <c r="K425" s="811"/>
      <c r="L425" s="814"/>
    </row>
    <row r="426" spans="1:12" s="598" customFormat="1">
      <c r="A426" s="673">
        <v>418</v>
      </c>
      <c r="B426" s="610" t="s">
        <v>5366</v>
      </c>
      <c r="C426" s="616" t="s">
        <v>5799</v>
      </c>
      <c r="D426" s="630" t="s">
        <v>5858</v>
      </c>
      <c r="E426" s="616">
        <v>1998</v>
      </c>
      <c r="F426" s="616" t="s">
        <v>5962</v>
      </c>
      <c r="G426" s="808"/>
      <c r="H426" s="630"/>
      <c r="I426" s="630"/>
      <c r="J426" s="630"/>
      <c r="K426" s="811"/>
      <c r="L426" s="814"/>
    </row>
    <row r="427" spans="1:12" s="598" customFormat="1">
      <c r="A427" s="673">
        <v>419</v>
      </c>
      <c r="B427" s="610" t="s">
        <v>5366</v>
      </c>
      <c r="C427" s="616" t="s">
        <v>5536</v>
      </c>
      <c r="D427" s="630" t="s">
        <v>5963</v>
      </c>
      <c r="E427" s="616">
        <v>1994</v>
      </c>
      <c r="F427" s="616" t="s">
        <v>5964</v>
      </c>
      <c r="G427" s="808"/>
      <c r="H427" s="630"/>
      <c r="I427" s="630"/>
      <c r="J427" s="630"/>
      <c r="K427" s="811"/>
      <c r="L427" s="814"/>
    </row>
    <row r="428" spans="1:12" s="598" customFormat="1">
      <c r="A428" s="673">
        <v>420</v>
      </c>
      <c r="B428" s="610" t="s">
        <v>5366</v>
      </c>
      <c r="C428" s="616" t="s">
        <v>5799</v>
      </c>
      <c r="D428" s="630" t="s">
        <v>5846</v>
      </c>
      <c r="E428" s="616">
        <v>1995</v>
      </c>
      <c r="F428" s="616" t="s">
        <v>5965</v>
      </c>
      <c r="G428" s="808"/>
      <c r="H428" s="630"/>
      <c r="I428" s="630"/>
      <c r="J428" s="630"/>
      <c r="K428" s="811"/>
      <c r="L428" s="814"/>
    </row>
    <row r="429" spans="1:12" s="598" customFormat="1">
      <c r="A429" s="673">
        <v>421</v>
      </c>
      <c r="B429" s="610" t="s">
        <v>5366</v>
      </c>
      <c r="C429" s="616" t="s">
        <v>5799</v>
      </c>
      <c r="D429" s="630" t="s">
        <v>5871</v>
      </c>
      <c r="E429" s="616">
        <v>1992</v>
      </c>
      <c r="F429" s="616" t="s">
        <v>5966</v>
      </c>
      <c r="G429" s="808"/>
      <c r="H429" s="630"/>
      <c r="I429" s="630"/>
      <c r="J429" s="630"/>
      <c r="K429" s="811"/>
      <c r="L429" s="814"/>
    </row>
    <row r="430" spans="1:12" s="598" customFormat="1">
      <c r="A430" s="673">
        <v>422</v>
      </c>
      <c r="B430" s="610" t="s">
        <v>5366</v>
      </c>
      <c r="C430" s="616" t="s">
        <v>5799</v>
      </c>
      <c r="D430" s="630" t="s">
        <v>5888</v>
      </c>
      <c r="E430" s="616">
        <v>1991</v>
      </c>
      <c r="F430" s="616" t="s">
        <v>5967</v>
      </c>
      <c r="G430" s="808"/>
      <c r="H430" s="630"/>
      <c r="I430" s="630"/>
      <c r="J430" s="630"/>
      <c r="K430" s="811"/>
      <c r="L430" s="814"/>
    </row>
    <row r="431" spans="1:12" s="598" customFormat="1">
      <c r="A431" s="673">
        <v>423</v>
      </c>
      <c r="B431" s="610" t="s">
        <v>5366</v>
      </c>
      <c r="C431" s="616" t="s">
        <v>5860</v>
      </c>
      <c r="D431" s="630" t="s">
        <v>5968</v>
      </c>
      <c r="E431" s="616">
        <v>2001</v>
      </c>
      <c r="F431" s="616" t="s">
        <v>5969</v>
      </c>
      <c r="G431" s="808"/>
      <c r="H431" s="630"/>
      <c r="I431" s="630"/>
      <c r="J431" s="630"/>
      <c r="K431" s="811"/>
      <c r="L431" s="814"/>
    </row>
    <row r="432" spans="1:12" s="598" customFormat="1">
      <c r="A432" s="673">
        <v>424</v>
      </c>
      <c r="B432" s="610" t="s">
        <v>5366</v>
      </c>
      <c r="C432" s="616" t="s">
        <v>5860</v>
      </c>
      <c r="D432" s="630" t="s">
        <v>5842</v>
      </c>
      <c r="E432" s="616">
        <v>1988</v>
      </c>
      <c r="F432" s="616" t="s">
        <v>5970</v>
      </c>
      <c r="G432" s="808"/>
      <c r="H432" s="630"/>
      <c r="I432" s="630"/>
      <c r="J432" s="630"/>
      <c r="K432" s="811"/>
      <c r="L432" s="814"/>
    </row>
    <row r="433" spans="1:12" s="598" customFormat="1">
      <c r="A433" s="673">
        <v>425</v>
      </c>
      <c r="B433" s="610" t="s">
        <v>5366</v>
      </c>
      <c r="C433" s="616" t="s">
        <v>5799</v>
      </c>
      <c r="D433" s="630" t="s">
        <v>5971</v>
      </c>
      <c r="E433" s="616">
        <v>1997</v>
      </c>
      <c r="F433" s="616" t="s">
        <v>5972</v>
      </c>
      <c r="G433" s="808"/>
      <c r="H433" s="630"/>
      <c r="I433" s="630"/>
      <c r="J433" s="630"/>
      <c r="K433" s="811"/>
      <c r="L433" s="814"/>
    </row>
    <row r="434" spans="1:12" s="598" customFormat="1">
      <c r="A434" s="673">
        <v>426</v>
      </c>
      <c r="B434" s="610" t="s">
        <v>5366</v>
      </c>
      <c r="C434" s="616" t="s">
        <v>5799</v>
      </c>
      <c r="D434" s="630" t="s">
        <v>5925</v>
      </c>
      <c r="E434" s="616">
        <v>1992</v>
      </c>
      <c r="F434" s="616" t="s">
        <v>5973</v>
      </c>
      <c r="G434" s="808"/>
      <c r="H434" s="630"/>
      <c r="I434" s="630"/>
      <c r="J434" s="630"/>
      <c r="K434" s="811"/>
      <c r="L434" s="814"/>
    </row>
    <row r="435" spans="1:12" s="598" customFormat="1">
      <c r="A435" s="673">
        <v>427</v>
      </c>
      <c r="B435" s="610" t="s">
        <v>5366</v>
      </c>
      <c r="C435" s="616" t="s">
        <v>5799</v>
      </c>
      <c r="D435" s="630" t="s">
        <v>5974</v>
      </c>
      <c r="E435" s="616">
        <v>1987</v>
      </c>
      <c r="F435" s="616" t="s">
        <v>5975</v>
      </c>
      <c r="G435" s="808"/>
      <c r="H435" s="630"/>
      <c r="I435" s="630"/>
      <c r="J435" s="630"/>
      <c r="K435" s="811"/>
      <c r="L435" s="814"/>
    </row>
    <row r="436" spans="1:12" s="598" customFormat="1">
      <c r="A436" s="673">
        <v>428</v>
      </c>
      <c r="B436" s="610" t="s">
        <v>5366</v>
      </c>
      <c r="C436" s="616" t="s">
        <v>5799</v>
      </c>
      <c r="D436" s="630" t="s">
        <v>5918</v>
      </c>
      <c r="E436" s="616">
        <v>1993</v>
      </c>
      <c r="F436" s="616" t="s">
        <v>5976</v>
      </c>
      <c r="G436" s="808"/>
      <c r="H436" s="630"/>
      <c r="I436" s="630"/>
      <c r="J436" s="630"/>
      <c r="K436" s="811"/>
      <c r="L436" s="814"/>
    </row>
    <row r="437" spans="1:12" s="598" customFormat="1">
      <c r="A437" s="673">
        <v>429</v>
      </c>
      <c r="B437" s="610" t="s">
        <v>5366</v>
      </c>
      <c r="C437" s="616" t="s">
        <v>5799</v>
      </c>
      <c r="D437" s="630" t="s">
        <v>5977</v>
      </c>
      <c r="E437" s="616">
        <v>1997</v>
      </c>
      <c r="F437" s="616" t="s">
        <v>5978</v>
      </c>
      <c r="G437" s="808"/>
      <c r="H437" s="630"/>
      <c r="I437" s="630"/>
      <c r="J437" s="630"/>
      <c r="K437" s="811"/>
      <c r="L437" s="814"/>
    </row>
    <row r="438" spans="1:12" s="598" customFormat="1">
      <c r="A438" s="673">
        <v>430</v>
      </c>
      <c r="B438" s="610" t="s">
        <v>5366</v>
      </c>
      <c r="C438" s="616" t="s">
        <v>5851</v>
      </c>
      <c r="D438" s="630" t="s">
        <v>5854</v>
      </c>
      <c r="E438" s="616">
        <v>1999</v>
      </c>
      <c r="F438" s="616" t="s">
        <v>5979</v>
      </c>
      <c r="G438" s="808"/>
      <c r="H438" s="630"/>
      <c r="I438" s="630"/>
      <c r="J438" s="630"/>
      <c r="K438" s="811"/>
      <c r="L438" s="814"/>
    </row>
    <row r="439" spans="1:12" s="598" customFormat="1">
      <c r="A439" s="673">
        <v>431</v>
      </c>
      <c r="B439" s="610" t="s">
        <v>5366</v>
      </c>
      <c r="C439" s="616" t="s">
        <v>5799</v>
      </c>
      <c r="D439" s="630" t="s">
        <v>5871</v>
      </c>
      <c r="E439" s="616">
        <v>1995</v>
      </c>
      <c r="F439" s="616" t="s">
        <v>5980</v>
      </c>
      <c r="G439" s="808"/>
      <c r="H439" s="630"/>
      <c r="I439" s="630"/>
      <c r="J439" s="630"/>
      <c r="K439" s="811"/>
      <c r="L439" s="814"/>
    </row>
    <row r="440" spans="1:12" s="598" customFormat="1">
      <c r="A440" s="673">
        <v>432</v>
      </c>
      <c r="B440" s="610" t="s">
        <v>5366</v>
      </c>
      <c r="C440" s="616" t="s">
        <v>5981</v>
      </c>
      <c r="D440" s="630" t="s">
        <v>5982</v>
      </c>
      <c r="E440" s="616">
        <v>1990</v>
      </c>
      <c r="F440" s="616" t="s">
        <v>5983</v>
      </c>
      <c r="G440" s="808"/>
      <c r="H440" s="630"/>
      <c r="I440" s="630"/>
      <c r="J440" s="630"/>
      <c r="K440" s="811"/>
      <c r="L440" s="814"/>
    </row>
    <row r="441" spans="1:12" s="598" customFormat="1">
      <c r="A441" s="673">
        <v>433</v>
      </c>
      <c r="B441" s="610" t="s">
        <v>5366</v>
      </c>
      <c r="C441" s="616" t="s">
        <v>5981</v>
      </c>
      <c r="D441" s="630" t="s">
        <v>5984</v>
      </c>
      <c r="E441" s="616">
        <v>1979</v>
      </c>
      <c r="F441" s="616" t="s">
        <v>5985</v>
      </c>
      <c r="G441" s="808"/>
      <c r="H441" s="630"/>
      <c r="I441" s="630"/>
      <c r="J441" s="630"/>
      <c r="K441" s="811"/>
      <c r="L441" s="814"/>
    </row>
    <row r="442" spans="1:12" s="598" customFormat="1">
      <c r="A442" s="673">
        <v>434</v>
      </c>
      <c r="B442" s="610" t="s">
        <v>5366</v>
      </c>
      <c r="C442" s="616" t="s">
        <v>5799</v>
      </c>
      <c r="D442" s="630" t="s">
        <v>5903</v>
      </c>
      <c r="E442" s="616">
        <v>1997</v>
      </c>
      <c r="F442" s="616" t="s">
        <v>5986</v>
      </c>
      <c r="G442" s="808"/>
      <c r="H442" s="630"/>
      <c r="I442" s="630"/>
      <c r="J442" s="630"/>
      <c r="K442" s="811"/>
      <c r="L442" s="814"/>
    </row>
    <row r="443" spans="1:12" s="598" customFormat="1">
      <c r="A443" s="673">
        <v>435</v>
      </c>
      <c r="B443" s="610" t="s">
        <v>5366</v>
      </c>
      <c r="C443" s="616" t="s">
        <v>5799</v>
      </c>
      <c r="D443" s="630" t="s">
        <v>5869</v>
      </c>
      <c r="E443" s="616">
        <v>1996</v>
      </c>
      <c r="F443" s="616" t="s">
        <v>5987</v>
      </c>
      <c r="G443" s="808"/>
      <c r="H443" s="630"/>
      <c r="I443" s="630"/>
      <c r="J443" s="630"/>
      <c r="K443" s="811"/>
      <c r="L443" s="814"/>
    </row>
    <row r="444" spans="1:12" s="598" customFormat="1">
      <c r="A444" s="673">
        <v>436</v>
      </c>
      <c r="B444" s="610" t="s">
        <v>5366</v>
      </c>
      <c r="C444" s="616" t="s">
        <v>5799</v>
      </c>
      <c r="D444" s="630" t="s">
        <v>5988</v>
      </c>
      <c r="E444" s="616">
        <v>1990</v>
      </c>
      <c r="F444" s="616" t="s">
        <v>5989</v>
      </c>
      <c r="G444" s="808"/>
      <c r="H444" s="630"/>
      <c r="I444" s="630"/>
      <c r="J444" s="630"/>
      <c r="K444" s="811"/>
      <c r="L444" s="814"/>
    </row>
    <row r="445" spans="1:12" s="598" customFormat="1">
      <c r="A445" s="673">
        <v>437</v>
      </c>
      <c r="B445" s="610" t="s">
        <v>5366</v>
      </c>
      <c r="C445" s="616" t="s">
        <v>5799</v>
      </c>
      <c r="D445" s="630" t="s">
        <v>5869</v>
      </c>
      <c r="E445" s="616">
        <v>1992</v>
      </c>
      <c r="F445" s="616" t="s">
        <v>5990</v>
      </c>
      <c r="G445" s="808"/>
      <c r="H445" s="630"/>
      <c r="I445" s="630"/>
      <c r="J445" s="630"/>
      <c r="K445" s="811"/>
      <c r="L445" s="814"/>
    </row>
    <row r="446" spans="1:12" s="598" customFormat="1">
      <c r="A446" s="673">
        <v>438</v>
      </c>
      <c r="B446" s="610" t="s">
        <v>5366</v>
      </c>
      <c r="C446" s="616" t="s">
        <v>5799</v>
      </c>
      <c r="D446" s="630" t="s">
        <v>5977</v>
      </c>
      <c r="E446" s="616">
        <v>1996</v>
      </c>
      <c r="F446" s="616" t="s">
        <v>5991</v>
      </c>
      <c r="G446" s="808"/>
      <c r="H446" s="630"/>
      <c r="I446" s="630"/>
      <c r="J446" s="630"/>
      <c r="K446" s="811"/>
      <c r="L446" s="814"/>
    </row>
    <row r="447" spans="1:12" s="598" customFormat="1">
      <c r="A447" s="673">
        <v>439</v>
      </c>
      <c r="B447" s="610" t="s">
        <v>5366</v>
      </c>
      <c r="C447" s="616" t="s">
        <v>5387</v>
      </c>
      <c r="D447" s="630" t="s">
        <v>5992</v>
      </c>
      <c r="E447" s="616">
        <v>1996</v>
      </c>
      <c r="F447" s="616" t="s">
        <v>5993</v>
      </c>
      <c r="G447" s="808"/>
      <c r="H447" s="630"/>
      <c r="I447" s="630"/>
      <c r="J447" s="630"/>
      <c r="K447" s="811"/>
      <c r="L447" s="814"/>
    </row>
    <row r="448" spans="1:12" s="598" customFormat="1">
      <c r="A448" s="673">
        <v>440</v>
      </c>
      <c r="B448" s="610" t="s">
        <v>5366</v>
      </c>
      <c r="C448" s="616" t="s">
        <v>5799</v>
      </c>
      <c r="D448" s="630" t="s">
        <v>5994</v>
      </c>
      <c r="E448" s="616">
        <v>1994</v>
      </c>
      <c r="F448" s="616" t="s">
        <v>5995</v>
      </c>
      <c r="G448" s="808"/>
      <c r="H448" s="630"/>
      <c r="I448" s="630"/>
      <c r="J448" s="630"/>
      <c r="K448" s="811"/>
      <c r="L448" s="814"/>
    </row>
    <row r="449" spans="1:12" s="598" customFormat="1">
      <c r="A449" s="673">
        <v>441</v>
      </c>
      <c r="B449" s="610" t="s">
        <v>5366</v>
      </c>
      <c r="C449" s="616" t="s">
        <v>5799</v>
      </c>
      <c r="D449" s="630" t="s">
        <v>5955</v>
      </c>
      <c r="E449" s="616">
        <v>1988</v>
      </c>
      <c r="F449" s="616" t="s">
        <v>5996</v>
      </c>
      <c r="G449" s="808"/>
      <c r="H449" s="630"/>
      <c r="I449" s="630"/>
      <c r="J449" s="630"/>
      <c r="K449" s="811"/>
      <c r="L449" s="814"/>
    </row>
    <row r="450" spans="1:12" s="598" customFormat="1">
      <c r="A450" s="673">
        <v>442</v>
      </c>
      <c r="B450" s="610" t="s">
        <v>5366</v>
      </c>
      <c r="C450" s="616" t="s">
        <v>5799</v>
      </c>
      <c r="D450" s="630" t="s">
        <v>5863</v>
      </c>
      <c r="E450" s="616">
        <v>1998</v>
      </c>
      <c r="F450" s="616" t="s">
        <v>5997</v>
      </c>
      <c r="G450" s="808"/>
      <c r="H450" s="630"/>
      <c r="I450" s="630"/>
      <c r="J450" s="630"/>
      <c r="K450" s="811"/>
      <c r="L450" s="814"/>
    </row>
    <row r="451" spans="1:12" s="598" customFormat="1">
      <c r="A451" s="673">
        <v>443</v>
      </c>
      <c r="B451" s="610" t="s">
        <v>5366</v>
      </c>
      <c r="C451" s="616" t="s">
        <v>5860</v>
      </c>
      <c r="D451" s="630" t="s">
        <v>5842</v>
      </c>
      <c r="E451" s="616">
        <v>1998</v>
      </c>
      <c r="F451" s="616" t="s">
        <v>5998</v>
      </c>
      <c r="G451" s="808"/>
      <c r="H451" s="630"/>
      <c r="I451" s="630"/>
      <c r="J451" s="630"/>
      <c r="K451" s="811"/>
      <c r="L451" s="814"/>
    </row>
    <row r="452" spans="1:12" s="598" customFormat="1">
      <c r="A452" s="673">
        <v>444</v>
      </c>
      <c r="B452" s="610" t="s">
        <v>5366</v>
      </c>
      <c r="C452" s="616" t="s">
        <v>5799</v>
      </c>
      <c r="D452" s="630" t="s">
        <v>5858</v>
      </c>
      <c r="E452" s="616">
        <v>2009</v>
      </c>
      <c r="F452" s="616" t="s">
        <v>5999</v>
      </c>
      <c r="G452" s="808"/>
      <c r="H452" s="630"/>
      <c r="I452" s="630"/>
      <c r="J452" s="630"/>
      <c r="K452" s="811"/>
      <c r="L452" s="814"/>
    </row>
    <row r="453" spans="1:12" s="598" customFormat="1">
      <c r="A453" s="673">
        <v>445</v>
      </c>
      <c r="B453" s="610" t="s">
        <v>5366</v>
      </c>
      <c r="C453" s="616" t="s">
        <v>5799</v>
      </c>
      <c r="D453" s="630" t="s">
        <v>5888</v>
      </c>
      <c r="E453" s="616">
        <v>1990</v>
      </c>
      <c r="F453" s="616" t="s">
        <v>6000</v>
      </c>
      <c r="G453" s="808"/>
      <c r="H453" s="630"/>
      <c r="I453" s="630"/>
      <c r="J453" s="630"/>
      <c r="K453" s="811"/>
      <c r="L453" s="814"/>
    </row>
    <row r="454" spans="1:12" s="598" customFormat="1">
      <c r="A454" s="673">
        <v>446</v>
      </c>
      <c r="B454" s="610" t="s">
        <v>5366</v>
      </c>
      <c r="C454" s="616" t="s">
        <v>5799</v>
      </c>
      <c r="D454" s="630" t="s">
        <v>5846</v>
      </c>
      <c r="E454" s="616">
        <v>1992</v>
      </c>
      <c r="F454" s="616" t="s">
        <v>6001</v>
      </c>
      <c r="G454" s="808"/>
      <c r="H454" s="630"/>
      <c r="I454" s="630"/>
      <c r="J454" s="630"/>
      <c r="K454" s="811"/>
      <c r="L454" s="814"/>
    </row>
    <row r="455" spans="1:12" s="598" customFormat="1">
      <c r="A455" s="673">
        <v>447</v>
      </c>
      <c r="B455" s="610" t="s">
        <v>5366</v>
      </c>
      <c r="C455" s="616" t="s">
        <v>5860</v>
      </c>
      <c r="D455" s="630" t="s">
        <v>6002</v>
      </c>
      <c r="E455" s="616">
        <v>1998</v>
      </c>
      <c r="F455" s="616" t="s">
        <v>6003</v>
      </c>
      <c r="G455" s="808"/>
      <c r="H455" s="630"/>
      <c r="I455" s="630"/>
      <c r="J455" s="630"/>
      <c r="K455" s="811"/>
      <c r="L455" s="814"/>
    </row>
    <row r="456" spans="1:12" s="598" customFormat="1">
      <c r="A456" s="673">
        <v>448</v>
      </c>
      <c r="B456" s="610" t="s">
        <v>5366</v>
      </c>
      <c r="C456" s="616" t="s">
        <v>6004</v>
      </c>
      <c r="D456" s="630" t="s">
        <v>6005</v>
      </c>
      <c r="E456" s="616">
        <v>1986</v>
      </c>
      <c r="F456" s="616" t="s">
        <v>6006</v>
      </c>
      <c r="G456" s="808"/>
      <c r="H456" s="630"/>
      <c r="I456" s="630"/>
      <c r="J456" s="630"/>
      <c r="K456" s="811"/>
      <c r="L456" s="814"/>
    </row>
    <row r="457" spans="1:12" s="598" customFormat="1">
      <c r="A457" s="673">
        <v>449</v>
      </c>
      <c r="B457" s="610" t="s">
        <v>5366</v>
      </c>
      <c r="C457" s="616" t="s">
        <v>5799</v>
      </c>
      <c r="D457" s="630" t="s">
        <v>5846</v>
      </c>
      <c r="E457" s="616">
        <v>1999</v>
      </c>
      <c r="F457" s="616" t="s">
        <v>6007</v>
      </c>
      <c r="G457" s="808"/>
      <c r="H457" s="630"/>
      <c r="I457" s="630"/>
      <c r="J457" s="630"/>
      <c r="K457" s="811"/>
      <c r="L457" s="814"/>
    </row>
    <row r="458" spans="1:12" s="598" customFormat="1">
      <c r="A458" s="673">
        <v>450</v>
      </c>
      <c r="B458" s="610" t="s">
        <v>5366</v>
      </c>
      <c r="C458" s="616" t="s">
        <v>5860</v>
      </c>
      <c r="D458" s="630" t="s">
        <v>5842</v>
      </c>
      <c r="E458" s="616">
        <v>1994</v>
      </c>
      <c r="F458" s="616" t="s">
        <v>6008</v>
      </c>
      <c r="G458" s="808"/>
      <c r="H458" s="630"/>
      <c r="I458" s="630"/>
      <c r="J458" s="630"/>
      <c r="K458" s="811"/>
      <c r="L458" s="814"/>
    </row>
    <row r="459" spans="1:12" s="598" customFormat="1">
      <c r="A459" s="673">
        <v>451</v>
      </c>
      <c r="B459" s="610" t="s">
        <v>5366</v>
      </c>
      <c r="C459" s="616" t="s">
        <v>5799</v>
      </c>
      <c r="D459" s="630" t="s">
        <v>5858</v>
      </c>
      <c r="E459" s="616">
        <v>2000</v>
      </c>
      <c r="F459" s="616" t="s">
        <v>6009</v>
      </c>
      <c r="G459" s="808"/>
      <c r="H459" s="630"/>
      <c r="I459" s="630"/>
      <c r="J459" s="630"/>
      <c r="K459" s="811"/>
      <c r="L459" s="814"/>
    </row>
    <row r="460" spans="1:12" s="598" customFormat="1">
      <c r="A460" s="673">
        <v>452</v>
      </c>
      <c r="B460" s="610" t="s">
        <v>5366</v>
      </c>
      <c r="C460" s="616" t="s">
        <v>5860</v>
      </c>
      <c r="D460" s="630" t="s">
        <v>5842</v>
      </c>
      <c r="E460" s="616">
        <v>1999</v>
      </c>
      <c r="F460" s="616" t="s">
        <v>6010</v>
      </c>
      <c r="G460" s="808"/>
      <c r="H460" s="630"/>
      <c r="I460" s="630"/>
      <c r="J460" s="630"/>
      <c r="K460" s="811"/>
      <c r="L460" s="814"/>
    </row>
    <row r="461" spans="1:12" s="598" customFormat="1">
      <c r="A461" s="673">
        <v>453</v>
      </c>
      <c r="B461" s="610" t="s">
        <v>5366</v>
      </c>
      <c r="C461" s="616" t="s">
        <v>5799</v>
      </c>
      <c r="D461" s="630" t="s">
        <v>5915</v>
      </c>
      <c r="E461" s="616">
        <v>1999</v>
      </c>
      <c r="F461" s="616" t="s">
        <v>6011</v>
      </c>
      <c r="G461" s="808"/>
      <c r="H461" s="630"/>
      <c r="I461" s="630"/>
      <c r="J461" s="630"/>
      <c r="K461" s="811"/>
      <c r="L461" s="814"/>
    </row>
    <row r="462" spans="1:12" s="598" customFormat="1">
      <c r="A462" s="673">
        <v>454</v>
      </c>
      <c r="B462" s="610" t="s">
        <v>5366</v>
      </c>
      <c r="C462" s="616" t="s">
        <v>5527</v>
      </c>
      <c r="D462" s="630" t="s">
        <v>5911</v>
      </c>
      <c r="E462" s="616">
        <v>2005</v>
      </c>
      <c r="F462" s="616" t="s">
        <v>6012</v>
      </c>
      <c r="G462" s="808"/>
      <c r="H462" s="630"/>
      <c r="I462" s="630"/>
      <c r="J462" s="630"/>
      <c r="K462" s="811"/>
      <c r="L462" s="814"/>
    </row>
    <row r="463" spans="1:12" s="598" customFormat="1">
      <c r="A463" s="673">
        <v>455</v>
      </c>
      <c r="B463" s="610" t="s">
        <v>5366</v>
      </c>
      <c r="C463" s="616" t="s">
        <v>5799</v>
      </c>
      <c r="D463" s="630" t="s">
        <v>6013</v>
      </c>
      <c r="E463" s="616">
        <v>1996</v>
      </c>
      <c r="F463" s="616" t="s">
        <v>6014</v>
      </c>
      <c r="G463" s="808"/>
      <c r="H463" s="630"/>
      <c r="I463" s="630"/>
      <c r="J463" s="630"/>
      <c r="K463" s="811"/>
      <c r="L463" s="814"/>
    </row>
    <row r="464" spans="1:12" s="598" customFormat="1">
      <c r="A464" s="673">
        <v>456</v>
      </c>
      <c r="B464" s="610" t="s">
        <v>5366</v>
      </c>
      <c r="C464" s="616" t="s">
        <v>5860</v>
      </c>
      <c r="D464" s="630" t="s">
        <v>5842</v>
      </c>
      <c r="E464" s="616">
        <v>1996</v>
      </c>
      <c r="F464" s="616" t="s">
        <v>6015</v>
      </c>
      <c r="G464" s="808"/>
      <c r="H464" s="630"/>
      <c r="I464" s="630"/>
      <c r="J464" s="630"/>
      <c r="K464" s="811"/>
      <c r="L464" s="814"/>
    </row>
    <row r="465" spans="1:12" s="598" customFormat="1">
      <c r="A465" s="673">
        <v>457</v>
      </c>
      <c r="B465" s="610" t="s">
        <v>5366</v>
      </c>
      <c r="C465" s="616" t="s">
        <v>5799</v>
      </c>
      <c r="D465" s="630" t="s">
        <v>5858</v>
      </c>
      <c r="E465" s="616">
        <v>2002</v>
      </c>
      <c r="F465" s="616" t="s">
        <v>6016</v>
      </c>
      <c r="G465" s="808"/>
      <c r="H465" s="630"/>
      <c r="I465" s="630"/>
      <c r="J465" s="630"/>
      <c r="K465" s="811"/>
      <c r="L465" s="814"/>
    </row>
    <row r="466" spans="1:12" s="598" customFormat="1">
      <c r="A466" s="673">
        <v>458</v>
      </c>
      <c r="B466" s="610" t="s">
        <v>5366</v>
      </c>
      <c r="C466" s="616" t="s">
        <v>5799</v>
      </c>
      <c r="D466" s="630" t="s">
        <v>6017</v>
      </c>
      <c r="E466" s="616">
        <v>2002</v>
      </c>
      <c r="F466" s="616" t="s">
        <v>6018</v>
      </c>
      <c r="G466" s="808"/>
      <c r="H466" s="630"/>
      <c r="I466" s="630"/>
      <c r="J466" s="630"/>
      <c r="K466" s="811"/>
      <c r="L466" s="814"/>
    </row>
    <row r="467" spans="1:12" s="598" customFormat="1">
      <c r="A467" s="673">
        <v>459</v>
      </c>
      <c r="B467" s="610" t="s">
        <v>5366</v>
      </c>
      <c r="C467" s="616" t="s">
        <v>5799</v>
      </c>
      <c r="D467" s="630" t="s">
        <v>5955</v>
      </c>
      <c r="E467" s="616">
        <v>1986</v>
      </c>
      <c r="F467" s="616" t="s">
        <v>6019</v>
      </c>
      <c r="G467" s="808"/>
      <c r="H467" s="630"/>
      <c r="I467" s="630"/>
      <c r="J467" s="630"/>
      <c r="K467" s="811"/>
      <c r="L467" s="814"/>
    </row>
    <row r="468" spans="1:12" s="598" customFormat="1">
      <c r="A468" s="673">
        <v>460</v>
      </c>
      <c r="B468" s="610" t="s">
        <v>5366</v>
      </c>
      <c r="C468" s="616" t="s">
        <v>5799</v>
      </c>
      <c r="D468" s="630" t="s">
        <v>6017</v>
      </c>
      <c r="E468" s="616">
        <v>2000</v>
      </c>
      <c r="F468" s="616" t="s">
        <v>6020</v>
      </c>
      <c r="G468" s="808"/>
      <c r="H468" s="630"/>
      <c r="I468" s="630"/>
      <c r="J468" s="630"/>
      <c r="K468" s="811"/>
      <c r="L468" s="814"/>
    </row>
    <row r="469" spans="1:12" s="598" customFormat="1">
      <c r="A469" s="673">
        <v>461</v>
      </c>
      <c r="B469" s="610" t="s">
        <v>5366</v>
      </c>
      <c r="C469" s="616" t="s">
        <v>5799</v>
      </c>
      <c r="D469" s="630" t="s">
        <v>5871</v>
      </c>
      <c r="E469" s="616">
        <v>2004</v>
      </c>
      <c r="F469" s="616" t="s">
        <v>6021</v>
      </c>
      <c r="G469" s="809"/>
      <c r="H469" s="630"/>
      <c r="I469" s="630"/>
      <c r="J469" s="630"/>
      <c r="K469" s="812"/>
      <c r="L469" s="815"/>
    </row>
    <row r="470" spans="1:12" s="598" customFormat="1">
      <c r="A470" s="673">
        <v>462</v>
      </c>
      <c r="B470" s="610" t="s">
        <v>5366</v>
      </c>
      <c r="C470" s="616" t="s">
        <v>5409</v>
      </c>
      <c r="D470" s="630" t="s">
        <v>5415</v>
      </c>
      <c r="E470" s="616" t="s">
        <v>5385</v>
      </c>
      <c r="F470" s="616" t="s">
        <v>5521</v>
      </c>
      <c r="G470" s="632">
        <v>62.5</v>
      </c>
      <c r="H470" s="630"/>
      <c r="I470" s="630"/>
      <c r="J470" s="630"/>
      <c r="K470" s="619" t="s">
        <v>5522</v>
      </c>
      <c r="L470" s="630" t="s">
        <v>6022</v>
      </c>
    </row>
    <row r="471" spans="1:12" s="598" customFormat="1">
      <c r="A471" s="673">
        <v>463</v>
      </c>
      <c r="B471" s="610" t="s">
        <v>5366</v>
      </c>
      <c r="C471" s="616" t="s">
        <v>5387</v>
      </c>
      <c r="D471" s="630" t="s">
        <v>5663</v>
      </c>
      <c r="E471" s="616" t="s">
        <v>5389</v>
      </c>
      <c r="F471" s="616" t="s">
        <v>6023</v>
      </c>
      <c r="G471" s="632">
        <v>62.5</v>
      </c>
      <c r="H471" s="630"/>
      <c r="I471" s="630"/>
      <c r="J471" s="630"/>
      <c r="K471" s="619" t="s">
        <v>6024</v>
      </c>
      <c r="L471" s="630" t="s">
        <v>6025</v>
      </c>
    </row>
    <row r="472" spans="1:12" s="598" customFormat="1">
      <c r="A472" s="673">
        <v>464</v>
      </c>
      <c r="B472" s="610" t="s">
        <v>5366</v>
      </c>
      <c r="C472" s="616" t="s">
        <v>6026</v>
      </c>
      <c r="D472" s="630" t="s">
        <v>6027</v>
      </c>
      <c r="E472" s="616" t="s">
        <v>5760</v>
      </c>
      <c r="F472" s="616" t="s">
        <v>6028</v>
      </c>
      <c r="G472" s="632">
        <v>62.5</v>
      </c>
      <c r="H472" s="630" t="s">
        <v>6029</v>
      </c>
      <c r="I472" s="630" t="s">
        <v>3730</v>
      </c>
      <c r="J472" s="630" t="s">
        <v>6030</v>
      </c>
      <c r="K472" s="619"/>
      <c r="L472" s="630"/>
    </row>
    <row r="473" spans="1:12" s="598" customFormat="1">
      <c r="A473" s="673">
        <v>465</v>
      </c>
      <c r="B473" s="610" t="s">
        <v>5366</v>
      </c>
      <c r="C473" s="616" t="s">
        <v>5409</v>
      </c>
      <c r="D473" s="630" t="s">
        <v>6031</v>
      </c>
      <c r="E473" s="616" t="s">
        <v>5418</v>
      </c>
      <c r="F473" s="616" t="s">
        <v>6032</v>
      </c>
      <c r="G473" s="632">
        <v>62.5</v>
      </c>
      <c r="H473" s="630" t="s">
        <v>6033</v>
      </c>
      <c r="I473" s="630" t="s">
        <v>6034</v>
      </c>
      <c r="J473" s="630" t="s">
        <v>6035</v>
      </c>
      <c r="K473" s="619"/>
      <c r="L473" s="630"/>
    </row>
    <row r="474" spans="1:12" s="598" customFormat="1">
      <c r="A474" s="673">
        <v>466</v>
      </c>
      <c r="B474" s="610" t="s">
        <v>5366</v>
      </c>
      <c r="C474" s="616" t="s">
        <v>6036</v>
      </c>
      <c r="D474" s="630" t="s">
        <v>6037</v>
      </c>
      <c r="E474" s="616" t="s">
        <v>5517</v>
      </c>
      <c r="F474" s="616" t="s">
        <v>6038</v>
      </c>
      <c r="G474" s="632">
        <v>150</v>
      </c>
      <c r="H474" s="630"/>
      <c r="I474" s="630"/>
      <c r="J474" s="630"/>
      <c r="K474" s="619" t="s">
        <v>6039</v>
      </c>
      <c r="L474" s="630" t="s">
        <v>6040</v>
      </c>
    </row>
    <row r="475" spans="1:12" s="598" customFormat="1">
      <c r="A475" s="673">
        <v>467</v>
      </c>
      <c r="B475" s="610" t="s">
        <v>5366</v>
      </c>
      <c r="C475" s="616" t="s">
        <v>5387</v>
      </c>
      <c r="D475" s="630" t="s">
        <v>5501</v>
      </c>
      <c r="E475" s="616" t="s">
        <v>5411</v>
      </c>
      <c r="F475" s="616" t="s">
        <v>5502</v>
      </c>
      <c r="G475" s="632">
        <v>150</v>
      </c>
      <c r="H475" s="630"/>
      <c r="I475" s="630"/>
      <c r="J475" s="630"/>
      <c r="K475" s="619" t="s">
        <v>5503</v>
      </c>
      <c r="L475" s="630" t="s">
        <v>6041</v>
      </c>
    </row>
    <row r="476" spans="1:12" s="598" customFormat="1">
      <c r="A476" s="673">
        <v>468</v>
      </c>
      <c r="B476" s="610" t="s">
        <v>5366</v>
      </c>
      <c r="C476" s="616" t="s">
        <v>5409</v>
      </c>
      <c r="D476" s="630" t="s">
        <v>5476</v>
      </c>
      <c r="E476" s="616" t="s">
        <v>5389</v>
      </c>
      <c r="F476" s="616" t="s">
        <v>6042</v>
      </c>
      <c r="G476" s="632">
        <v>150</v>
      </c>
      <c r="H476" s="630"/>
      <c r="I476" s="630"/>
      <c r="J476" s="630"/>
      <c r="K476" s="619" t="s">
        <v>6043</v>
      </c>
      <c r="L476" s="630" t="s">
        <v>6044</v>
      </c>
    </row>
    <row r="477" spans="1:12" s="598" customFormat="1">
      <c r="A477" s="673">
        <v>469</v>
      </c>
      <c r="B477" s="610" t="s">
        <v>5366</v>
      </c>
      <c r="C477" s="616" t="s">
        <v>5409</v>
      </c>
      <c r="D477" s="630" t="s">
        <v>6045</v>
      </c>
      <c r="E477" s="616" t="s">
        <v>5581</v>
      </c>
      <c r="F477" s="616" t="s">
        <v>6046</v>
      </c>
      <c r="G477" s="632">
        <v>150</v>
      </c>
      <c r="H477" s="630"/>
      <c r="I477" s="630"/>
      <c r="J477" s="630"/>
      <c r="K477" s="619" t="s">
        <v>6047</v>
      </c>
      <c r="L477" s="630" t="s">
        <v>6048</v>
      </c>
    </row>
    <row r="478" spans="1:12" s="598" customFormat="1">
      <c r="A478" s="673">
        <v>470</v>
      </c>
      <c r="B478" s="610" t="s">
        <v>5366</v>
      </c>
      <c r="C478" s="616" t="s">
        <v>5378</v>
      </c>
      <c r="D478" s="630" t="s">
        <v>5666</v>
      </c>
      <c r="E478" s="616" t="s">
        <v>5403</v>
      </c>
      <c r="F478" s="616" t="s">
        <v>6049</v>
      </c>
      <c r="G478" s="632">
        <v>137.5</v>
      </c>
      <c r="H478" s="630"/>
      <c r="I478" s="630"/>
      <c r="J478" s="630"/>
      <c r="K478" s="619" t="s">
        <v>6050</v>
      </c>
      <c r="L478" s="630" t="s">
        <v>6051</v>
      </c>
    </row>
    <row r="479" spans="1:12" s="598" customFormat="1">
      <c r="A479" s="673">
        <v>471</v>
      </c>
      <c r="B479" s="610" t="s">
        <v>5366</v>
      </c>
      <c r="C479" s="616" t="s">
        <v>5378</v>
      </c>
      <c r="D479" s="630" t="s">
        <v>5666</v>
      </c>
      <c r="E479" s="616" t="s">
        <v>5403</v>
      </c>
      <c r="F479" s="616" t="s">
        <v>6052</v>
      </c>
      <c r="G479" s="632">
        <v>187.5</v>
      </c>
      <c r="H479" s="630"/>
      <c r="I479" s="630"/>
      <c r="J479" s="630"/>
      <c r="K479" s="619" t="s">
        <v>6053</v>
      </c>
      <c r="L479" s="630" t="s">
        <v>6054</v>
      </c>
    </row>
    <row r="480" spans="1:12" s="598" customFormat="1">
      <c r="A480" s="673">
        <v>472</v>
      </c>
      <c r="B480" s="610" t="s">
        <v>5366</v>
      </c>
      <c r="C480" s="616" t="s">
        <v>5378</v>
      </c>
      <c r="D480" s="630" t="s">
        <v>6055</v>
      </c>
      <c r="E480" s="616" t="s">
        <v>5389</v>
      </c>
      <c r="F480" s="616" t="s">
        <v>6056</v>
      </c>
      <c r="G480" s="632">
        <v>137.5</v>
      </c>
      <c r="H480" s="630"/>
      <c r="I480" s="630"/>
      <c r="J480" s="630"/>
      <c r="K480" s="619" t="s">
        <v>6057</v>
      </c>
      <c r="L480" s="630" t="s">
        <v>6058</v>
      </c>
    </row>
    <row r="481" spans="1:12" s="598" customFormat="1">
      <c r="A481" s="673">
        <v>473</v>
      </c>
      <c r="B481" s="610" t="s">
        <v>5366</v>
      </c>
      <c r="C481" s="616" t="s">
        <v>6059</v>
      </c>
      <c r="D481" s="630" t="s">
        <v>6060</v>
      </c>
      <c r="E481" s="616" t="s">
        <v>5392</v>
      </c>
      <c r="F481" s="616" t="s">
        <v>6061</v>
      </c>
      <c r="G481" s="632">
        <v>50</v>
      </c>
      <c r="H481" s="630"/>
      <c r="I481" s="630"/>
      <c r="J481" s="630"/>
      <c r="K481" s="619">
        <v>53001023115</v>
      </c>
      <c r="L481" s="630" t="s">
        <v>6062</v>
      </c>
    </row>
    <row r="482" spans="1:12" s="598" customFormat="1">
      <c r="A482" s="673">
        <v>474</v>
      </c>
      <c r="B482" s="610" t="s">
        <v>5366</v>
      </c>
      <c r="C482" s="616" t="s">
        <v>6059</v>
      </c>
      <c r="D482" s="630" t="s">
        <v>6060</v>
      </c>
      <c r="E482" s="616" t="s">
        <v>5599</v>
      </c>
      <c r="F482" s="616" t="s">
        <v>6063</v>
      </c>
      <c r="G482" s="632">
        <v>50</v>
      </c>
      <c r="H482" s="630"/>
      <c r="I482" s="630"/>
      <c r="J482" s="630"/>
      <c r="K482" s="619">
        <v>53001013336</v>
      </c>
      <c r="L482" s="630" t="s">
        <v>6064</v>
      </c>
    </row>
    <row r="483" spans="1:12" s="598" customFormat="1">
      <c r="A483" s="673">
        <v>475</v>
      </c>
      <c r="B483" s="610" t="s">
        <v>5366</v>
      </c>
      <c r="C483" s="616" t="s">
        <v>6065</v>
      </c>
      <c r="D483" s="630" t="s">
        <v>6066</v>
      </c>
      <c r="E483" s="616" t="s">
        <v>5507</v>
      </c>
      <c r="F483" s="616" t="s">
        <v>6067</v>
      </c>
      <c r="G483" s="632">
        <v>50</v>
      </c>
      <c r="H483" s="630"/>
      <c r="I483" s="630"/>
      <c r="J483" s="630"/>
      <c r="K483" s="619">
        <v>53001003504</v>
      </c>
      <c r="L483" s="630" t="s">
        <v>6068</v>
      </c>
    </row>
    <row r="484" spans="1:12" s="598" customFormat="1">
      <c r="A484" s="673">
        <v>476</v>
      </c>
      <c r="B484" s="610" t="s">
        <v>5366</v>
      </c>
      <c r="C484" s="616" t="s">
        <v>6065</v>
      </c>
      <c r="D484" s="630" t="s">
        <v>6066</v>
      </c>
      <c r="E484" s="616" t="s">
        <v>5397</v>
      </c>
      <c r="F484" s="616" t="s">
        <v>6069</v>
      </c>
      <c r="G484" s="632">
        <v>50</v>
      </c>
      <c r="H484" s="630"/>
      <c r="I484" s="630"/>
      <c r="J484" s="630"/>
      <c r="K484" s="619">
        <v>53001008287</v>
      </c>
      <c r="L484" s="630" t="s">
        <v>6070</v>
      </c>
    </row>
    <row r="485" spans="1:12" s="598" customFormat="1">
      <c r="A485" s="673">
        <v>477</v>
      </c>
      <c r="B485" s="610" t="s">
        <v>5366</v>
      </c>
      <c r="C485" s="616" t="s">
        <v>5378</v>
      </c>
      <c r="D485" s="630" t="s">
        <v>5467</v>
      </c>
      <c r="E485" s="616" t="s">
        <v>5517</v>
      </c>
      <c r="F485" s="616" t="s">
        <v>6071</v>
      </c>
      <c r="G485" s="632">
        <v>150</v>
      </c>
      <c r="H485" s="630"/>
      <c r="I485" s="630"/>
      <c r="J485" s="630"/>
      <c r="K485" s="619" t="s">
        <v>6072</v>
      </c>
      <c r="L485" s="630" t="s">
        <v>6073</v>
      </c>
    </row>
    <row r="486" spans="1:12" s="598" customFormat="1">
      <c r="A486" s="673">
        <v>478</v>
      </c>
      <c r="B486" s="610" t="s">
        <v>5366</v>
      </c>
      <c r="C486" s="616" t="s">
        <v>5378</v>
      </c>
      <c r="D486" s="630" t="s">
        <v>6074</v>
      </c>
      <c r="E486" s="616" t="s">
        <v>5411</v>
      </c>
      <c r="F486" s="616" t="s">
        <v>6075</v>
      </c>
      <c r="G486" s="632">
        <v>150</v>
      </c>
      <c r="H486" s="630"/>
      <c r="I486" s="630"/>
      <c r="J486" s="630"/>
      <c r="K486" s="619" t="s">
        <v>6076</v>
      </c>
      <c r="L486" s="630" t="s">
        <v>6077</v>
      </c>
    </row>
    <row r="487" spans="1:12" s="598" customFormat="1">
      <c r="A487" s="673">
        <v>479</v>
      </c>
      <c r="B487" s="610" t="s">
        <v>5366</v>
      </c>
      <c r="C487" s="616" t="s">
        <v>5378</v>
      </c>
      <c r="D487" s="630" t="s">
        <v>6078</v>
      </c>
      <c r="E487" s="616" t="s">
        <v>5389</v>
      </c>
      <c r="F487" s="616" t="s">
        <v>6079</v>
      </c>
      <c r="G487" s="632">
        <v>150</v>
      </c>
      <c r="H487" s="630" t="s">
        <v>6080</v>
      </c>
      <c r="I487" s="630" t="s">
        <v>6081</v>
      </c>
      <c r="J487" s="630" t="s">
        <v>6082</v>
      </c>
      <c r="K487" s="619"/>
      <c r="L487" s="630"/>
    </row>
    <row r="488" spans="1:12" s="598" customFormat="1">
      <c r="A488" s="673">
        <v>480</v>
      </c>
      <c r="B488" s="610" t="s">
        <v>5366</v>
      </c>
      <c r="C488" s="616" t="s">
        <v>5378</v>
      </c>
      <c r="D488" s="630" t="s">
        <v>5506</v>
      </c>
      <c r="E488" s="616" t="s">
        <v>5507</v>
      </c>
      <c r="F488" s="616" t="s">
        <v>6083</v>
      </c>
      <c r="G488" s="632">
        <v>175</v>
      </c>
      <c r="H488" s="630" t="s">
        <v>6084</v>
      </c>
      <c r="I488" s="630" t="s">
        <v>6085</v>
      </c>
      <c r="J488" s="630" t="s">
        <v>6086</v>
      </c>
      <c r="K488" s="619"/>
      <c r="L488" s="630"/>
    </row>
    <row r="489" spans="1:12" s="598" customFormat="1">
      <c r="A489" s="673">
        <v>481</v>
      </c>
      <c r="B489" s="610" t="s">
        <v>5366</v>
      </c>
      <c r="C489" s="616" t="s">
        <v>5387</v>
      </c>
      <c r="D489" s="630" t="s">
        <v>5611</v>
      </c>
      <c r="E489" s="616" t="s">
        <v>5418</v>
      </c>
      <c r="F489" s="616" t="s">
        <v>6087</v>
      </c>
      <c r="G489" s="632">
        <v>162.5</v>
      </c>
      <c r="H489" s="630"/>
      <c r="I489" s="630"/>
      <c r="J489" s="630"/>
      <c r="K489" s="619" t="s">
        <v>6088</v>
      </c>
      <c r="L489" s="630" t="s">
        <v>6089</v>
      </c>
    </row>
    <row r="490" spans="1:12" s="598" customFormat="1">
      <c r="A490" s="673">
        <v>482</v>
      </c>
      <c r="B490" s="610" t="s">
        <v>5366</v>
      </c>
      <c r="C490" s="616" t="s">
        <v>5378</v>
      </c>
      <c r="D490" s="630" t="s">
        <v>5476</v>
      </c>
      <c r="E490" s="616" t="s">
        <v>5418</v>
      </c>
      <c r="F490" s="616" t="s">
        <v>6090</v>
      </c>
      <c r="G490" s="632">
        <v>187.5</v>
      </c>
      <c r="H490" s="630"/>
      <c r="I490" s="630"/>
      <c r="J490" s="630"/>
      <c r="K490" s="619" t="s">
        <v>6091</v>
      </c>
      <c r="L490" s="630" t="s">
        <v>6092</v>
      </c>
    </row>
    <row r="491" spans="1:12" s="598" customFormat="1">
      <c r="A491" s="673">
        <v>483</v>
      </c>
      <c r="B491" s="610" t="s">
        <v>5366</v>
      </c>
      <c r="C491" s="616" t="s">
        <v>5378</v>
      </c>
      <c r="D491" s="630" t="s">
        <v>5447</v>
      </c>
      <c r="E491" s="616" t="s">
        <v>5760</v>
      </c>
      <c r="F491" s="616" t="s">
        <v>6093</v>
      </c>
      <c r="G491" s="632">
        <v>187.5</v>
      </c>
      <c r="H491" s="630" t="s">
        <v>6094</v>
      </c>
      <c r="I491" s="630" t="s">
        <v>6081</v>
      </c>
      <c r="J491" s="630" t="s">
        <v>6095</v>
      </c>
      <c r="K491" s="619"/>
      <c r="L491" s="630"/>
    </row>
    <row r="492" spans="1:12" s="598" customFormat="1">
      <c r="A492" s="673">
        <v>484</v>
      </c>
      <c r="B492" s="610" t="s">
        <v>5366</v>
      </c>
      <c r="C492" s="616" t="s">
        <v>5378</v>
      </c>
      <c r="D492" s="630" t="s">
        <v>5580</v>
      </c>
      <c r="E492" s="616" t="s">
        <v>5733</v>
      </c>
      <c r="F492" s="616" t="s">
        <v>6096</v>
      </c>
      <c r="G492" s="632">
        <v>162.5</v>
      </c>
      <c r="H492" s="630"/>
      <c r="I492" s="630"/>
      <c r="J492" s="630"/>
      <c r="K492" s="619" t="s">
        <v>6097</v>
      </c>
      <c r="L492" s="630" t="s">
        <v>6098</v>
      </c>
    </row>
    <row r="493" spans="1:12" s="598" customFormat="1">
      <c r="A493" s="673">
        <v>485</v>
      </c>
      <c r="B493" s="610" t="s">
        <v>5366</v>
      </c>
      <c r="C493" s="616" t="s">
        <v>5378</v>
      </c>
      <c r="D493" s="630" t="s">
        <v>5584</v>
      </c>
      <c r="E493" s="616" t="s">
        <v>5507</v>
      </c>
      <c r="F493" s="616" t="s">
        <v>6099</v>
      </c>
      <c r="G493" s="632">
        <v>175</v>
      </c>
      <c r="H493" s="630" t="s">
        <v>6100</v>
      </c>
      <c r="I493" s="630" t="s">
        <v>3877</v>
      </c>
      <c r="J493" s="630" t="s">
        <v>6086</v>
      </c>
      <c r="K493" s="619"/>
      <c r="L493" s="630"/>
    </row>
    <row r="494" spans="1:12" s="598" customFormat="1">
      <c r="A494" s="673">
        <v>486</v>
      </c>
      <c r="B494" s="610" t="s">
        <v>5366</v>
      </c>
      <c r="C494" s="616" t="s">
        <v>5378</v>
      </c>
      <c r="D494" s="630" t="s">
        <v>5467</v>
      </c>
      <c r="E494" s="616" t="s">
        <v>5517</v>
      </c>
      <c r="F494" s="616" t="s">
        <v>6101</v>
      </c>
      <c r="G494" s="632">
        <v>162.5</v>
      </c>
      <c r="H494" s="630"/>
      <c r="I494" s="630"/>
      <c r="J494" s="630"/>
      <c r="K494" s="619" t="s">
        <v>5519</v>
      </c>
      <c r="L494" s="630" t="s">
        <v>6102</v>
      </c>
    </row>
    <row r="495" spans="1:12" s="598" customFormat="1">
      <c r="A495" s="673">
        <v>487</v>
      </c>
      <c r="B495" s="610" t="s">
        <v>5366</v>
      </c>
      <c r="C495" s="616" t="s">
        <v>5387</v>
      </c>
      <c r="D495" s="630" t="s">
        <v>6103</v>
      </c>
      <c r="E495" s="616" t="s">
        <v>5389</v>
      </c>
      <c r="F495" s="616" t="s">
        <v>6104</v>
      </c>
      <c r="G495" s="632">
        <v>175</v>
      </c>
      <c r="H495" s="630" t="s">
        <v>6105</v>
      </c>
      <c r="I495" s="630" t="s">
        <v>6106</v>
      </c>
      <c r="J495" s="630" t="s">
        <v>6107</v>
      </c>
      <c r="K495" s="619"/>
      <c r="L495" s="630"/>
    </row>
    <row r="496" spans="1:12" s="598" customFormat="1" ht="30">
      <c r="A496" s="673">
        <v>488</v>
      </c>
      <c r="B496" s="610" t="s">
        <v>5366</v>
      </c>
      <c r="C496" s="616" t="s">
        <v>5387</v>
      </c>
      <c r="D496" s="630" t="s">
        <v>5407</v>
      </c>
      <c r="E496" s="616" t="s">
        <v>5599</v>
      </c>
      <c r="F496" s="616" t="s">
        <v>6108</v>
      </c>
      <c r="G496" s="632">
        <v>100</v>
      </c>
      <c r="H496" s="630"/>
      <c r="I496" s="630"/>
      <c r="J496" s="630"/>
      <c r="K496" s="619" t="s">
        <v>6109</v>
      </c>
      <c r="L496" s="630" t="s">
        <v>6110</v>
      </c>
    </row>
    <row r="497" spans="1:12" s="598" customFormat="1">
      <c r="A497" s="673">
        <v>489</v>
      </c>
      <c r="B497" s="610" t="s">
        <v>5366</v>
      </c>
      <c r="C497" s="616" t="s">
        <v>5387</v>
      </c>
      <c r="D497" s="630" t="s">
        <v>5613</v>
      </c>
      <c r="E497" s="616" t="s">
        <v>5507</v>
      </c>
      <c r="F497" s="616" t="s">
        <v>6111</v>
      </c>
      <c r="G497" s="632">
        <v>100</v>
      </c>
      <c r="H497" s="630"/>
      <c r="I497" s="630"/>
      <c r="J497" s="630"/>
      <c r="K497" s="619" t="s">
        <v>6112</v>
      </c>
      <c r="L497" s="630" t="s">
        <v>6113</v>
      </c>
    </row>
    <row r="498" spans="1:12" s="598" customFormat="1">
      <c r="A498" s="673">
        <v>490</v>
      </c>
      <c r="B498" s="610" t="s">
        <v>5366</v>
      </c>
      <c r="C498" s="616" t="s">
        <v>5505</v>
      </c>
      <c r="D498" s="630" t="s">
        <v>5506</v>
      </c>
      <c r="E498" s="616" t="s">
        <v>5507</v>
      </c>
      <c r="F498" s="616" t="s">
        <v>6114</v>
      </c>
      <c r="G498" s="632">
        <v>125</v>
      </c>
      <c r="H498" s="630"/>
      <c r="I498" s="630"/>
      <c r="J498" s="630"/>
      <c r="K498" s="619" t="s">
        <v>5509</v>
      </c>
      <c r="L498" s="630" t="s">
        <v>6115</v>
      </c>
    </row>
    <row r="499" spans="1:12" s="598" customFormat="1">
      <c r="A499" s="673">
        <v>491</v>
      </c>
      <c r="B499" s="610" t="s">
        <v>5366</v>
      </c>
      <c r="C499" s="616" t="s">
        <v>5505</v>
      </c>
      <c r="D499" s="630" t="s">
        <v>6116</v>
      </c>
      <c r="E499" s="616" t="s">
        <v>5507</v>
      </c>
      <c r="F499" s="616" t="s">
        <v>6117</v>
      </c>
      <c r="G499" s="632">
        <v>125</v>
      </c>
      <c r="H499" s="630"/>
      <c r="I499" s="630"/>
      <c r="J499" s="630"/>
      <c r="K499" s="619" t="s">
        <v>6118</v>
      </c>
      <c r="L499" s="630" t="s">
        <v>6119</v>
      </c>
    </row>
    <row r="500" spans="1:12" s="598" customFormat="1">
      <c r="A500" s="673">
        <v>492</v>
      </c>
      <c r="B500" s="610" t="s">
        <v>5366</v>
      </c>
      <c r="C500" s="616" t="s">
        <v>5505</v>
      </c>
      <c r="D500" s="630" t="s">
        <v>6120</v>
      </c>
      <c r="E500" s="616" t="s">
        <v>5599</v>
      </c>
      <c r="F500" s="616" t="s">
        <v>6121</v>
      </c>
      <c r="G500" s="632">
        <v>125</v>
      </c>
      <c r="H500" s="630"/>
      <c r="I500" s="630"/>
      <c r="J500" s="630"/>
      <c r="K500" s="619" t="s">
        <v>6122</v>
      </c>
      <c r="L500" s="630" t="s">
        <v>6123</v>
      </c>
    </row>
    <row r="501" spans="1:12" s="598" customFormat="1">
      <c r="A501" s="673">
        <v>493</v>
      </c>
      <c r="B501" s="610" t="s">
        <v>5366</v>
      </c>
      <c r="C501" s="616" t="s">
        <v>5505</v>
      </c>
      <c r="D501" s="630" t="s">
        <v>5463</v>
      </c>
      <c r="E501" s="616" t="s">
        <v>5392</v>
      </c>
      <c r="F501" s="616" t="s">
        <v>6124</v>
      </c>
      <c r="G501" s="632">
        <v>125</v>
      </c>
      <c r="H501" s="630"/>
      <c r="I501" s="630"/>
      <c r="J501" s="630"/>
      <c r="K501" s="619" t="s">
        <v>6125</v>
      </c>
      <c r="L501" s="630" t="s">
        <v>6126</v>
      </c>
    </row>
    <row r="502" spans="1:12" s="598" customFormat="1">
      <c r="A502" s="673">
        <v>494</v>
      </c>
      <c r="B502" s="610" t="s">
        <v>5366</v>
      </c>
      <c r="C502" s="616" t="s">
        <v>5409</v>
      </c>
      <c r="D502" s="630" t="s">
        <v>5496</v>
      </c>
      <c r="E502" s="616" t="s">
        <v>5497</v>
      </c>
      <c r="F502" s="616" t="s">
        <v>5498</v>
      </c>
      <c r="G502" s="632">
        <v>87.5</v>
      </c>
      <c r="H502" s="630"/>
      <c r="I502" s="630"/>
      <c r="J502" s="630"/>
      <c r="K502" s="619" t="s">
        <v>5499</v>
      </c>
      <c r="L502" s="630" t="s">
        <v>6127</v>
      </c>
    </row>
    <row r="503" spans="1:12" s="598" customFormat="1">
      <c r="A503" s="673">
        <v>495</v>
      </c>
      <c r="B503" s="610" t="s">
        <v>6128</v>
      </c>
      <c r="C503" s="616" t="s">
        <v>5409</v>
      </c>
      <c r="D503" s="630" t="s">
        <v>6129</v>
      </c>
      <c r="E503" s="616" t="s">
        <v>5380</v>
      </c>
      <c r="F503" s="616" t="s">
        <v>6130</v>
      </c>
      <c r="G503" s="632">
        <v>75</v>
      </c>
      <c r="H503" s="630"/>
      <c r="I503" s="630"/>
      <c r="J503" s="630"/>
      <c r="K503" s="619" t="s">
        <v>6131</v>
      </c>
      <c r="L503" s="630" t="s">
        <v>6132</v>
      </c>
    </row>
    <row r="504" spans="1:12" s="598" customFormat="1">
      <c r="A504" s="673">
        <v>496</v>
      </c>
      <c r="B504" s="610" t="s">
        <v>6128</v>
      </c>
      <c r="C504" s="616" t="s">
        <v>5409</v>
      </c>
      <c r="D504" s="630" t="s">
        <v>6133</v>
      </c>
      <c r="E504" s="616" t="s">
        <v>5385</v>
      </c>
      <c r="F504" s="616" t="s">
        <v>6134</v>
      </c>
      <c r="G504" s="632">
        <v>100</v>
      </c>
      <c r="H504" s="630" t="s">
        <v>6135</v>
      </c>
      <c r="I504" s="630" t="s">
        <v>6136</v>
      </c>
      <c r="J504" s="630" t="s">
        <v>6137</v>
      </c>
      <c r="K504" s="619"/>
      <c r="L504" s="630"/>
    </row>
    <row r="505" spans="1:12" s="598" customFormat="1">
      <c r="A505" s="673">
        <v>497</v>
      </c>
      <c r="B505" s="610" t="s">
        <v>5366</v>
      </c>
      <c r="C505" s="616" t="s">
        <v>5409</v>
      </c>
      <c r="D505" s="630" t="s">
        <v>6138</v>
      </c>
      <c r="E505" s="616" t="s">
        <v>5380</v>
      </c>
      <c r="F505" s="616" t="s">
        <v>6139</v>
      </c>
      <c r="G505" s="632">
        <v>100</v>
      </c>
      <c r="H505" s="630"/>
      <c r="I505" s="630"/>
      <c r="J505" s="630"/>
      <c r="K505" s="619" t="s">
        <v>6140</v>
      </c>
      <c r="L505" s="630" t="s">
        <v>6141</v>
      </c>
    </row>
    <row r="506" spans="1:12" s="598" customFormat="1">
      <c r="A506" s="673">
        <v>498</v>
      </c>
      <c r="B506" s="610" t="s">
        <v>5366</v>
      </c>
      <c r="C506" s="616" t="s">
        <v>6142</v>
      </c>
      <c r="D506" s="616" t="s">
        <v>6143</v>
      </c>
      <c r="E506" s="616" t="s">
        <v>6144</v>
      </c>
      <c r="F506" s="616" t="s">
        <v>6145</v>
      </c>
      <c r="G506" s="629">
        <v>600</v>
      </c>
      <c r="H506" s="619"/>
      <c r="I506" s="614"/>
      <c r="J506" s="613"/>
      <c r="K506" s="780">
        <v>404411837</v>
      </c>
      <c r="L506" s="780" t="s">
        <v>6146</v>
      </c>
    </row>
    <row r="507" spans="1:12" s="598" customFormat="1">
      <c r="A507" s="673">
        <v>499</v>
      </c>
      <c r="B507" s="610" t="s">
        <v>5366</v>
      </c>
      <c r="C507" s="616" t="s">
        <v>6142</v>
      </c>
      <c r="D507" s="616" t="s">
        <v>6143</v>
      </c>
      <c r="E507" s="616" t="s">
        <v>6144</v>
      </c>
      <c r="F507" s="616" t="s">
        <v>6147</v>
      </c>
      <c r="G507" s="629">
        <v>600</v>
      </c>
      <c r="H507" s="619"/>
      <c r="I507" s="614"/>
      <c r="J507" s="613"/>
      <c r="K507" s="789"/>
      <c r="L507" s="789"/>
    </row>
    <row r="508" spans="1:12" s="598" customFormat="1">
      <c r="A508" s="673">
        <v>500</v>
      </c>
      <c r="B508" s="610" t="s">
        <v>5366</v>
      </c>
      <c r="C508" s="616" t="s">
        <v>6142</v>
      </c>
      <c r="D508" s="616" t="s">
        <v>6143</v>
      </c>
      <c r="E508" s="616" t="s">
        <v>6144</v>
      </c>
      <c r="F508" s="616" t="s">
        <v>6148</v>
      </c>
      <c r="G508" s="629">
        <v>600</v>
      </c>
      <c r="H508" s="619"/>
      <c r="I508" s="614"/>
      <c r="J508" s="613"/>
      <c r="K508" s="781"/>
      <c r="L508" s="781"/>
    </row>
    <row r="509" spans="1:12" s="598" customFormat="1">
      <c r="A509" s="673">
        <v>501</v>
      </c>
      <c r="B509" s="610" t="s">
        <v>5366</v>
      </c>
      <c r="C509" s="616" t="s">
        <v>5378</v>
      </c>
      <c r="D509" s="631" t="s">
        <v>6149</v>
      </c>
      <c r="E509" s="610">
        <v>2006</v>
      </c>
      <c r="F509" s="610" t="s">
        <v>6150</v>
      </c>
      <c r="G509" s="610">
        <v>200</v>
      </c>
      <c r="H509" s="611"/>
      <c r="I509" s="613"/>
      <c r="J509" s="613"/>
      <c r="K509" s="637" t="s">
        <v>6151</v>
      </c>
      <c r="L509" s="611" t="s">
        <v>6152</v>
      </c>
    </row>
    <row r="510" spans="1:12" s="598" customFormat="1">
      <c r="A510" s="673">
        <v>502</v>
      </c>
      <c r="B510" s="610" t="s">
        <v>5366</v>
      </c>
      <c r="C510" s="616" t="s">
        <v>5378</v>
      </c>
      <c r="D510" s="631" t="s">
        <v>6153</v>
      </c>
      <c r="E510" s="610">
        <v>2007</v>
      </c>
      <c r="F510" s="610" t="s">
        <v>6154</v>
      </c>
      <c r="G510" s="610">
        <v>200</v>
      </c>
      <c r="H510" s="611"/>
      <c r="I510" s="613"/>
      <c r="J510" s="613"/>
      <c r="K510" s="637" t="s">
        <v>6155</v>
      </c>
      <c r="L510" s="611" t="s">
        <v>6156</v>
      </c>
    </row>
    <row r="511" spans="1:12" s="598" customFormat="1">
      <c r="A511" s="673">
        <v>503</v>
      </c>
      <c r="B511" s="610" t="s">
        <v>5366</v>
      </c>
      <c r="C511" s="616" t="s">
        <v>5378</v>
      </c>
      <c r="D511" s="631" t="s">
        <v>6149</v>
      </c>
      <c r="E511" s="610">
        <v>2006</v>
      </c>
      <c r="F511" s="610" t="s">
        <v>6157</v>
      </c>
      <c r="G511" s="610">
        <v>200</v>
      </c>
      <c r="H511" s="611"/>
      <c r="I511" s="613"/>
      <c r="J511" s="613"/>
      <c r="K511" s="637" t="s">
        <v>6158</v>
      </c>
      <c r="L511" s="611" t="s">
        <v>6159</v>
      </c>
    </row>
    <row r="512" spans="1:12" s="598" customFormat="1">
      <c r="A512" s="673">
        <v>504</v>
      </c>
      <c r="B512" s="610" t="s">
        <v>5366</v>
      </c>
      <c r="C512" s="616" t="s">
        <v>5378</v>
      </c>
      <c r="D512" s="631" t="s">
        <v>6153</v>
      </c>
      <c r="E512" s="610">
        <v>2007</v>
      </c>
      <c r="F512" s="610" t="s">
        <v>6160</v>
      </c>
      <c r="G512" s="610">
        <v>200</v>
      </c>
      <c r="H512" s="611"/>
      <c r="I512" s="613"/>
      <c r="J512" s="613"/>
      <c r="K512" s="637" t="s">
        <v>6161</v>
      </c>
      <c r="L512" s="611" t="s">
        <v>6162</v>
      </c>
    </row>
    <row r="513" spans="1:13" s="598" customFormat="1">
      <c r="A513" s="673">
        <v>505</v>
      </c>
      <c r="B513" s="610" t="s">
        <v>5366</v>
      </c>
      <c r="C513" s="616" t="s">
        <v>5378</v>
      </c>
      <c r="D513" s="631" t="s">
        <v>6163</v>
      </c>
      <c r="E513" s="610">
        <v>2006</v>
      </c>
      <c r="F513" s="610" t="s">
        <v>6164</v>
      </c>
      <c r="G513" s="610">
        <v>200</v>
      </c>
      <c r="H513" s="611"/>
      <c r="I513" s="613"/>
      <c r="J513" s="613"/>
      <c r="K513" s="637" t="s">
        <v>6165</v>
      </c>
      <c r="L513" s="611" t="s">
        <v>6166</v>
      </c>
    </row>
    <row r="514" spans="1:13" s="598" customFormat="1">
      <c r="A514" s="673">
        <v>506</v>
      </c>
      <c r="B514" s="610" t="s">
        <v>5366</v>
      </c>
      <c r="C514" s="616" t="s">
        <v>5378</v>
      </c>
      <c r="D514" s="631" t="s">
        <v>6149</v>
      </c>
      <c r="E514" s="610">
        <v>2008</v>
      </c>
      <c r="F514" s="610" t="s">
        <v>6167</v>
      </c>
      <c r="G514" s="610">
        <v>200</v>
      </c>
      <c r="H514" s="611"/>
      <c r="I514" s="613"/>
      <c r="J514" s="613"/>
      <c r="K514" s="614">
        <v>20001036115</v>
      </c>
      <c r="L514" s="611" t="s">
        <v>6168</v>
      </c>
    </row>
    <row r="515" spans="1:13" s="598" customFormat="1">
      <c r="A515" s="673">
        <v>507</v>
      </c>
      <c r="B515" s="609" t="s">
        <v>5366</v>
      </c>
      <c r="C515" s="638" t="s">
        <v>6169</v>
      </c>
      <c r="D515" s="638" t="s">
        <v>6170</v>
      </c>
      <c r="E515" s="638" t="s">
        <v>5411</v>
      </c>
      <c r="F515" s="638" t="s">
        <v>6171</v>
      </c>
      <c r="G515" s="639">
        <v>125</v>
      </c>
      <c r="H515" s="640"/>
      <c r="I515" s="641"/>
      <c r="J515" s="642"/>
      <c r="K515" s="641" t="s">
        <v>6172</v>
      </c>
      <c r="L515" s="641" t="s">
        <v>6173</v>
      </c>
      <c r="M515" s="598" t="s">
        <v>3845</v>
      </c>
    </row>
    <row r="516" spans="1:13" s="598" customFormat="1">
      <c r="A516" s="673">
        <v>508</v>
      </c>
      <c r="B516" s="609" t="s">
        <v>5366</v>
      </c>
      <c r="C516" s="638" t="s">
        <v>6169</v>
      </c>
      <c r="D516" s="638" t="s">
        <v>6078</v>
      </c>
      <c r="E516" s="638">
        <v>1996</v>
      </c>
      <c r="F516" s="638" t="s">
        <v>6174</v>
      </c>
      <c r="G516" s="639">
        <v>125</v>
      </c>
      <c r="H516" s="641" t="s">
        <v>6175</v>
      </c>
      <c r="I516" s="641" t="s">
        <v>6176</v>
      </c>
      <c r="J516" s="642" t="s">
        <v>6177</v>
      </c>
      <c r="K516" s="641"/>
      <c r="L516" s="641"/>
    </row>
    <row r="517" spans="1:13" s="598" customFormat="1">
      <c r="A517" s="673">
        <v>509</v>
      </c>
      <c r="B517" s="609" t="s">
        <v>5366</v>
      </c>
      <c r="C517" s="638" t="s">
        <v>5527</v>
      </c>
      <c r="D517" s="638" t="s">
        <v>5528</v>
      </c>
      <c r="E517" s="638" t="s">
        <v>5529</v>
      </c>
      <c r="F517" s="638" t="s">
        <v>5530</v>
      </c>
      <c r="G517" s="639">
        <v>125</v>
      </c>
      <c r="H517" s="640"/>
      <c r="I517" s="641"/>
      <c r="J517" s="642"/>
      <c r="K517" s="641" t="s">
        <v>6178</v>
      </c>
      <c r="L517" s="641" t="s">
        <v>6179</v>
      </c>
    </row>
    <row r="518" spans="1:13" s="598" customFormat="1">
      <c r="A518" s="673">
        <v>510</v>
      </c>
      <c r="B518" s="609" t="s">
        <v>5366</v>
      </c>
      <c r="C518" s="638" t="s">
        <v>6169</v>
      </c>
      <c r="D518" s="638" t="s">
        <v>5415</v>
      </c>
      <c r="E518" s="638" t="s">
        <v>5497</v>
      </c>
      <c r="F518" s="638" t="s">
        <v>6180</v>
      </c>
      <c r="G518" s="639">
        <v>125</v>
      </c>
      <c r="H518" s="641" t="s">
        <v>6181</v>
      </c>
      <c r="I518" s="641" t="s">
        <v>6182</v>
      </c>
      <c r="J518" s="642" t="s">
        <v>6183</v>
      </c>
      <c r="K518" s="641"/>
      <c r="L518" s="641"/>
    </row>
    <row r="519" spans="1:13" s="598" customFormat="1">
      <c r="A519" s="673">
        <v>511</v>
      </c>
      <c r="B519" s="609" t="s">
        <v>5366</v>
      </c>
      <c r="C519" s="638" t="s">
        <v>5409</v>
      </c>
      <c r="D519" s="638" t="s">
        <v>6184</v>
      </c>
      <c r="E519" s="638" t="s">
        <v>5392</v>
      </c>
      <c r="F519" s="638" t="s">
        <v>6185</v>
      </c>
      <c r="G519" s="639">
        <v>100</v>
      </c>
      <c r="H519" s="640"/>
      <c r="I519" s="641"/>
      <c r="J519" s="642"/>
      <c r="K519" s="641" t="s">
        <v>6186</v>
      </c>
      <c r="L519" s="641" t="s">
        <v>6187</v>
      </c>
    </row>
    <row r="520" spans="1:13" s="598" customFormat="1">
      <c r="A520" s="673">
        <v>512</v>
      </c>
      <c r="B520" s="609" t="s">
        <v>5366</v>
      </c>
      <c r="C520" s="638" t="s">
        <v>5409</v>
      </c>
      <c r="D520" s="638" t="s">
        <v>5476</v>
      </c>
      <c r="E520" s="638" t="s">
        <v>5507</v>
      </c>
      <c r="F520" s="638" t="s">
        <v>6188</v>
      </c>
      <c r="G520" s="639">
        <v>100</v>
      </c>
      <c r="H520" s="640"/>
      <c r="I520" s="641"/>
      <c r="J520" s="642"/>
      <c r="K520" s="641" t="s">
        <v>6189</v>
      </c>
      <c r="L520" s="641" t="s">
        <v>6190</v>
      </c>
    </row>
    <row r="521" spans="1:13" s="598" customFormat="1">
      <c r="A521" s="673">
        <v>513</v>
      </c>
      <c r="B521" s="609" t="s">
        <v>5366</v>
      </c>
      <c r="C521" s="638" t="s">
        <v>5409</v>
      </c>
      <c r="D521" s="638" t="s">
        <v>5447</v>
      </c>
      <c r="E521" s="638" t="s">
        <v>5392</v>
      </c>
      <c r="F521" s="638" t="s">
        <v>6191</v>
      </c>
      <c r="G521" s="639">
        <v>100</v>
      </c>
      <c r="H521" s="640"/>
      <c r="I521" s="641"/>
      <c r="J521" s="642"/>
      <c r="K521" s="641" t="s">
        <v>6192</v>
      </c>
      <c r="L521" s="641" t="s">
        <v>6193</v>
      </c>
    </row>
    <row r="522" spans="1:13" s="598" customFormat="1">
      <c r="A522" s="673">
        <v>514</v>
      </c>
      <c r="B522" s="609" t="s">
        <v>5366</v>
      </c>
      <c r="C522" s="638" t="s">
        <v>5409</v>
      </c>
      <c r="D522" s="638" t="s">
        <v>6194</v>
      </c>
      <c r="E522" s="638" t="s">
        <v>5385</v>
      </c>
      <c r="F522" s="638" t="s">
        <v>6195</v>
      </c>
      <c r="G522" s="639">
        <v>100</v>
      </c>
      <c r="H522" s="640"/>
      <c r="I522" s="641"/>
      <c r="J522" s="642"/>
      <c r="K522" s="641" t="s">
        <v>6196</v>
      </c>
      <c r="L522" s="641" t="s">
        <v>6197</v>
      </c>
    </row>
    <row r="523" spans="1:13" s="598" customFormat="1">
      <c r="A523" s="673">
        <v>515</v>
      </c>
      <c r="B523" s="609" t="s">
        <v>5366</v>
      </c>
      <c r="C523" s="638" t="s">
        <v>6169</v>
      </c>
      <c r="D523" s="638" t="s">
        <v>6198</v>
      </c>
      <c r="E523" s="638" t="s">
        <v>5411</v>
      </c>
      <c r="F523" s="638" t="s">
        <v>6199</v>
      </c>
      <c r="G523" s="639">
        <v>125</v>
      </c>
      <c r="H523" s="640"/>
      <c r="I523" s="641"/>
      <c r="J523" s="642"/>
      <c r="K523" s="641" t="s">
        <v>6200</v>
      </c>
      <c r="L523" s="641" t="s">
        <v>6201</v>
      </c>
    </row>
    <row r="524" spans="1:13" s="598" customFormat="1">
      <c r="A524" s="673">
        <v>516</v>
      </c>
      <c r="B524" s="609" t="s">
        <v>5366</v>
      </c>
      <c r="C524" s="638" t="s">
        <v>6169</v>
      </c>
      <c r="D524" s="638" t="s">
        <v>6198</v>
      </c>
      <c r="E524" s="638" t="s">
        <v>5389</v>
      </c>
      <c r="F524" s="638" t="s">
        <v>6202</v>
      </c>
      <c r="G524" s="639">
        <v>125</v>
      </c>
      <c r="H524" s="640"/>
      <c r="I524" s="641"/>
      <c r="J524" s="642"/>
      <c r="K524" s="641" t="s">
        <v>6203</v>
      </c>
      <c r="L524" s="641" t="s">
        <v>6204</v>
      </c>
    </row>
    <row r="525" spans="1:13" s="598" customFormat="1">
      <c r="A525" s="673">
        <v>517</v>
      </c>
      <c r="B525" s="609" t="s">
        <v>5366</v>
      </c>
      <c r="C525" s="638" t="s">
        <v>6169</v>
      </c>
      <c r="D525" s="638" t="s">
        <v>6198</v>
      </c>
      <c r="E525" s="638" t="s">
        <v>5529</v>
      </c>
      <c r="F525" s="638" t="s">
        <v>6205</v>
      </c>
      <c r="G525" s="639">
        <v>125</v>
      </c>
      <c r="H525" s="640"/>
      <c r="I525" s="641"/>
      <c r="J525" s="642"/>
      <c r="K525" s="641" t="s">
        <v>6206</v>
      </c>
      <c r="L525" s="641" t="s">
        <v>6207</v>
      </c>
    </row>
    <row r="526" spans="1:13" s="598" customFormat="1">
      <c r="A526" s="673">
        <v>518</v>
      </c>
      <c r="B526" s="609" t="s">
        <v>5366</v>
      </c>
      <c r="C526" s="638" t="s">
        <v>6169</v>
      </c>
      <c r="D526" s="638" t="s">
        <v>5532</v>
      </c>
      <c r="E526" s="638" t="s">
        <v>5389</v>
      </c>
      <c r="F526" s="638" t="s">
        <v>6208</v>
      </c>
      <c r="G526" s="639">
        <v>125</v>
      </c>
      <c r="H526" s="640"/>
      <c r="I526" s="641"/>
      <c r="J526" s="642"/>
      <c r="K526" s="641" t="s">
        <v>5534</v>
      </c>
      <c r="L526" s="641" t="s">
        <v>6209</v>
      </c>
    </row>
    <row r="527" spans="1:13" s="598" customFormat="1">
      <c r="A527" s="673">
        <v>519</v>
      </c>
      <c r="B527" s="609" t="s">
        <v>5366</v>
      </c>
      <c r="C527" s="638" t="s">
        <v>5401</v>
      </c>
      <c r="D527" s="638">
        <v>16.29</v>
      </c>
      <c r="E527" s="638" t="s">
        <v>5733</v>
      </c>
      <c r="F527" s="638" t="s">
        <v>6210</v>
      </c>
      <c r="G527" s="639">
        <v>437.5</v>
      </c>
      <c r="H527" s="640"/>
      <c r="I527" s="641"/>
      <c r="J527" s="642"/>
      <c r="K527" s="641" t="s">
        <v>6211</v>
      </c>
      <c r="L527" s="641" t="s">
        <v>6212</v>
      </c>
    </row>
    <row r="528" spans="1:13" s="598" customFormat="1">
      <c r="A528" s="673">
        <v>520</v>
      </c>
      <c r="B528" s="609" t="s">
        <v>5366</v>
      </c>
      <c r="C528" s="638" t="s">
        <v>5409</v>
      </c>
      <c r="D528" s="638" t="s">
        <v>6163</v>
      </c>
      <c r="E528" s="638" t="s">
        <v>5599</v>
      </c>
      <c r="F528" s="638" t="s">
        <v>6213</v>
      </c>
      <c r="G528" s="639">
        <v>125</v>
      </c>
      <c r="H528" s="640"/>
      <c r="I528" s="641"/>
      <c r="J528" s="642"/>
      <c r="K528" s="641" t="s">
        <v>6214</v>
      </c>
      <c r="L528" s="641" t="s">
        <v>6215</v>
      </c>
    </row>
    <row r="529" spans="1:12" s="598" customFormat="1">
      <c r="A529" s="673">
        <v>521</v>
      </c>
      <c r="B529" s="609" t="s">
        <v>5366</v>
      </c>
      <c r="C529" s="638" t="s">
        <v>5409</v>
      </c>
      <c r="D529" s="638" t="s">
        <v>5718</v>
      </c>
      <c r="E529" s="638" t="s">
        <v>5389</v>
      </c>
      <c r="F529" s="638" t="s">
        <v>6216</v>
      </c>
      <c r="G529" s="639">
        <v>125</v>
      </c>
      <c r="H529" s="641" t="s">
        <v>6217</v>
      </c>
      <c r="I529" s="641" t="s">
        <v>3869</v>
      </c>
      <c r="J529" s="642" t="s">
        <v>6218</v>
      </c>
      <c r="K529" s="641"/>
      <c r="L529" s="641"/>
    </row>
    <row r="530" spans="1:12" s="598" customFormat="1">
      <c r="A530" s="673">
        <v>522</v>
      </c>
      <c r="B530" s="609" t="s">
        <v>5366</v>
      </c>
      <c r="C530" s="638" t="s">
        <v>6219</v>
      </c>
      <c r="D530" s="638" t="s">
        <v>6220</v>
      </c>
      <c r="E530" s="638" t="s">
        <v>5426</v>
      </c>
      <c r="F530" s="638" t="s">
        <v>6221</v>
      </c>
      <c r="G530" s="639">
        <v>75</v>
      </c>
      <c r="H530" s="640"/>
      <c r="I530" s="641"/>
      <c r="J530" s="642"/>
      <c r="K530" s="641" t="s">
        <v>6222</v>
      </c>
      <c r="L530" s="641" t="s">
        <v>6223</v>
      </c>
    </row>
    <row r="531" spans="1:12" s="598" customFormat="1">
      <c r="A531" s="673">
        <v>523</v>
      </c>
      <c r="B531" s="609" t="s">
        <v>5366</v>
      </c>
      <c r="C531" s="638" t="s">
        <v>5541</v>
      </c>
      <c r="D531" s="638" t="s">
        <v>5446</v>
      </c>
      <c r="E531" s="638" t="s">
        <v>5507</v>
      </c>
      <c r="F531" s="638" t="s">
        <v>5542</v>
      </c>
      <c r="G531" s="639">
        <v>75</v>
      </c>
      <c r="H531" s="640"/>
      <c r="I531" s="641"/>
      <c r="J531" s="642"/>
      <c r="K531" s="641" t="s">
        <v>5543</v>
      </c>
      <c r="L531" s="641" t="s">
        <v>6224</v>
      </c>
    </row>
    <row r="532" spans="1:12" s="598" customFormat="1">
      <c r="A532" s="673">
        <v>524</v>
      </c>
      <c r="B532" s="609" t="s">
        <v>5366</v>
      </c>
      <c r="C532" s="638" t="s">
        <v>6225</v>
      </c>
      <c r="D532" s="638" t="s">
        <v>5387</v>
      </c>
      <c r="E532" s="638" t="s">
        <v>5487</v>
      </c>
      <c r="F532" s="638" t="s">
        <v>6226</v>
      </c>
      <c r="G532" s="639">
        <v>75</v>
      </c>
      <c r="H532" s="640"/>
      <c r="I532" s="641"/>
      <c r="J532" s="642"/>
      <c r="K532" s="641" t="s">
        <v>6227</v>
      </c>
      <c r="L532" s="641" t="s">
        <v>6228</v>
      </c>
    </row>
    <row r="533" spans="1:12" s="598" customFormat="1">
      <c r="A533" s="673">
        <v>525</v>
      </c>
      <c r="B533" s="609" t="s">
        <v>5366</v>
      </c>
      <c r="C533" s="638" t="s">
        <v>5452</v>
      </c>
      <c r="D533" s="638" t="s">
        <v>5906</v>
      </c>
      <c r="E533" s="638" t="s">
        <v>5517</v>
      </c>
      <c r="F533" s="638" t="s">
        <v>6229</v>
      </c>
      <c r="G533" s="639">
        <v>75</v>
      </c>
      <c r="H533" s="640"/>
      <c r="I533" s="641"/>
      <c r="J533" s="642"/>
      <c r="K533" s="641" t="s">
        <v>6230</v>
      </c>
      <c r="L533" s="641" t="s">
        <v>6231</v>
      </c>
    </row>
    <row r="534" spans="1:12" s="598" customFormat="1">
      <c r="A534" s="673">
        <v>526</v>
      </c>
      <c r="B534" s="609" t="s">
        <v>5366</v>
      </c>
      <c r="C534" s="638" t="s">
        <v>6059</v>
      </c>
      <c r="D534" s="638" t="s">
        <v>6232</v>
      </c>
      <c r="E534" s="638" t="s">
        <v>5392</v>
      </c>
      <c r="F534" s="638" t="s">
        <v>6233</v>
      </c>
      <c r="G534" s="639">
        <v>62.5</v>
      </c>
      <c r="H534" s="640"/>
      <c r="I534" s="641"/>
      <c r="J534" s="642"/>
      <c r="K534" s="641" t="s">
        <v>6234</v>
      </c>
      <c r="L534" s="641" t="s">
        <v>6235</v>
      </c>
    </row>
    <row r="535" spans="1:12" s="598" customFormat="1">
      <c r="A535" s="673">
        <v>527</v>
      </c>
      <c r="B535" s="609" t="s">
        <v>5366</v>
      </c>
      <c r="C535" s="638" t="s">
        <v>5387</v>
      </c>
      <c r="D535" s="638" t="s">
        <v>5373</v>
      </c>
      <c r="E535" s="638" t="s">
        <v>5392</v>
      </c>
      <c r="F535" s="638" t="s">
        <v>6236</v>
      </c>
      <c r="G535" s="639">
        <v>67.5</v>
      </c>
      <c r="H535" s="640"/>
      <c r="I535" s="641"/>
      <c r="J535" s="642"/>
      <c r="K535" s="641" t="s">
        <v>6237</v>
      </c>
      <c r="L535" s="641" t="s">
        <v>6238</v>
      </c>
    </row>
    <row r="536" spans="1:12" s="598" customFormat="1">
      <c r="A536" s="673">
        <v>528</v>
      </c>
      <c r="B536" s="609" t="s">
        <v>5366</v>
      </c>
      <c r="C536" s="638" t="s">
        <v>5378</v>
      </c>
      <c r="D536" s="638" t="s">
        <v>5506</v>
      </c>
      <c r="E536" s="638" t="s">
        <v>5389</v>
      </c>
      <c r="F536" s="638" t="s">
        <v>6239</v>
      </c>
      <c r="G536" s="639">
        <v>75</v>
      </c>
      <c r="H536" s="640"/>
      <c r="I536" s="641"/>
      <c r="J536" s="642"/>
      <c r="K536" s="641" t="s">
        <v>6240</v>
      </c>
      <c r="L536" s="641" t="s">
        <v>6241</v>
      </c>
    </row>
    <row r="537" spans="1:12" s="598" customFormat="1">
      <c r="A537" s="673">
        <v>529</v>
      </c>
      <c r="B537" s="609" t="s">
        <v>5366</v>
      </c>
      <c r="C537" s="638" t="s">
        <v>5387</v>
      </c>
      <c r="D537" s="638" t="s">
        <v>6027</v>
      </c>
      <c r="E537" s="638" t="s">
        <v>5487</v>
      </c>
      <c r="F537" s="638" t="s">
        <v>6242</v>
      </c>
      <c r="G537" s="639">
        <v>75</v>
      </c>
      <c r="H537" s="640"/>
      <c r="I537" s="641"/>
      <c r="J537" s="642"/>
      <c r="K537" s="641">
        <v>58001015964</v>
      </c>
      <c r="L537" s="641" t="s">
        <v>6243</v>
      </c>
    </row>
    <row r="538" spans="1:12" s="598" customFormat="1">
      <c r="A538" s="673">
        <v>530</v>
      </c>
      <c r="B538" s="609" t="s">
        <v>5366</v>
      </c>
      <c r="C538" s="638" t="s">
        <v>5378</v>
      </c>
      <c r="D538" s="638" t="s">
        <v>5476</v>
      </c>
      <c r="E538" s="638" t="s">
        <v>5487</v>
      </c>
      <c r="F538" s="638" t="s">
        <v>6244</v>
      </c>
      <c r="G538" s="639">
        <v>75</v>
      </c>
      <c r="H538" s="641" t="s">
        <v>6245</v>
      </c>
      <c r="I538" s="641" t="s">
        <v>6246</v>
      </c>
      <c r="J538" s="642" t="s">
        <v>6247</v>
      </c>
      <c r="K538" s="641"/>
      <c r="L538" s="641"/>
    </row>
    <row r="539" spans="1:12" s="598" customFormat="1">
      <c r="A539" s="673">
        <v>531</v>
      </c>
      <c r="B539" s="609" t="s">
        <v>5366</v>
      </c>
      <c r="C539" s="638" t="s">
        <v>6248</v>
      </c>
      <c r="D539" s="638" t="s">
        <v>6249</v>
      </c>
      <c r="E539" s="638" t="s">
        <v>5411</v>
      </c>
      <c r="F539" s="638" t="s">
        <v>6250</v>
      </c>
      <c r="G539" s="801">
        <v>480</v>
      </c>
      <c r="H539" s="640"/>
      <c r="I539" s="641"/>
      <c r="J539" s="642"/>
      <c r="K539" s="798">
        <v>237111594</v>
      </c>
      <c r="L539" s="798" t="s">
        <v>6251</v>
      </c>
    </row>
    <row r="540" spans="1:12" s="598" customFormat="1">
      <c r="A540" s="673">
        <v>532</v>
      </c>
      <c r="B540" s="609" t="s">
        <v>5366</v>
      </c>
      <c r="C540" s="638" t="s">
        <v>6248</v>
      </c>
      <c r="D540" s="638" t="s">
        <v>6249</v>
      </c>
      <c r="E540" s="638" t="s">
        <v>5411</v>
      </c>
      <c r="F540" s="638" t="s">
        <v>6252</v>
      </c>
      <c r="G540" s="802"/>
      <c r="H540" s="640"/>
      <c r="I540" s="641"/>
      <c r="J540" s="642"/>
      <c r="K540" s="799"/>
      <c r="L540" s="799"/>
    </row>
    <row r="541" spans="1:12" s="598" customFormat="1">
      <c r="A541" s="673">
        <v>533</v>
      </c>
      <c r="B541" s="609" t="s">
        <v>5366</v>
      </c>
      <c r="C541" s="638" t="s">
        <v>6248</v>
      </c>
      <c r="D541" s="638" t="s">
        <v>6253</v>
      </c>
      <c r="E541" s="638" t="s">
        <v>5733</v>
      </c>
      <c r="F541" s="638" t="s">
        <v>6254</v>
      </c>
      <c r="G541" s="802"/>
      <c r="H541" s="640"/>
      <c r="I541" s="641"/>
      <c r="J541" s="642"/>
      <c r="K541" s="799"/>
      <c r="L541" s="799"/>
    </row>
    <row r="542" spans="1:12" s="598" customFormat="1">
      <c r="A542" s="673">
        <v>534</v>
      </c>
      <c r="B542" s="609" t="s">
        <v>5366</v>
      </c>
      <c r="C542" s="638" t="s">
        <v>5814</v>
      </c>
      <c r="D542" s="638" t="s">
        <v>6255</v>
      </c>
      <c r="E542" s="638" t="s">
        <v>6256</v>
      </c>
      <c r="F542" s="638" t="s">
        <v>6257</v>
      </c>
      <c r="G542" s="802"/>
      <c r="H542" s="640"/>
      <c r="I542" s="641"/>
      <c r="J542" s="642"/>
      <c r="K542" s="799"/>
      <c r="L542" s="799"/>
    </row>
    <row r="543" spans="1:12" s="598" customFormat="1">
      <c r="A543" s="673">
        <v>535</v>
      </c>
      <c r="B543" s="609" t="s">
        <v>5366</v>
      </c>
      <c r="C543" s="638" t="s">
        <v>6248</v>
      </c>
      <c r="D543" s="638" t="s">
        <v>6249</v>
      </c>
      <c r="E543" s="638">
        <v>2003</v>
      </c>
      <c r="F543" s="638" t="s">
        <v>6258</v>
      </c>
      <c r="G543" s="802"/>
      <c r="H543" s="640"/>
      <c r="I543" s="641"/>
      <c r="J543" s="642"/>
      <c r="K543" s="799"/>
      <c r="L543" s="799"/>
    </row>
    <row r="544" spans="1:12" s="598" customFormat="1">
      <c r="A544" s="673">
        <v>536</v>
      </c>
      <c r="B544" s="609" t="s">
        <v>5366</v>
      </c>
      <c r="C544" s="638" t="s">
        <v>6248</v>
      </c>
      <c r="D544" s="638" t="s">
        <v>6253</v>
      </c>
      <c r="E544" s="638" t="s">
        <v>5403</v>
      </c>
      <c r="F544" s="638" t="s">
        <v>6259</v>
      </c>
      <c r="G544" s="803"/>
      <c r="H544" s="640"/>
      <c r="I544" s="641"/>
      <c r="J544" s="642"/>
      <c r="K544" s="800"/>
      <c r="L544" s="800"/>
    </row>
    <row r="545" spans="1:12" s="598" customFormat="1">
      <c r="A545" s="673">
        <v>537</v>
      </c>
      <c r="B545" s="609" t="s">
        <v>5366</v>
      </c>
      <c r="C545" s="638" t="s">
        <v>5378</v>
      </c>
      <c r="D545" s="638" t="s">
        <v>6260</v>
      </c>
      <c r="E545" s="638" t="s">
        <v>5418</v>
      </c>
      <c r="F545" s="638" t="s">
        <v>6261</v>
      </c>
      <c r="G545" s="639">
        <v>75</v>
      </c>
      <c r="H545" s="640"/>
      <c r="I545" s="641"/>
      <c r="J545" s="642"/>
      <c r="K545" s="641" t="s">
        <v>6262</v>
      </c>
      <c r="L545" s="641" t="s">
        <v>6263</v>
      </c>
    </row>
    <row r="546" spans="1:12" s="598" customFormat="1">
      <c r="A546" s="673">
        <v>538</v>
      </c>
      <c r="B546" s="609" t="s">
        <v>5366</v>
      </c>
      <c r="C546" s="638" t="s">
        <v>5387</v>
      </c>
      <c r="D546" s="638" t="s">
        <v>5373</v>
      </c>
      <c r="E546" s="638" t="s">
        <v>5385</v>
      </c>
      <c r="F546" s="638" t="s">
        <v>6264</v>
      </c>
      <c r="G546" s="639">
        <v>75</v>
      </c>
      <c r="H546" s="640"/>
      <c r="I546" s="641"/>
      <c r="J546" s="642"/>
      <c r="K546" s="641" t="s">
        <v>6265</v>
      </c>
      <c r="L546" s="641" t="s">
        <v>6266</v>
      </c>
    </row>
    <row r="547" spans="1:12" s="598" customFormat="1">
      <c r="A547" s="673">
        <v>539</v>
      </c>
      <c r="B547" s="609" t="s">
        <v>5366</v>
      </c>
      <c r="C547" s="638" t="s">
        <v>5378</v>
      </c>
      <c r="D547" s="638" t="s">
        <v>6267</v>
      </c>
      <c r="E547" s="638" t="s">
        <v>5418</v>
      </c>
      <c r="F547" s="638" t="s">
        <v>6268</v>
      </c>
      <c r="G547" s="639">
        <v>75</v>
      </c>
      <c r="H547" s="640"/>
      <c r="I547" s="641"/>
      <c r="J547" s="642"/>
      <c r="K547" s="641" t="s">
        <v>6269</v>
      </c>
      <c r="L547" s="641" t="s">
        <v>6270</v>
      </c>
    </row>
    <row r="548" spans="1:12" s="598" customFormat="1">
      <c r="A548" s="673">
        <v>540</v>
      </c>
      <c r="B548" s="609" t="s">
        <v>5366</v>
      </c>
      <c r="C548" s="638" t="s">
        <v>5378</v>
      </c>
      <c r="D548" s="638" t="s">
        <v>6260</v>
      </c>
      <c r="E548" s="638">
        <v>1998</v>
      </c>
      <c r="F548" s="638" t="s">
        <v>6271</v>
      </c>
      <c r="G548" s="639">
        <v>82</v>
      </c>
      <c r="H548" s="640"/>
      <c r="I548" s="641"/>
      <c r="J548" s="642"/>
      <c r="K548" s="641">
        <v>26001031069</v>
      </c>
      <c r="L548" s="641" t="s">
        <v>6272</v>
      </c>
    </row>
    <row r="549" spans="1:12" s="598" customFormat="1">
      <c r="A549" s="673">
        <v>541</v>
      </c>
      <c r="B549" s="609" t="s">
        <v>5366</v>
      </c>
      <c r="C549" s="638" t="s">
        <v>6273</v>
      </c>
      <c r="D549" s="638" t="s">
        <v>5452</v>
      </c>
      <c r="E549" s="638" t="s">
        <v>5497</v>
      </c>
      <c r="F549" s="638" t="s">
        <v>6274</v>
      </c>
      <c r="G549" s="639">
        <v>100</v>
      </c>
      <c r="H549" s="640"/>
      <c r="I549" s="641"/>
      <c r="J549" s="642"/>
      <c r="K549" s="641" t="s">
        <v>6275</v>
      </c>
      <c r="L549" s="641" t="s">
        <v>6276</v>
      </c>
    </row>
    <row r="550" spans="1:12" s="598" customFormat="1">
      <c r="A550" s="673">
        <v>542</v>
      </c>
      <c r="B550" s="609" t="s">
        <v>5366</v>
      </c>
      <c r="C550" s="638" t="s">
        <v>6169</v>
      </c>
      <c r="D550" s="638" t="s">
        <v>5718</v>
      </c>
      <c r="E550" s="638" t="s">
        <v>5418</v>
      </c>
      <c r="F550" s="638" t="s">
        <v>6277</v>
      </c>
      <c r="G550" s="639">
        <v>100</v>
      </c>
      <c r="H550" s="640"/>
      <c r="I550" s="641"/>
      <c r="J550" s="642"/>
      <c r="K550" s="641" t="s">
        <v>6278</v>
      </c>
      <c r="L550" s="641" t="s">
        <v>6279</v>
      </c>
    </row>
    <row r="551" spans="1:12" s="598" customFormat="1">
      <c r="A551" s="673">
        <v>543</v>
      </c>
      <c r="B551" s="609" t="s">
        <v>5366</v>
      </c>
      <c r="C551" s="638" t="s">
        <v>5409</v>
      </c>
      <c r="D551" s="638" t="s">
        <v>6280</v>
      </c>
      <c r="E551" s="638" t="s">
        <v>5397</v>
      </c>
      <c r="F551" s="638" t="s">
        <v>5398</v>
      </c>
      <c r="G551" s="801">
        <v>1725</v>
      </c>
      <c r="H551" s="640"/>
      <c r="I551" s="641"/>
      <c r="J551" s="642"/>
      <c r="K551" s="798">
        <v>436032507</v>
      </c>
      <c r="L551" s="798" t="s">
        <v>5400</v>
      </c>
    </row>
    <row r="552" spans="1:12" s="598" customFormat="1">
      <c r="A552" s="673">
        <v>544</v>
      </c>
      <c r="B552" s="609" t="s">
        <v>6281</v>
      </c>
      <c r="C552" s="638" t="s">
        <v>5409</v>
      </c>
      <c r="D552" s="638" t="s">
        <v>5425</v>
      </c>
      <c r="E552" s="638" t="s">
        <v>5529</v>
      </c>
      <c r="F552" s="638" t="s">
        <v>6282</v>
      </c>
      <c r="G552" s="802"/>
      <c r="H552" s="640"/>
      <c r="I552" s="641"/>
      <c r="J552" s="642"/>
      <c r="K552" s="799"/>
      <c r="L552" s="799"/>
    </row>
    <row r="553" spans="1:12" s="598" customFormat="1">
      <c r="A553" s="673">
        <v>545</v>
      </c>
      <c r="B553" s="609" t="s">
        <v>5366</v>
      </c>
      <c r="C553" s="638" t="s">
        <v>5409</v>
      </c>
      <c r="D553" s="638" t="s">
        <v>6283</v>
      </c>
      <c r="E553" s="638" t="s">
        <v>5389</v>
      </c>
      <c r="F553" s="638" t="s">
        <v>6284</v>
      </c>
      <c r="G553" s="802"/>
      <c r="H553" s="640"/>
      <c r="I553" s="641"/>
      <c r="J553" s="642"/>
      <c r="K553" s="799"/>
      <c r="L553" s="799"/>
    </row>
    <row r="554" spans="1:12" s="598" customFormat="1">
      <c r="A554" s="673">
        <v>546</v>
      </c>
      <c r="B554" s="609" t="s">
        <v>5366</v>
      </c>
      <c r="C554" s="638" t="s">
        <v>5409</v>
      </c>
      <c r="D554" s="638" t="s">
        <v>6120</v>
      </c>
      <c r="E554" s="638" t="s">
        <v>5385</v>
      </c>
      <c r="F554" s="638" t="s">
        <v>6285</v>
      </c>
      <c r="G554" s="802"/>
      <c r="H554" s="640"/>
      <c r="I554" s="641"/>
      <c r="J554" s="642"/>
      <c r="K554" s="799"/>
      <c r="L554" s="799"/>
    </row>
    <row r="555" spans="1:12" s="598" customFormat="1">
      <c r="A555" s="673">
        <v>547</v>
      </c>
      <c r="B555" s="609" t="s">
        <v>5366</v>
      </c>
      <c r="C555" s="638" t="s">
        <v>5378</v>
      </c>
      <c r="D555" s="638" t="s">
        <v>6286</v>
      </c>
      <c r="E555" s="638" t="s">
        <v>5418</v>
      </c>
      <c r="F555" s="638" t="s">
        <v>6287</v>
      </c>
      <c r="G555" s="802"/>
      <c r="H555" s="640"/>
      <c r="I555" s="641"/>
      <c r="J555" s="642"/>
      <c r="K555" s="799"/>
      <c r="L555" s="799"/>
    </row>
    <row r="556" spans="1:12" s="598" customFormat="1">
      <c r="A556" s="673">
        <v>548</v>
      </c>
      <c r="B556" s="609" t="s">
        <v>5366</v>
      </c>
      <c r="C556" s="638" t="s">
        <v>5378</v>
      </c>
      <c r="D556" s="638" t="s">
        <v>5580</v>
      </c>
      <c r="E556" s="638" t="s">
        <v>5374</v>
      </c>
      <c r="F556" s="638" t="s">
        <v>6288</v>
      </c>
      <c r="G556" s="802"/>
      <c r="H556" s="640"/>
      <c r="I556" s="641"/>
      <c r="J556" s="642"/>
      <c r="K556" s="799"/>
      <c r="L556" s="799"/>
    </row>
    <row r="557" spans="1:12" s="598" customFormat="1">
      <c r="A557" s="673">
        <v>549</v>
      </c>
      <c r="B557" s="609" t="s">
        <v>5366</v>
      </c>
      <c r="C557" s="638" t="s">
        <v>5378</v>
      </c>
      <c r="D557" s="638" t="s">
        <v>5670</v>
      </c>
      <c r="E557" s="638" t="s">
        <v>5418</v>
      </c>
      <c r="F557" s="638" t="s">
        <v>6289</v>
      </c>
      <c r="G557" s="802"/>
      <c r="H557" s="640"/>
      <c r="I557" s="641"/>
      <c r="J557" s="642"/>
      <c r="K557" s="799"/>
      <c r="L557" s="799"/>
    </row>
    <row r="558" spans="1:12" s="598" customFormat="1">
      <c r="A558" s="673">
        <v>550</v>
      </c>
      <c r="B558" s="609" t="s">
        <v>5366</v>
      </c>
      <c r="C558" s="638" t="s">
        <v>5378</v>
      </c>
      <c r="D558" s="638" t="s">
        <v>5580</v>
      </c>
      <c r="E558" s="638" t="s">
        <v>5374</v>
      </c>
      <c r="F558" s="638" t="s">
        <v>6290</v>
      </c>
      <c r="G558" s="802"/>
      <c r="H558" s="640"/>
      <c r="I558" s="641"/>
      <c r="J558" s="642"/>
      <c r="K558" s="799"/>
      <c r="L558" s="799"/>
    </row>
    <row r="559" spans="1:12" s="598" customFormat="1">
      <c r="A559" s="673">
        <v>551</v>
      </c>
      <c r="B559" s="609" t="s">
        <v>5366</v>
      </c>
      <c r="C559" s="638" t="s">
        <v>5378</v>
      </c>
      <c r="D559" s="638" t="s">
        <v>5580</v>
      </c>
      <c r="E559" s="638" t="s">
        <v>5487</v>
      </c>
      <c r="F559" s="638" t="s">
        <v>6291</v>
      </c>
      <c r="G559" s="802"/>
      <c r="H559" s="640"/>
      <c r="I559" s="641"/>
      <c r="J559" s="642"/>
      <c r="K559" s="799"/>
      <c r="L559" s="799"/>
    </row>
    <row r="560" spans="1:12" s="598" customFormat="1">
      <c r="A560" s="673">
        <v>552</v>
      </c>
      <c r="B560" s="609" t="s">
        <v>5366</v>
      </c>
      <c r="C560" s="638" t="s">
        <v>5378</v>
      </c>
      <c r="D560" s="638" t="s">
        <v>5452</v>
      </c>
      <c r="E560" s="638" t="s">
        <v>5418</v>
      </c>
      <c r="F560" s="638" t="s">
        <v>6292</v>
      </c>
      <c r="G560" s="802"/>
      <c r="H560" s="640"/>
      <c r="I560" s="641"/>
      <c r="J560" s="642"/>
      <c r="K560" s="799"/>
      <c r="L560" s="799"/>
    </row>
    <row r="561" spans="1:12" s="598" customFormat="1">
      <c r="A561" s="673">
        <v>553</v>
      </c>
      <c r="B561" s="609" t="s">
        <v>5366</v>
      </c>
      <c r="C561" s="638" t="s">
        <v>5378</v>
      </c>
      <c r="D561" s="638" t="s">
        <v>5415</v>
      </c>
      <c r="E561" s="638" t="s">
        <v>5385</v>
      </c>
      <c r="F561" s="638" t="s">
        <v>6293</v>
      </c>
      <c r="G561" s="802"/>
      <c r="H561" s="640"/>
      <c r="I561" s="641"/>
      <c r="J561" s="642"/>
      <c r="K561" s="799"/>
      <c r="L561" s="799"/>
    </row>
    <row r="562" spans="1:12" s="598" customFormat="1">
      <c r="A562" s="673">
        <v>554</v>
      </c>
      <c r="B562" s="609" t="s">
        <v>5366</v>
      </c>
      <c r="C562" s="638" t="s">
        <v>5378</v>
      </c>
      <c r="D562" s="638" t="s">
        <v>5580</v>
      </c>
      <c r="E562" s="638" t="s">
        <v>5487</v>
      </c>
      <c r="F562" s="638" t="s">
        <v>6294</v>
      </c>
      <c r="G562" s="802"/>
      <c r="H562" s="640"/>
      <c r="I562" s="641"/>
      <c r="J562" s="642"/>
      <c r="K562" s="799"/>
      <c r="L562" s="799"/>
    </row>
    <row r="563" spans="1:12" s="598" customFormat="1">
      <c r="A563" s="673">
        <v>555</v>
      </c>
      <c r="B563" s="609" t="s">
        <v>5366</v>
      </c>
      <c r="C563" s="638" t="s">
        <v>5378</v>
      </c>
      <c r="D563" s="638" t="s">
        <v>5452</v>
      </c>
      <c r="E563" s="638" t="s">
        <v>5507</v>
      </c>
      <c r="F563" s="638" t="s">
        <v>6295</v>
      </c>
      <c r="G563" s="802"/>
      <c r="H563" s="640"/>
      <c r="I563" s="641"/>
      <c r="J563" s="642"/>
      <c r="K563" s="799"/>
      <c r="L563" s="799"/>
    </row>
    <row r="564" spans="1:12" s="598" customFormat="1">
      <c r="A564" s="673">
        <v>556</v>
      </c>
      <c r="B564" s="609" t="s">
        <v>5366</v>
      </c>
      <c r="C564" s="638" t="s">
        <v>5378</v>
      </c>
      <c r="D564" s="638" t="s">
        <v>5476</v>
      </c>
      <c r="E564" s="638" t="s">
        <v>5418</v>
      </c>
      <c r="F564" s="638" t="s">
        <v>6296</v>
      </c>
      <c r="G564" s="802"/>
      <c r="H564" s="640"/>
      <c r="I564" s="641"/>
      <c r="J564" s="642"/>
      <c r="K564" s="799"/>
      <c r="L564" s="799"/>
    </row>
    <row r="565" spans="1:12" s="598" customFormat="1">
      <c r="A565" s="673">
        <v>557</v>
      </c>
      <c r="B565" s="609" t="s">
        <v>5366</v>
      </c>
      <c r="C565" s="638" t="s">
        <v>5378</v>
      </c>
      <c r="D565" s="638" t="s">
        <v>5452</v>
      </c>
      <c r="E565" s="638" t="s">
        <v>5418</v>
      </c>
      <c r="F565" s="638" t="s">
        <v>6297</v>
      </c>
      <c r="G565" s="802"/>
      <c r="H565" s="640"/>
      <c r="I565" s="641"/>
      <c r="J565" s="642"/>
      <c r="K565" s="799"/>
      <c r="L565" s="799"/>
    </row>
    <row r="566" spans="1:12" s="598" customFormat="1">
      <c r="A566" s="673">
        <v>558</v>
      </c>
      <c r="B566" s="609" t="s">
        <v>5366</v>
      </c>
      <c r="C566" s="638" t="s">
        <v>5378</v>
      </c>
      <c r="D566" s="638" t="s">
        <v>6298</v>
      </c>
      <c r="E566" s="638" t="s">
        <v>5517</v>
      </c>
      <c r="F566" s="638" t="s">
        <v>6299</v>
      </c>
      <c r="G566" s="802"/>
      <c r="H566" s="640"/>
      <c r="I566" s="641"/>
      <c r="J566" s="642"/>
      <c r="K566" s="799"/>
      <c r="L566" s="799"/>
    </row>
    <row r="567" spans="1:12" s="598" customFormat="1">
      <c r="A567" s="673">
        <v>559</v>
      </c>
      <c r="B567" s="609" t="s">
        <v>5366</v>
      </c>
      <c r="C567" s="638" t="s">
        <v>5378</v>
      </c>
      <c r="D567" s="638" t="s">
        <v>5452</v>
      </c>
      <c r="E567" s="638" t="s">
        <v>5411</v>
      </c>
      <c r="F567" s="638" t="s">
        <v>6300</v>
      </c>
      <c r="G567" s="802"/>
      <c r="H567" s="640"/>
      <c r="I567" s="641"/>
      <c r="J567" s="642"/>
      <c r="K567" s="799"/>
      <c r="L567" s="799"/>
    </row>
    <row r="568" spans="1:12" s="598" customFormat="1">
      <c r="A568" s="673">
        <v>560</v>
      </c>
      <c r="B568" s="609" t="s">
        <v>5366</v>
      </c>
      <c r="C568" s="638" t="s">
        <v>5378</v>
      </c>
      <c r="D568" s="638" t="s">
        <v>5506</v>
      </c>
      <c r="E568" s="638" t="s">
        <v>5392</v>
      </c>
      <c r="F568" s="638" t="s">
        <v>6301</v>
      </c>
      <c r="G568" s="803"/>
      <c r="H568" s="640"/>
      <c r="I568" s="641"/>
      <c r="J568" s="642"/>
      <c r="K568" s="800"/>
      <c r="L568" s="800"/>
    </row>
    <row r="569" spans="1:12" s="598" customFormat="1">
      <c r="A569" s="673">
        <v>561</v>
      </c>
      <c r="B569" s="609" t="s">
        <v>5366</v>
      </c>
      <c r="C569" s="638" t="s">
        <v>5387</v>
      </c>
      <c r="D569" s="638" t="s">
        <v>6302</v>
      </c>
      <c r="E569" s="638" t="s">
        <v>5517</v>
      </c>
      <c r="F569" s="638" t="s">
        <v>6303</v>
      </c>
      <c r="G569" s="639">
        <v>375</v>
      </c>
      <c r="H569" s="640"/>
      <c r="I569" s="641"/>
      <c r="J569" s="642"/>
      <c r="K569" s="641" t="s">
        <v>6304</v>
      </c>
      <c r="L569" s="641" t="s">
        <v>6305</v>
      </c>
    </row>
    <row r="570" spans="1:12" s="598" customFormat="1">
      <c r="A570" s="673">
        <v>562</v>
      </c>
      <c r="B570" s="609" t="s">
        <v>5366</v>
      </c>
      <c r="C570" s="638" t="s">
        <v>5378</v>
      </c>
      <c r="D570" s="638" t="s">
        <v>5463</v>
      </c>
      <c r="E570" s="638" t="s">
        <v>5389</v>
      </c>
      <c r="F570" s="638" t="s">
        <v>5464</v>
      </c>
      <c r="G570" s="639">
        <v>375</v>
      </c>
      <c r="H570" s="640"/>
      <c r="I570" s="641"/>
      <c r="J570" s="642"/>
      <c r="K570" s="641" t="s">
        <v>5465</v>
      </c>
      <c r="L570" s="641" t="s">
        <v>6306</v>
      </c>
    </row>
    <row r="571" spans="1:12" s="598" customFormat="1">
      <c r="A571" s="673">
        <v>563</v>
      </c>
      <c r="B571" s="609" t="s">
        <v>5366</v>
      </c>
      <c r="C571" s="638" t="s">
        <v>5378</v>
      </c>
      <c r="D571" s="638" t="s">
        <v>5463</v>
      </c>
      <c r="E571" s="638" t="s">
        <v>5418</v>
      </c>
      <c r="F571" s="638" t="s">
        <v>6307</v>
      </c>
      <c r="G571" s="639">
        <v>375</v>
      </c>
      <c r="H571" s="640"/>
      <c r="I571" s="641"/>
      <c r="J571" s="642"/>
      <c r="K571" s="641" t="s">
        <v>6308</v>
      </c>
      <c r="L571" s="641" t="s">
        <v>6309</v>
      </c>
    </row>
    <row r="572" spans="1:12" s="598" customFormat="1">
      <c r="A572" s="673">
        <v>564</v>
      </c>
      <c r="B572" s="609" t="s">
        <v>5366</v>
      </c>
      <c r="C572" s="638" t="s">
        <v>5387</v>
      </c>
      <c r="D572" s="638" t="s">
        <v>5373</v>
      </c>
      <c r="E572" s="638" t="s">
        <v>5385</v>
      </c>
      <c r="F572" s="638" t="s">
        <v>6310</v>
      </c>
      <c r="G572" s="639">
        <v>375</v>
      </c>
      <c r="H572" s="641" t="s">
        <v>6311</v>
      </c>
      <c r="I572" s="641" t="s">
        <v>6312</v>
      </c>
      <c r="J572" s="642" t="s">
        <v>6313</v>
      </c>
      <c r="K572" s="641"/>
      <c r="L572" s="641"/>
    </row>
    <row r="573" spans="1:12" s="598" customFormat="1">
      <c r="A573" s="673">
        <v>565</v>
      </c>
      <c r="B573" s="609" t="s">
        <v>5366</v>
      </c>
      <c r="C573" s="638" t="s">
        <v>5387</v>
      </c>
      <c r="D573" s="638" t="s">
        <v>5663</v>
      </c>
      <c r="E573" s="638" t="s">
        <v>5507</v>
      </c>
      <c r="F573" s="638" t="s">
        <v>6314</v>
      </c>
      <c r="G573" s="639">
        <v>87.5</v>
      </c>
      <c r="H573" s="640"/>
      <c r="I573" s="641"/>
      <c r="J573" s="642"/>
      <c r="K573" s="641" t="s">
        <v>6315</v>
      </c>
      <c r="L573" s="641" t="s">
        <v>6316</v>
      </c>
    </row>
    <row r="574" spans="1:12" s="598" customFormat="1">
      <c r="A574" s="673">
        <v>566</v>
      </c>
      <c r="B574" s="609" t="s">
        <v>5366</v>
      </c>
      <c r="C574" s="638" t="s">
        <v>5387</v>
      </c>
      <c r="D574" s="638" t="s">
        <v>5417</v>
      </c>
      <c r="E574" s="638" t="s">
        <v>5418</v>
      </c>
      <c r="F574" s="638" t="s">
        <v>6317</v>
      </c>
      <c r="G574" s="639">
        <v>87.5</v>
      </c>
      <c r="H574" s="640"/>
      <c r="I574" s="641"/>
      <c r="J574" s="642"/>
      <c r="K574" s="641" t="s">
        <v>6318</v>
      </c>
      <c r="L574" s="641" t="s">
        <v>6319</v>
      </c>
    </row>
    <row r="575" spans="1:12" s="598" customFormat="1">
      <c r="A575" s="673">
        <v>567</v>
      </c>
      <c r="B575" s="609" t="s">
        <v>5366</v>
      </c>
      <c r="C575" s="638" t="s">
        <v>5387</v>
      </c>
      <c r="D575" s="638" t="s">
        <v>5373</v>
      </c>
      <c r="E575" s="638" t="s">
        <v>5392</v>
      </c>
      <c r="F575" s="638" t="s">
        <v>6320</v>
      </c>
      <c r="G575" s="639">
        <v>87.5</v>
      </c>
      <c r="H575" s="640"/>
      <c r="I575" s="641"/>
      <c r="J575" s="642"/>
      <c r="K575" s="641" t="s">
        <v>6321</v>
      </c>
      <c r="L575" s="641" t="s">
        <v>6322</v>
      </c>
    </row>
    <row r="576" spans="1:12" s="598" customFormat="1">
      <c r="A576" s="673">
        <v>568</v>
      </c>
      <c r="B576" s="609" t="s">
        <v>5366</v>
      </c>
      <c r="C576" s="638" t="s">
        <v>5378</v>
      </c>
      <c r="D576" s="638" t="s">
        <v>6323</v>
      </c>
      <c r="E576" s="638" t="s">
        <v>6324</v>
      </c>
      <c r="F576" s="638" t="s">
        <v>6325</v>
      </c>
      <c r="G576" s="639">
        <v>187.5</v>
      </c>
      <c r="H576" s="640"/>
      <c r="I576" s="641"/>
      <c r="J576" s="642"/>
      <c r="K576" s="641" t="s">
        <v>6326</v>
      </c>
      <c r="L576" s="641" t="s">
        <v>6327</v>
      </c>
    </row>
    <row r="577" spans="1:12" s="598" customFormat="1">
      <c r="A577" s="673">
        <v>569</v>
      </c>
      <c r="B577" s="609" t="s">
        <v>5366</v>
      </c>
      <c r="C577" s="638" t="s">
        <v>5378</v>
      </c>
      <c r="D577" s="638" t="s">
        <v>5452</v>
      </c>
      <c r="E577" s="638" t="s">
        <v>5389</v>
      </c>
      <c r="F577" s="638" t="s">
        <v>6328</v>
      </c>
      <c r="G577" s="639">
        <v>187.5</v>
      </c>
      <c r="H577" s="640"/>
      <c r="I577" s="641"/>
      <c r="J577" s="642"/>
      <c r="K577" s="641" t="s">
        <v>6329</v>
      </c>
      <c r="L577" s="641" t="s">
        <v>6330</v>
      </c>
    </row>
    <row r="578" spans="1:12" s="598" customFormat="1">
      <c r="A578" s="673">
        <v>570</v>
      </c>
      <c r="B578" s="609" t="s">
        <v>5366</v>
      </c>
      <c r="C578" s="638" t="s">
        <v>5378</v>
      </c>
      <c r="D578" s="638" t="s">
        <v>6331</v>
      </c>
      <c r="E578" s="638" t="s">
        <v>5392</v>
      </c>
      <c r="F578" s="638" t="s">
        <v>6332</v>
      </c>
      <c r="G578" s="639">
        <v>187.5</v>
      </c>
      <c r="H578" s="640"/>
      <c r="I578" s="641"/>
      <c r="J578" s="642"/>
      <c r="K578" s="641" t="s">
        <v>6333</v>
      </c>
      <c r="L578" s="641" t="s">
        <v>6334</v>
      </c>
    </row>
    <row r="579" spans="1:12" s="598" customFormat="1">
      <c r="A579" s="673">
        <v>571</v>
      </c>
      <c r="B579" s="609" t="s">
        <v>5366</v>
      </c>
      <c r="C579" s="638" t="s">
        <v>5378</v>
      </c>
      <c r="D579" s="638" t="s">
        <v>6335</v>
      </c>
      <c r="E579" s="638" t="s">
        <v>6336</v>
      </c>
      <c r="F579" s="638" t="s">
        <v>6337</v>
      </c>
      <c r="G579" s="801">
        <v>7000</v>
      </c>
      <c r="H579" s="640"/>
      <c r="I579" s="641"/>
      <c r="J579" s="642"/>
      <c r="K579" s="798" t="s">
        <v>6338</v>
      </c>
      <c r="L579" s="798" t="s">
        <v>5406</v>
      </c>
    </row>
    <row r="580" spans="1:12" s="598" customFormat="1">
      <c r="A580" s="673">
        <v>572</v>
      </c>
      <c r="B580" s="609" t="s">
        <v>5366</v>
      </c>
      <c r="C580" s="638" t="s">
        <v>5372</v>
      </c>
      <c r="D580" s="638" t="s">
        <v>6339</v>
      </c>
      <c r="E580" s="638" t="s">
        <v>5760</v>
      </c>
      <c r="F580" s="638" t="s">
        <v>6340</v>
      </c>
      <c r="G580" s="802"/>
      <c r="H580" s="640"/>
      <c r="I580" s="641"/>
      <c r="J580" s="642"/>
      <c r="K580" s="799"/>
      <c r="L580" s="799"/>
    </row>
    <row r="581" spans="1:12" s="598" customFormat="1">
      <c r="A581" s="673">
        <v>573</v>
      </c>
      <c r="B581" s="609" t="s">
        <v>5366</v>
      </c>
      <c r="C581" s="638" t="s">
        <v>5378</v>
      </c>
      <c r="D581" s="638" t="s">
        <v>6341</v>
      </c>
      <c r="E581" s="638" t="s">
        <v>5392</v>
      </c>
      <c r="F581" s="638" t="s">
        <v>6342</v>
      </c>
      <c r="G581" s="802"/>
      <c r="H581" s="640"/>
      <c r="I581" s="641"/>
      <c r="J581" s="642"/>
      <c r="K581" s="799"/>
      <c r="L581" s="799"/>
    </row>
    <row r="582" spans="1:12" s="598" customFormat="1">
      <c r="A582" s="673">
        <v>574</v>
      </c>
      <c r="B582" s="609" t="s">
        <v>5366</v>
      </c>
      <c r="C582" s="638" t="s">
        <v>5378</v>
      </c>
      <c r="D582" s="638" t="s">
        <v>6343</v>
      </c>
      <c r="E582" s="638">
        <v>1999</v>
      </c>
      <c r="F582" s="638" t="s">
        <v>6344</v>
      </c>
      <c r="G582" s="802"/>
      <c r="H582" s="640"/>
      <c r="I582" s="641"/>
      <c r="J582" s="642"/>
      <c r="K582" s="799"/>
      <c r="L582" s="799"/>
    </row>
    <row r="583" spans="1:12" s="598" customFormat="1">
      <c r="A583" s="673">
        <v>575</v>
      </c>
      <c r="B583" s="609" t="s">
        <v>5366</v>
      </c>
      <c r="C583" s="638" t="s">
        <v>5378</v>
      </c>
      <c r="D583" s="638" t="s">
        <v>5629</v>
      </c>
      <c r="E583" s="638">
        <v>1987</v>
      </c>
      <c r="F583" s="638" t="s">
        <v>6345</v>
      </c>
      <c r="G583" s="802"/>
      <c r="H583" s="640"/>
      <c r="I583" s="641"/>
      <c r="J583" s="642"/>
      <c r="K583" s="799"/>
      <c r="L583" s="799"/>
    </row>
    <row r="584" spans="1:12" s="598" customFormat="1">
      <c r="A584" s="673">
        <v>576</v>
      </c>
      <c r="B584" s="609" t="s">
        <v>5366</v>
      </c>
      <c r="C584" s="638" t="s">
        <v>5378</v>
      </c>
      <c r="D584" s="638" t="s">
        <v>5452</v>
      </c>
      <c r="E584" s="638">
        <v>2001</v>
      </c>
      <c r="F584" s="638" t="s">
        <v>6346</v>
      </c>
      <c r="G584" s="802"/>
      <c r="H584" s="640"/>
      <c r="I584" s="641"/>
      <c r="J584" s="642"/>
      <c r="K584" s="799"/>
      <c r="L584" s="799"/>
    </row>
    <row r="585" spans="1:12" s="598" customFormat="1">
      <c r="A585" s="673">
        <v>577</v>
      </c>
      <c r="B585" s="609" t="s">
        <v>5366</v>
      </c>
      <c r="C585" s="638" t="s">
        <v>5372</v>
      </c>
      <c r="D585" s="638" t="s">
        <v>5609</v>
      </c>
      <c r="E585" s="638" t="s">
        <v>5374</v>
      </c>
      <c r="F585" s="638" t="s">
        <v>6347</v>
      </c>
      <c r="G585" s="802"/>
      <c r="H585" s="640"/>
      <c r="I585" s="641"/>
      <c r="J585" s="642"/>
      <c r="K585" s="799"/>
      <c r="L585" s="799"/>
    </row>
    <row r="586" spans="1:12" s="598" customFormat="1">
      <c r="A586" s="673">
        <v>578</v>
      </c>
      <c r="B586" s="609" t="s">
        <v>5366</v>
      </c>
      <c r="C586" s="638" t="s">
        <v>5372</v>
      </c>
      <c r="D586" s="638" t="s">
        <v>6348</v>
      </c>
      <c r="E586" s="638" t="s">
        <v>5757</v>
      </c>
      <c r="F586" s="638" t="s">
        <v>6349</v>
      </c>
      <c r="G586" s="802"/>
      <c r="H586" s="640"/>
      <c r="I586" s="641"/>
      <c r="J586" s="642"/>
      <c r="K586" s="799"/>
      <c r="L586" s="799"/>
    </row>
    <row r="587" spans="1:12" s="598" customFormat="1">
      <c r="A587" s="673">
        <v>579</v>
      </c>
      <c r="B587" s="609" t="s">
        <v>5366</v>
      </c>
      <c r="C587" s="638" t="s">
        <v>5372</v>
      </c>
      <c r="D587" s="638" t="s">
        <v>6350</v>
      </c>
      <c r="E587" s="638" t="s">
        <v>5389</v>
      </c>
      <c r="F587" s="638" t="s">
        <v>6351</v>
      </c>
      <c r="G587" s="802"/>
      <c r="H587" s="640"/>
      <c r="I587" s="641"/>
      <c r="J587" s="642"/>
      <c r="K587" s="799"/>
      <c r="L587" s="799"/>
    </row>
    <row r="588" spans="1:12" s="598" customFormat="1">
      <c r="A588" s="673">
        <v>580</v>
      </c>
      <c r="B588" s="609" t="s">
        <v>5366</v>
      </c>
      <c r="C588" s="638" t="s">
        <v>5378</v>
      </c>
      <c r="D588" s="638" t="s">
        <v>5452</v>
      </c>
      <c r="E588" s="638" t="s">
        <v>5487</v>
      </c>
      <c r="F588" s="638" t="s">
        <v>6352</v>
      </c>
      <c r="G588" s="802"/>
      <c r="H588" s="640"/>
      <c r="I588" s="641"/>
      <c r="J588" s="642"/>
      <c r="K588" s="799"/>
      <c r="L588" s="799"/>
    </row>
    <row r="589" spans="1:12" s="598" customFormat="1">
      <c r="A589" s="673">
        <v>581</v>
      </c>
      <c r="B589" s="609" t="s">
        <v>5366</v>
      </c>
      <c r="C589" s="638" t="s">
        <v>5372</v>
      </c>
      <c r="D589" s="638" t="s">
        <v>6027</v>
      </c>
      <c r="E589" s="638">
        <v>1996</v>
      </c>
      <c r="F589" s="638" t="s">
        <v>6353</v>
      </c>
      <c r="G589" s="802"/>
      <c r="H589" s="640"/>
      <c r="I589" s="641"/>
      <c r="J589" s="642"/>
      <c r="K589" s="799"/>
      <c r="L589" s="799"/>
    </row>
    <row r="590" spans="1:12" s="598" customFormat="1">
      <c r="A590" s="673">
        <v>582</v>
      </c>
      <c r="B590" s="609" t="s">
        <v>5366</v>
      </c>
      <c r="C590" s="638" t="s">
        <v>5372</v>
      </c>
      <c r="D590" s="638" t="s">
        <v>6354</v>
      </c>
      <c r="E590" s="638" t="s">
        <v>5487</v>
      </c>
      <c r="F590" s="638" t="s">
        <v>6355</v>
      </c>
      <c r="G590" s="802"/>
      <c r="H590" s="640"/>
      <c r="I590" s="641"/>
      <c r="J590" s="642"/>
      <c r="K590" s="799"/>
      <c r="L590" s="799"/>
    </row>
    <row r="591" spans="1:12" s="598" customFormat="1">
      <c r="A591" s="673">
        <v>583</v>
      </c>
      <c r="B591" s="609" t="s">
        <v>5366</v>
      </c>
      <c r="C591" s="638" t="s">
        <v>5372</v>
      </c>
      <c r="D591" s="638" t="s">
        <v>5613</v>
      </c>
      <c r="E591" s="638" t="s">
        <v>5392</v>
      </c>
      <c r="F591" s="638" t="s">
        <v>6356</v>
      </c>
      <c r="G591" s="802"/>
      <c r="H591" s="640"/>
      <c r="I591" s="641"/>
      <c r="J591" s="642"/>
      <c r="K591" s="799"/>
      <c r="L591" s="799"/>
    </row>
    <row r="592" spans="1:12" s="598" customFormat="1">
      <c r="A592" s="673">
        <v>584</v>
      </c>
      <c r="B592" s="609" t="s">
        <v>5366</v>
      </c>
      <c r="C592" s="638" t="s">
        <v>5378</v>
      </c>
      <c r="D592" s="638" t="s">
        <v>5415</v>
      </c>
      <c r="E592" s="638" t="s">
        <v>5517</v>
      </c>
      <c r="F592" s="638" t="s">
        <v>6357</v>
      </c>
      <c r="G592" s="802"/>
      <c r="H592" s="640"/>
      <c r="I592" s="641"/>
      <c r="J592" s="642"/>
      <c r="K592" s="799"/>
      <c r="L592" s="799"/>
    </row>
    <row r="593" spans="1:12" s="598" customFormat="1">
      <c r="A593" s="673">
        <v>585</v>
      </c>
      <c r="B593" s="609" t="s">
        <v>5366</v>
      </c>
      <c r="C593" s="638" t="s">
        <v>5372</v>
      </c>
      <c r="D593" s="638" t="s">
        <v>5661</v>
      </c>
      <c r="E593" s="638" t="s">
        <v>5772</v>
      </c>
      <c r="F593" s="638" t="s">
        <v>6358</v>
      </c>
      <c r="G593" s="802"/>
      <c r="H593" s="640"/>
      <c r="I593" s="641"/>
      <c r="J593" s="642"/>
      <c r="K593" s="799"/>
      <c r="L593" s="799"/>
    </row>
    <row r="594" spans="1:12" s="598" customFormat="1">
      <c r="A594" s="673">
        <v>586</v>
      </c>
      <c r="B594" s="609" t="s">
        <v>5366</v>
      </c>
      <c r="C594" s="638" t="s">
        <v>5372</v>
      </c>
      <c r="D594" s="638" t="s">
        <v>6027</v>
      </c>
      <c r="E594" s="638">
        <v>1992</v>
      </c>
      <c r="F594" s="638" t="s">
        <v>6359</v>
      </c>
      <c r="G594" s="802"/>
      <c r="H594" s="640"/>
      <c r="I594" s="641"/>
      <c r="J594" s="642"/>
      <c r="K594" s="799"/>
      <c r="L594" s="799"/>
    </row>
    <row r="595" spans="1:12" s="598" customFormat="1">
      <c r="A595" s="673">
        <v>587</v>
      </c>
      <c r="B595" s="609" t="s">
        <v>5366</v>
      </c>
      <c r="C595" s="638" t="s">
        <v>5372</v>
      </c>
      <c r="D595" s="638" t="s">
        <v>5611</v>
      </c>
      <c r="E595" s="638">
        <v>1999</v>
      </c>
      <c r="F595" s="638" t="s">
        <v>6360</v>
      </c>
      <c r="G595" s="802"/>
      <c r="H595" s="640"/>
      <c r="I595" s="641"/>
      <c r="J595" s="642"/>
      <c r="K595" s="799"/>
      <c r="L595" s="799"/>
    </row>
    <row r="596" spans="1:12" s="598" customFormat="1">
      <c r="A596" s="673">
        <v>588</v>
      </c>
      <c r="B596" s="609" t="s">
        <v>5366</v>
      </c>
      <c r="C596" s="638" t="s">
        <v>5378</v>
      </c>
      <c r="D596" s="638" t="s">
        <v>5452</v>
      </c>
      <c r="E596" s="638">
        <v>1995</v>
      </c>
      <c r="F596" s="638" t="s">
        <v>6361</v>
      </c>
      <c r="G596" s="802"/>
      <c r="H596" s="640"/>
      <c r="I596" s="641"/>
      <c r="J596" s="642"/>
      <c r="K596" s="799"/>
      <c r="L596" s="799"/>
    </row>
    <row r="597" spans="1:12" s="598" customFormat="1">
      <c r="A597" s="673">
        <v>589</v>
      </c>
      <c r="B597" s="609" t="s">
        <v>5366</v>
      </c>
      <c r="C597" s="638" t="s">
        <v>5378</v>
      </c>
      <c r="D597" s="638" t="s">
        <v>6362</v>
      </c>
      <c r="E597" s="638">
        <v>1995</v>
      </c>
      <c r="F597" s="638" t="s">
        <v>6363</v>
      </c>
      <c r="G597" s="802"/>
      <c r="H597" s="640"/>
      <c r="I597" s="641"/>
      <c r="J597" s="642"/>
      <c r="K597" s="799"/>
      <c r="L597" s="799"/>
    </row>
    <row r="598" spans="1:12" s="598" customFormat="1">
      <c r="A598" s="673">
        <v>590</v>
      </c>
      <c r="B598" s="609" t="s">
        <v>5366</v>
      </c>
      <c r="C598" s="638" t="s">
        <v>5372</v>
      </c>
      <c r="D598" s="638" t="s">
        <v>6348</v>
      </c>
      <c r="E598" s="638">
        <v>1989</v>
      </c>
      <c r="F598" s="638" t="s">
        <v>6364</v>
      </c>
      <c r="G598" s="802"/>
      <c r="H598" s="640"/>
      <c r="I598" s="641"/>
      <c r="J598" s="642"/>
      <c r="K598" s="799"/>
      <c r="L598" s="799"/>
    </row>
    <row r="599" spans="1:12" s="598" customFormat="1">
      <c r="A599" s="673">
        <v>591</v>
      </c>
      <c r="B599" s="609" t="s">
        <v>5366</v>
      </c>
      <c r="C599" s="638" t="s">
        <v>5378</v>
      </c>
      <c r="D599" s="638" t="s">
        <v>6365</v>
      </c>
      <c r="E599" s="638">
        <v>1997</v>
      </c>
      <c r="F599" s="638" t="s">
        <v>6366</v>
      </c>
      <c r="G599" s="802"/>
      <c r="H599" s="640"/>
      <c r="I599" s="641"/>
      <c r="J599" s="642"/>
      <c r="K599" s="799"/>
      <c r="L599" s="799"/>
    </row>
    <row r="600" spans="1:12" s="598" customFormat="1">
      <c r="A600" s="673">
        <v>592</v>
      </c>
      <c r="B600" s="609" t="s">
        <v>5366</v>
      </c>
      <c r="C600" s="638" t="s">
        <v>5378</v>
      </c>
      <c r="D600" s="638" t="s">
        <v>5580</v>
      </c>
      <c r="E600" s="638">
        <v>1991</v>
      </c>
      <c r="F600" s="638" t="s">
        <v>6367</v>
      </c>
      <c r="G600" s="802"/>
      <c r="H600" s="640"/>
      <c r="I600" s="641"/>
      <c r="J600" s="642"/>
      <c r="K600" s="799"/>
      <c r="L600" s="799"/>
    </row>
    <row r="601" spans="1:12" s="598" customFormat="1">
      <c r="A601" s="673">
        <v>593</v>
      </c>
      <c r="B601" s="609" t="s">
        <v>5366</v>
      </c>
      <c r="C601" s="638" t="s">
        <v>5378</v>
      </c>
      <c r="D601" s="638" t="s">
        <v>5586</v>
      </c>
      <c r="E601" s="638">
        <v>1986</v>
      </c>
      <c r="F601" s="638" t="s">
        <v>6368</v>
      </c>
      <c r="G601" s="802"/>
      <c r="H601" s="640"/>
      <c r="I601" s="641"/>
      <c r="J601" s="642"/>
      <c r="K601" s="799"/>
      <c r="L601" s="799"/>
    </row>
    <row r="602" spans="1:12" s="598" customFormat="1">
      <c r="A602" s="673">
        <v>594</v>
      </c>
      <c r="B602" s="609" t="s">
        <v>5366</v>
      </c>
      <c r="C602" s="638" t="s">
        <v>5372</v>
      </c>
      <c r="D602" s="638" t="s">
        <v>6369</v>
      </c>
      <c r="E602" s="638">
        <v>1995</v>
      </c>
      <c r="F602" s="638" t="s">
        <v>6370</v>
      </c>
      <c r="G602" s="802"/>
      <c r="H602" s="640"/>
      <c r="I602" s="641"/>
      <c r="J602" s="642"/>
      <c r="K602" s="799"/>
      <c r="L602" s="799"/>
    </row>
    <row r="603" spans="1:12" s="598" customFormat="1">
      <c r="A603" s="673">
        <v>595</v>
      </c>
      <c r="B603" s="609" t="s">
        <v>5366</v>
      </c>
      <c r="C603" s="638" t="s">
        <v>5378</v>
      </c>
      <c r="D603" s="638" t="s">
        <v>5506</v>
      </c>
      <c r="E603" s="638">
        <v>1997</v>
      </c>
      <c r="F603" s="638" t="s">
        <v>6371</v>
      </c>
      <c r="G603" s="802"/>
      <c r="H603" s="640"/>
      <c r="I603" s="641"/>
      <c r="J603" s="642"/>
      <c r="K603" s="799"/>
      <c r="L603" s="799"/>
    </row>
    <row r="604" spans="1:12" s="598" customFormat="1">
      <c r="A604" s="673">
        <v>596</v>
      </c>
      <c r="B604" s="609" t="s">
        <v>5366</v>
      </c>
      <c r="C604" s="638" t="s">
        <v>5372</v>
      </c>
      <c r="D604" s="638" t="s">
        <v>5373</v>
      </c>
      <c r="E604" s="638">
        <v>1998</v>
      </c>
      <c r="F604" s="638" t="s">
        <v>6372</v>
      </c>
      <c r="G604" s="802"/>
      <c r="H604" s="640"/>
      <c r="I604" s="641"/>
      <c r="J604" s="642"/>
      <c r="K604" s="799"/>
      <c r="L604" s="799"/>
    </row>
    <row r="605" spans="1:12" s="598" customFormat="1">
      <c r="A605" s="673">
        <v>597</v>
      </c>
      <c r="B605" s="609" t="s">
        <v>5366</v>
      </c>
      <c r="C605" s="638" t="s">
        <v>5378</v>
      </c>
      <c r="D605" s="638" t="s">
        <v>6260</v>
      </c>
      <c r="E605" s="638">
        <v>1997</v>
      </c>
      <c r="F605" s="638" t="s">
        <v>6373</v>
      </c>
      <c r="G605" s="802"/>
      <c r="H605" s="640"/>
      <c r="I605" s="641"/>
      <c r="J605" s="642"/>
      <c r="K605" s="799"/>
      <c r="L605" s="799"/>
    </row>
    <row r="606" spans="1:12" s="598" customFormat="1">
      <c r="A606" s="673">
        <v>598</v>
      </c>
      <c r="B606" s="609" t="s">
        <v>5366</v>
      </c>
      <c r="C606" s="638" t="s">
        <v>5372</v>
      </c>
      <c r="D606" s="638" t="s">
        <v>5373</v>
      </c>
      <c r="E606" s="638">
        <v>1996</v>
      </c>
      <c r="F606" s="638" t="s">
        <v>6374</v>
      </c>
      <c r="G606" s="802"/>
      <c r="H606" s="640"/>
      <c r="I606" s="641"/>
      <c r="J606" s="642"/>
      <c r="K606" s="799"/>
      <c r="L606" s="799"/>
    </row>
    <row r="607" spans="1:12" s="598" customFormat="1">
      <c r="A607" s="673">
        <v>599</v>
      </c>
      <c r="B607" s="609" t="s">
        <v>5366</v>
      </c>
      <c r="C607" s="638" t="s">
        <v>5372</v>
      </c>
      <c r="D607" s="638" t="s">
        <v>6348</v>
      </c>
      <c r="E607" s="638">
        <v>1993</v>
      </c>
      <c r="F607" s="638" t="s">
        <v>6375</v>
      </c>
      <c r="G607" s="802"/>
      <c r="H607" s="640"/>
      <c r="I607" s="641"/>
      <c r="J607" s="642"/>
      <c r="K607" s="799"/>
      <c r="L607" s="799"/>
    </row>
    <row r="608" spans="1:12" s="598" customFormat="1">
      <c r="A608" s="673">
        <v>600</v>
      </c>
      <c r="B608" s="609" t="s">
        <v>5366</v>
      </c>
      <c r="C608" s="638" t="s">
        <v>5378</v>
      </c>
      <c r="D608" s="638" t="s">
        <v>5452</v>
      </c>
      <c r="E608" s="638">
        <v>1996</v>
      </c>
      <c r="F608" s="638" t="s">
        <v>6376</v>
      </c>
      <c r="G608" s="802"/>
      <c r="H608" s="640"/>
      <c r="I608" s="641"/>
      <c r="J608" s="642"/>
      <c r="K608" s="799"/>
      <c r="L608" s="799"/>
    </row>
    <row r="609" spans="1:12" s="598" customFormat="1">
      <c r="A609" s="673">
        <v>601</v>
      </c>
      <c r="B609" s="609" t="s">
        <v>5366</v>
      </c>
      <c r="C609" s="638" t="s">
        <v>5378</v>
      </c>
      <c r="D609" s="638" t="s">
        <v>6377</v>
      </c>
      <c r="E609" s="638">
        <v>1999</v>
      </c>
      <c r="F609" s="638" t="s">
        <v>6378</v>
      </c>
      <c r="G609" s="802"/>
      <c r="H609" s="640"/>
      <c r="I609" s="641"/>
      <c r="J609" s="642"/>
      <c r="K609" s="799"/>
      <c r="L609" s="799"/>
    </row>
    <row r="610" spans="1:12" s="598" customFormat="1">
      <c r="A610" s="673">
        <v>602</v>
      </c>
      <c r="B610" s="609" t="s">
        <v>5366</v>
      </c>
      <c r="C610" s="638" t="s">
        <v>5378</v>
      </c>
      <c r="D610" s="638" t="s">
        <v>6379</v>
      </c>
      <c r="E610" s="638">
        <v>1997</v>
      </c>
      <c r="F610" s="638" t="s">
        <v>6380</v>
      </c>
      <c r="G610" s="802"/>
      <c r="H610" s="640"/>
      <c r="I610" s="641"/>
      <c r="J610" s="642"/>
      <c r="K610" s="799"/>
      <c r="L610" s="799"/>
    </row>
    <row r="611" spans="1:12" s="598" customFormat="1">
      <c r="A611" s="673">
        <v>603</v>
      </c>
      <c r="B611" s="609" t="s">
        <v>5366</v>
      </c>
      <c r="C611" s="638" t="s">
        <v>5378</v>
      </c>
      <c r="D611" s="638" t="s">
        <v>6381</v>
      </c>
      <c r="E611" s="638">
        <v>1997</v>
      </c>
      <c r="F611" s="638" t="s">
        <v>6382</v>
      </c>
      <c r="G611" s="802"/>
      <c r="H611" s="640"/>
      <c r="I611" s="641"/>
      <c r="J611" s="642"/>
      <c r="K611" s="799"/>
      <c r="L611" s="799"/>
    </row>
    <row r="612" spans="1:12" s="598" customFormat="1">
      <c r="A612" s="673">
        <v>604</v>
      </c>
      <c r="B612" s="609" t="s">
        <v>5366</v>
      </c>
      <c r="C612" s="638" t="s">
        <v>5372</v>
      </c>
      <c r="D612" s="638" t="s">
        <v>5373</v>
      </c>
      <c r="E612" s="638">
        <v>1998</v>
      </c>
      <c r="F612" s="638" t="s">
        <v>6383</v>
      </c>
      <c r="G612" s="802"/>
      <c r="H612" s="640"/>
      <c r="I612" s="641"/>
      <c r="J612" s="642"/>
      <c r="K612" s="799"/>
      <c r="L612" s="799"/>
    </row>
    <row r="613" spans="1:12" s="598" customFormat="1">
      <c r="A613" s="673">
        <v>605</v>
      </c>
      <c r="B613" s="609" t="s">
        <v>5366</v>
      </c>
      <c r="C613" s="638" t="s">
        <v>5372</v>
      </c>
      <c r="D613" s="638" t="s">
        <v>5407</v>
      </c>
      <c r="E613" s="638">
        <v>1999</v>
      </c>
      <c r="F613" s="638" t="s">
        <v>6384</v>
      </c>
      <c r="G613" s="802"/>
      <c r="H613" s="640"/>
      <c r="I613" s="641"/>
      <c r="J613" s="642"/>
      <c r="K613" s="799"/>
      <c r="L613" s="799"/>
    </row>
    <row r="614" spans="1:12" s="598" customFormat="1">
      <c r="A614" s="673">
        <v>606</v>
      </c>
      <c r="B614" s="609" t="s">
        <v>5366</v>
      </c>
      <c r="C614" s="638" t="s">
        <v>5372</v>
      </c>
      <c r="D614" s="638" t="s">
        <v>5609</v>
      </c>
      <c r="E614" s="638">
        <v>1989</v>
      </c>
      <c r="F614" s="638" t="s">
        <v>6385</v>
      </c>
      <c r="G614" s="802"/>
      <c r="H614" s="640"/>
      <c r="I614" s="641"/>
      <c r="J614" s="642"/>
      <c r="K614" s="799"/>
      <c r="L614" s="799"/>
    </row>
    <row r="615" spans="1:12" s="598" customFormat="1">
      <c r="A615" s="673">
        <v>607</v>
      </c>
      <c r="B615" s="609" t="s">
        <v>5366</v>
      </c>
      <c r="C615" s="638" t="s">
        <v>5378</v>
      </c>
      <c r="D615" s="638">
        <v>210</v>
      </c>
      <c r="E615" s="638">
        <v>1989</v>
      </c>
      <c r="F615" s="638" t="s">
        <v>6386</v>
      </c>
      <c r="G615" s="802"/>
      <c r="H615" s="640"/>
      <c r="I615" s="641"/>
      <c r="J615" s="642"/>
      <c r="K615" s="799"/>
      <c r="L615" s="799"/>
    </row>
    <row r="616" spans="1:12" s="598" customFormat="1">
      <c r="A616" s="673">
        <v>608</v>
      </c>
      <c r="B616" s="609" t="s">
        <v>5366</v>
      </c>
      <c r="C616" s="638" t="s">
        <v>5378</v>
      </c>
      <c r="D616" s="638" t="s">
        <v>5476</v>
      </c>
      <c r="E616" s="638">
        <v>1995</v>
      </c>
      <c r="F616" s="638" t="s">
        <v>6387</v>
      </c>
      <c r="G616" s="802"/>
      <c r="H616" s="640"/>
      <c r="I616" s="641"/>
      <c r="J616" s="642"/>
      <c r="K616" s="799"/>
      <c r="L616" s="799"/>
    </row>
    <row r="617" spans="1:12" s="598" customFormat="1">
      <c r="A617" s="673">
        <v>609</v>
      </c>
      <c r="B617" s="609" t="s">
        <v>5366</v>
      </c>
      <c r="C617" s="638" t="s">
        <v>5378</v>
      </c>
      <c r="D617" s="638" t="s">
        <v>5697</v>
      </c>
      <c r="E617" s="638">
        <v>1996</v>
      </c>
      <c r="F617" s="638" t="s">
        <v>6388</v>
      </c>
      <c r="G617" s="802"/>
      <c r="H617" s="640"/>
      <c r="I617" s="641"/>
      <c r="J617" s="642"/>
      <c r="K617" s="799"/>
      <c r="L617" s="799"/>
    </row>
    <row r="618" spans="1:12" s="598" customFormat="1">
      <c r="A618" s="673">
        <v>610</v>
      </c>
      <c r="B618" s="609" t="s">
        <v>5366</v>
      </c>
      <c r="C618" s="638" t="s">
        <v>5378</v>
      </c>
      <c r="D618" s="638" t="s">
        <v>5670</v>
      </c>
      <c r="E618" s="638">
        <v>1999</v>
      </c>
      <c r="F618" s="638" t="s">
        <v>6389</v>
      </c>
      <c r="G618" s="802"/>
      <c r="H618" s="640"/>
      <c r="I618" s="641"/>
      <c r="J618" s="642"/>
      <c r="K618" s="799"/>
      <c r="L618" s="799"/>
    </row>
    <row r="619" spans="1:12" s="598" customFormat="1">
      <c r="A619" s="673">
        <v>611</v>
      </c>
      <c r="B619" s="609" t="s">
        <v>5366</v>
      </c>
      <c r="C619" s="638" t="s">
        <v>5814</v>
      </c>
      <c r="D619" s="638" t="s">
        <v>6255</v>
      </c>
      <c r="E619" s="638">
        <v>1991</v>
      </c>
      <c r="F619" s="638" t="s">
        <v>6390</v>
      </c>
      <c r="G619" s="802"/>
      <c r="H619" s="640"/>
      <c r="I619" s="641"/>
      <c r="J619" s="642"/>
      <c r="K619" s="799"/>
      <c r="L619" s="799"/>
    </row>
    <row r="620" spans="1:12" s="598" customFormat="1">
      <c r="A620" s="673">
        <v>612</v>
      </c>
      <c r="B620" s="609" t="s">
        <v>5366</v>
      </c>
      <c r="C620" s="638" t="s">
        <v>5378</v>
      </c>
      <c r="D620" s="638" t="s">
        <v>5586</v>
      </c>
      <c r="E620" s="638">
        <v>1985</v>
      </c>
      <c r="F620" s="638" t="s">
        <v>6391</v>
      </c>
      <c r="G620" s="802"/>
      <c r="H620" s="640"/>
      <c r="I620" s="641"/>
      <c r="J620" s="642"/>
      <c r="K620" s="799"/>
      <c r="L620" s="799"/>
    </row>
    <row r="621" spans="1:12" s="598" customFormat="1">
      <c r="A621" s="673">
        <v>613</v>
      </c>
      <c r="B621" s="609" t="s">
        <v>5366</v>
      </c>
      <c r="C621" s="638" t="s">
        <v>5378</v>
      </c>
      <c r="D621" s="638" t="s">
        <v>5580</v>
      </c>
      <c r="E621" s="638">
        <v>1993</v>
      </c>
      <c r="F621" s="638" t="s">
        <v>6392</v>
      </c>
      <c r="G621" s="802"/>
      <c r="H621" s="640"/>
      <c r="I621" s="641"/>
      <c r="J621" s="642"/>
      <c r="K621" s="799"/>
      <c r="L621" s="799"/>
    </row>
    <row r="622" spans="1:12" s="598" customFormat="1">
      <c r="A622" s="673">
        <v>614</v>
      </c>
      <c r="B622" s="609" t="s">
        <v>5366</v>
      </c>
      <c r="C622" s="638" t="s">
        <v>5378</v>
      </c>
      <c r="D622" s="638" t="s">
        <v>5580</v>
      </c>
      <c r="E622" s="638">
        <v>1998</v>
      </c>
      <c r="F622" s="638" t="s">
        <v>6393</v>
      </c>
      <c r="G622" s="802"/>
      <c r="H622" s="640"/>
      <c r="I622" s="641"/>
      <c r="J622" s="642"/>
      <c r="K622" s="799"/>
      <c r="L622" s="799"/>
    </row>
    <row r="623" spans="1:12" s="598" customFormat="1">
      <c r="A623" s="673">
        <v>615</v>
      </c>
      <c r="B623" s="609" t="s">
        <v>5366</v>
      </c>
      <c r="C623" s="638" t="s">
        <v>5378</v>
      </c>
      <c r="D623" s="638" t="s">
        <v>5452</v>
      </c>
      <c r="E623" s="638">
        <v>1995</v>
      </c>
      <c r="F623" s="638" t="s">
        <v>6394</v>
      </c>
      <c r="G623" s="802"/>
      <c r="H623" s="640"/>
      <c r="I623" s="641"/>
      <c r="J623" s="642"/>
      <c r="K623" s="799"/>
      <c r="L623" s="799"/>
    </row>
    <row r="624" spans="1:12" s="598" customFormat="1">
      <c r="A624" s="673">
        <v>616</v>
      </c>
      <c r="B624" s="609" t="s">
        <v>5366</v>
      </c>
      <c r="C624" s="638" t="s">
        <v>5378</v>
      </c>
      <c r="D624" s="638" t="s">
        <v>5447</v>
      </c>
      <c r="E624" s="638">
        <v>1991</v>
      </c>
      <c r="F624" s="638" t="s">
        <v>6395</v>
      </c>
      <c r="G624" s="802"/>
      <c r="H624" s="640"/>
      <c r="I624" s="641"/>
      <c r="J624" s="642"/>
      <c r="K624" s="799"/>
      <c r="L624" s="799"/>
    </row>
    <row r="625" spans="1:12" s="598" customFormat="1">
      <c r="A625" s="673">
        <v>617</v>
      </c>
      <c r="B625" s="609" t="s">
        <v>5366</v>
      </c>
      <c r="C625" s="638" t="s">
        <v>5378</v>
      </c>
      <c r="D625" s="638" t="s">
        <v>6396</v>
      </c>
      <c r="E625" s="638">
        <v>1992</v>
      </c>
      <c r="F625" s="638" t="s">
        <v>6397</v>
      </c>
      <c r="G625" s="802"/>
      <c r="H625" s="640"/>
      <c r="I625" s="641"/>
      <c r="J625" s="642"/>
      <c r="K625" s="799"/>
      <c r="L625" s="799"/>
    </row>
    <row r="626" spans="1:12" s="598" customFormat="1">
      <c r="A626" s="673">
        <v>618</v>
      </c>
      <c r="B626" s="609" t="s">
        <v>5366</v>
      </c>
      <c r="C626" s="638" t="s">
        <v>5372</v>
      </c>
      <c r="D626" s="638" t="s">
        <v>5545</v>
      </c>
      <c r="E626" s="638">
        <v>1999</v>
      </c>
      <c r="F626" s="638" t="s">
        <v>6398</v>
      </c>
      <c r="G626" s="802"/>
      <c r="H626" s="640"/>
      <c r="I626" s="641"/>
      <c r="J626" s="642"/>
      <c r="K626" s="799"/>
      <c r="L626" s="799"/>
    </row>
    <row r="627" spans="1:12" s="598" customFormat="1">
      <c r="A627" s="673">
        <v>619</v>
      </c>
      <c r="B627" s="609" t="s">
        <v>5366</v>
      </c>
      <c r="C627" s="638" t="s">
        <v>5372</v>
      </c>
      <c r="D627" s="638" t="s">
        <v>6339</v>
      </c>
      <c r="E627" s="638">
        <v>1993</v>
      </c>
      <c r="F627" s="638" t="s">
        <v>6399</v>
      </c>
      <c r="G627" s="802"/>
      <c r="H627" s="640"/>
      <c r="I627" s="641"/>
      <c r="J627" s="642"/>
      <c r="K627" s="799"/>
      <c r="L627" s="799"/>
    </row>
    <row r="628" spans="1:12" s="598" customFormat="1">
      <c r="A628" s="673">
        <v>620</v>
      </c>
      <c r="B628" s="609" t="s">
        <v>5366</v>
      </c>
      <c r="C628" s="638" t="s">
        <v>5378</v>
      </c>
      <c r="D628" s="638" t="s">
        <v>5697</v>
      </c>
      <c r="E628" s="638">
        <v>1997</v>
      </c>
      <c r="F628" s="638" t="s">
        <v>6400</v>
      </c>
      <c r="G628" s="802"/>
      <c r="H628" s="640"/>
      <c r="I628" s="641"/>
      <c r="J628" s="642"/>
      <c r="K628" s="799"/>
      <c r="L628" s="799"/>
    </row>
    <row r="629" spans="1:12" s="598" customFormat="1">
      <c r="A629" s="673">
        <v>621</v>
      </c>
      <c r="B629" s="609" t="s">
        <v>5366</v>
      </c>
      <c r="C629" s="638" t="s">
        <v>5372</v>
      </c>
      <c r="D629" s="638" t="s">
        <v>5663</v>
      </c>
      <c r="E629" s="638">
        <v>1997</v>
      </c>
      <c r="F629" s="638" t="s">
        <v>6401</v>
      </c>
      <c r="G629" s="802"/>
      <c r="H629" s="640"/>
      <c r="I629" s="641"/>
      <c r="J629" s="642"/>
      <c r="K629" s="799"/>
      <c r="L629" s="799"/>
    </row>
    <row r="630" spans="1:12" s="598" customFormat="1">
      <c r="A630" s="673">
        <v>622</v>
      </c>
      <c r="B630" s="609" t="s">
        <v>5366</v>
      </c>
      <c r="C630" s="638" t="s">
        <v>5372</v>
      </c>
      <c r="D630" s="638" t="s">
        <v>5627</v>
      </c>
      <c r="E630" s="638">
        <v>1995</v>
      </c>
      <c r="F630" s="638" t="s">
        <v>6402</v>
      </c>
      <c r="G630" s="802"/>
      <c r="H630" s="640"/>
      <c r="I630" s="641"/>
      <c r="J630" s="642"/>
      <c r="K630" s="799"/>
      <c r="L630" s="799"/>
    </row>
    <row r="631" spans="1:12" s="598" customFormat="1">
      <c r="A631" s="673">
        <v>623</v>
      </c>
      <c r="B631" s="609" t="s">
        <v>5366</v>
      </c>
      <c r="C631" s="638" t="s">
        <v>5372</v>
      </c>
      <c r="D631" s="638" t="s">
        <v>5609</v>
      </c>
      <c r="E631" s="638">
        <v>1991</v>
      </c>
      <c r="F631" s="638" t="s">
        <v>6403</v>
      </c>
      <c r="G631" s="802"/>
      <c r="H631" s="640"/>
      <c r="I631" s="641"/>
      <c r="J631" s="642"/>
      <c r="K631" s="799"/>
      <c r="L631" s="799"/>
    </row>
    <row r="632" spans="1:12" s="598" customFormat="1">
      <c r="A632" s="673">
        <v>624</v>
      </c>
      <c r="B632" s="609" t="s">
        <v>5366</v>
      </c>
      <c r="C632" s="638" t="s">
        <v>5372</v>
      </c>
      <c r="D632" s="638" t="s">
        <v>6404</v>
      </c>
      <c r="E632" s="638">
        <v>1994</v>
      </c>
      <c r="F632" s="638" t="s">
        <v>6405</v>
      </c>
      <c r="G632" s="802"/>
      <c r="H632" s="640"/>
      <c r="I632" s="641"/>
      <c r="J632" s="642"/>
      <c r="K632" s="799"/>
      <c r="L632" s="799"/>
    </row>
    <row r="633" spans="1:12" s="598" customFormat="1">
      <c r="A633" s="673">
        <v>625</v>
      </c>
      <c r="B633" s="609" t="s">
        <v>5366</v>
      </c>
      <c r="C633" s="638" t="s">
        <v>5428</v>
      </c>
      <c r="D633" s="638" t="s">
        <v>6406</v>
      </c>
      <c r="E633" s="638">
        <v>1992</v>
      </c>
      <c r="F633" s="638" t="s">
        <v>6407</v>
      </c>
      <c r="G633" s="802"/>
      <c r="H633" s="640"/>
      <c r="I633" s="641"/>
      <c r="J633" s="642"/>
      <c r="K633" s="799"/>
      <c r="L633" s="799"/>
    </row>
    <row r="634" spans="1:12" s="598" customFormat="1">
      <c r="A634" s="673">
        <v>626</v>
      </c>
      <c r="B634" s="609" t="s">
        <v>5366</v>
      </c>
      <c r="C634" s="638" t="s">
        <v>5378</v>
      </c>
      <c r="D634" s="638" t="s">
        <v>5586</v>
      </c>
      <c r="E634" s="638">
        <v>1987</v>
      </c>
      <c r="F634" s="638" t="s">
        <v>6408</v>
      </c>
      <c r="G634" s="802"/>
      <c r="H634" s="640"/>
      <c r="I634" s="641"/>
      <c r="J634" s="642"/>
      <c r="K634" s="799"/>
      <c r="L634" s="799"/>
    </row>
    <row r="635" spans="1:12" s="598" customFormat="1">
      <c r="A635" s="673">
        <v>627</v>
      </c>
      <c r="B635" s="609" t="s">
        <v>5366</v>
      </c>
      <c r="C635" s="638"/>
      <c r="D635" s="638"/>
      <c r="E635" s="638">
        <v>1992</v>
      </c>
      <c r="F635" s="638" t="s">
        <v>6409</v>
      </c>
      <c r="G635" s="802"/>
      <c r="H635" s="640"/>
      <c r="I635" s="641"/>
      <c r="J635" s="642"/>
      <c r="K635" s="799"/>
      <c r="L635" s="799"/>
    </row>
    <row r="636" spans="1:12" s="598" customFormat="1">
      <c r="A636" s="673">
        <v>628</v>
      </c>
      <c r="B636" s="609" t="s">
        <v>5366</v>
      </c>
      <c r="C636" s="638" t="s">
        <v>5378</v>
      </c>
      <c r="D636" s="638" t="s">
        <v>6410</v>
      </c>
      <c r="E636" s="638">
        <v>1988</v>
      </c>
      <c r="F636" s="638" t="s">
        <v>6411</v>
      </c>
      <c r="G636" s="802"/>
      <c r="H636" s="640"/>
      <c r="I636" s="641"/>
      <c r="J636" s="642"/>
      <c r="K636" s="799"/>
      <c r="L636" s="799"/>
    </row>
    <row r="637" spans="1:12" s="598" customFormat="1">
      <c r="A637" s="673">
        <v>629</v>
      </c>
      <c r="B637" s="609" t="s">
        <v>5366</v>
      </c>
      <c r="C637" s="638" t="s">
        <v>5378</v>
      </c>
      <c r="D637" s="638" t="s">
        <v>6260</v>
      </c>
      <c r="E637" s="638">
        <v>1997</v>
      </c>
      <c r="F637" s="638" t="s">
        <v>6412</v>
      </c>
      <c r="G637" s="802"/>
      <c r="H637" s="640"/>
      <c r="I637" s="641"/>
      <c r="J637" s="642"/>
      <c r="K637" s="799"/>
      <c r="L637" s="799"/>
    </row>
    <row r="638" spans="1:12" s="598" customFormat="1">
      <c r="A638" s="673">
        <v>630</v>
      </c>
      <c r="B638" s="609" t="s">
        <v>5366</v>
      </c>
      <c r="C638" s="638" t="s">
        <v>5378</v>
      </c>
      <c r="D638" s="638" t="s">
        <v>6362</v>
      </c>
      <c r="E638" s="638">
        <v>1987</v>
      </c>
      <c r="F638" s="638" t="s">
        <v>6413</v>
      </c>
      <c r="G638" s="802"/>
      <c r="H638" s="640"/>
      <c r="I638" s="641"/>
      <c r="J638" s="642"/>
      <c r="K638" s="799"/>
      <c r="L638" s="799"/>
    </row>
    <row r="639" spans="1:12" s="598" customFormat="1">
      <c r="A639" s="673">
        <v>631</v>
      </c>
      <c r="B639" s="609" t="s">
        <v>5366</v>
      </c>
      <c r="C639" s="638" t="s">
        <v>5378</v>
      </c>
      <c r="D639" s="638" t="s">
        <v>5697</v>
      </c>
      <c r="E639" s="638">
        <v>1990</v>
      </c>
      <c r="F639" s="638" t="s">
        <v>6414</v>
      </c>
      <c r="G639" s="802"/>
      <c r="H639" s="640"/>
      <c r="I639" s="641"/>
      <c r="J639" s="642"/>
      <c r="K639" s="799"/>
      <c r="L639" s="799"/>
    </row>
    <row r="640" spans="1:12" s="598" customFormat="1">
      <c r="A640" s="673">
        <v>632</v>
      </c>
      <c r="B640" s="609" t="s">
        <v>5366</v>
      </c>
      <c r="C640" s="638" t="s">
        <v>5378</v>
      </c>
      <c r="D640" s="638" t="s">
        <v>5697</v>
      </c>
      <c r="E640" s="638">
        <v>1992</v>
      </c>
      <c r="F640" s="638" t="s">
        <v>6415</v>
      </c>
      <c r="G640" s="802"/>
      <c r="H640" s="640"/>
      <c r="I640" s="641"/>
      <c r="J640" s="642"/>
      <c r="K640" s="799"/>
      <c r="L640" s="799"/>
    </row>
    <row r="641" spans="1:12" s="598" customFormat="1">
      <c r="A641" s="673">
        <v>633</v>
      </c>
      <c r="B641" s="609" t="s">
        <v>5366</v>
      </c>
      <c r="C641" s="638" t="s">
        <v>5372</v>
      </c>
      <c r="D641" s="638" t="s">
        <v>6416</v>
      </c>
      <c r="E641" s="638">
        <v>1990</v>
      </c>
      <c r="F641" s="638" t="s">
        <v>6417</v>
      </c>
      <c r="G641" s="802"/>
      <c r="H641" s="640"/>
      <c r="I641" s="641"/>
      <c r="J641" s="642"/>
      <c r="K641" s="799"/>
      <c r="L641" s="799"/>
    </row>
    <row r="642" spans="1:12" s="598" customFormat="1">
      <c r="A642" s="673">
        <v>634</v>
      </c>
      <c r="B642" s="609" t="s">
        <v>5366</v>
      </c>
      <c r="C642" s="638" t="s">
        <v>5372</v>
      </c>
      <c r="D642" s="638" t="s">
        <v>5627</v>
      </c>
      <c r="E642" s="638">
        <v>1997</v>
      </c>
      <c r="F642" s="638" t="s">
        <v>6418</v>
      </c>
      <c r="G642" s="802"/>
      <c r="H642" s="640"/>
      <c r="I642" s="641"/>
      <c r="J642" s="642"/>
      <c r="K642" s="799"/>
      <c r="L642" s="799"/>
    </row>
    <row r="643" spans="1:12" s="598" customFormat="1">
      <c r="A643" s="673">
        <v>635</v>
      </c>
      <c r="B643" s="609" t="s">
        <v>5366</v>
      </c>
      <c r="C643" s="638" t="s">
        <v>5378</v>
      </c>
      <c r="D643" s="638" t="s">
        <v>6419</v>
      </c>
      <c r="E643" s="638">
        <v>1993</v>
      </c>
      <c r="F643" s="638" t="s">
        <v>6420</v>
      </c>
      <c r="G643" s="802"/>
      <c r="H643" s="640"/>
      <c r="I643" s="641"/>
      <c r="J643" s="642"/>
      <c r="K643" s="799"/>
      <c r="L643" s="799"/>
    </row>
    <row r="644" spans="1:12" s="598" customFormat="1">
      <c r="A644" s="673">
        <v>636</v>
      </c>
      <c r="B644" s="609" t="s">
        <v>5366</v>
      </c>
      <c r="C644" s="638" t="s">
        <v>5372</v>
      </c>
      <c r="D644" s="638" t="s">
        <v>5627</v>
      </c>
      <c r="E644" s="638">
        <v>1996</v>
      </c>
      <c r="F644" s="638" t="s">
        <v>6421</v>
      </c>
      <c r="G644" s="802"/>
      <c r="H644" s="640"/>
      <c r="I644" s="641"/>
      <c r="J644" s="642"/>
      <c r="K644" s="799"/>
      <c r="L644" s="799"/>
    </row>
    <row r="645" spans="1:12" s="598" customFormat="1">
      <c r="A645" s="673">
        <v>637</v>
      </c>
      <c r="B645" s="609" t="s">
        <v>5366</v>
      </c>
      <c r="C645" s="638" t="s">
        <v>5378</v>
      </c>
      <c r="D645" s="638" t="s">
        <v>6422</v>
      </c>
      <c r="E645" s="638">
        <v>1993</v>
      </c>
      <c r="F645" s="638" t="s">
        <v>6423</v>
      </c>
      <c r="G645" s="802"/>
      <c r="H645" s="640"/>
      <c r="I645" s="641"/>
      <c r="J645" s="642"/>
      <c r="K645" s="799"/>
      <c r="L645" s="799"/>
    </row>
    <row r="646" spans="1:12" s="598" customFormat="1">
      <c r="A646" s="673">
        <v>638</v>
      </c>
      <c r="B646" s="609" t="s">
        <v>5366</v>
      </c>
      <c r="C646" s="638" t="s">
        <v>5378</v>
      </c>
      <c r="D646" s="638" t="s">
        <v>5452</v>
      </c>
      <c r="E646" s="638">
        <v>1996</v>
      </c>
      <c r="F646" s="638" t="s">
        <v>6424</v>
      </c>
      <c r="G646" s="802"/>
      <c r="H646" s="640"/>
      <c r="I646" s="641"/>
      <c r="J646" s="642"/>
      <c r="K646" s="799"/>
      <c r="L646" s="799"/>
    </row>
    <row r="647" spans="1:12" s="598" customFormat="1">
      <c r="A647" s="673">
        <v>639</v>
      </c>
      <c r="B647" s="609" t="s">
        <v>5366</v>
      </c>
      <c r="C647" s="638" t="s">
        <v>5372</v>
      </c>
      <c r="D647" s="638" t="s">
        <v>5627</v>
      </c>
      <c r="E647" s="638">
        <v>1995</v>
      </c>
      <c r="F647" s="638" t="s">
        <v>6425</v>
      </c>
      <c r="G647" s="802"/>
      <c r="H647" s="640"/>
      <c r="I647" s="641"/>
      <c r="J647" s="642"/>
      <c r="K647" s="799"/>
      <c r="L647" s="799"/>
    </row>
    <row r="648" spans="1:12" s="598" customFormat="1">
      <c r="A648" s="673">
        <v>640</v>
      </c>
      <c r="B648" s="609" t="s">
        <v>5366</v>
      </c>
      <c r="C648" s="638" t="s">
        <v>5372</v>
      </c>
      <c r="D648" s="638" t="s">
        <v>5373</v>
      </c>
      <c r="E648" s="638">
        <v>1996</v>
      </c>
      <c r="F648" s="638" t="s">
        <v>6426</v>
      </c>
      <c r="G648" s="802"/>
      <c r="H648" s="640"/>
      <c r="I648" s="641"/>
      <c r="J648" s="642"/>
      <c r="K648" s="799"/>
      <c r="L648" s="799"/>
    </row>
    <row r="649" spans="1:12" s="598" customFormat="1">
      <c r="A649" s="673">
        <v>641</v>
      </c>
      <c r="B649" s="609" t="s">
        <v>5366</v>
      </c>
      <c r="C649" s="638" t="s">
        <v>5372</v>
      </c>
      <c r="D649" s="638" t="s">
        <v>6427</v>
      </c>
      <c r="E649" s="638">
        <v>1995</v>
      </c>
      <c r="F649" s="638" t="s">
        <v>6428</v>
      </c>
      <c r="G649" s="802"/>
      <c r="H649" s="640"/>
      <c r="I649" s="641"/>
      <c r="J649" s="642"/>
      <c r="K649" s="799"/>
      <c r="L649" s="799"/>
    </row>
    <row r="650" spans="1:12" s="598" customFormat="1">
      <c r="A650" s="673">
        <v>642</v>
      </c>
      <c r="B650" s="609" t="s">
        <v>5366</v>
      </c>
      <c r="C650" s="638" t="s">
        <v>5372</v>
      </c>
      <c r="D650" s="638" t="s">
        <v>5373</v>
      </c>
      <c r="E650" s="638">
        <v>1997</v>
      </c>
      <c r="F650" s="638" t="s">
        <v>6429</v>
      </c>
      <c r="G650" s="802"/>
      <c r="H650" s="640"/>
      <c r="I650" s="641"/>
      <c r="J650" s="642"/>
      <c r="K650" s="799"/>
      <c r="L650" s="799"/>
    </row>
    <row r="651" spans="1:12" s="598" customFormat="1">
      <c r="A651" s="673">
        <v>643</v>
      </c>
      <c r="B651" s="609" t="s">
        <v>5366</v>
      </c>
      <c r="C651" s="638" t="s">
        <v>5372</v>
      </c>
      <c r="D651" s="638" t="s">
        <v>5373</v>
      </c>
      <c r="E651" s="638">
        <v>2000</v>
      </c>
      <c r="F651" s="638" t="s">
        <v>6430</v>
      </c>
      <c r="G651" s="802"/>
      <c r="H651" s="640"/>
      <c r="I651" s="641"/>
      <c r="J651" s="642"/>
      <c r="K651" s="799"/>
      <c r="L651" s="799"/>
    </row>
    <row r="652" spans="1:12" s="598" customFormat="1">
      <c r="A652" s="673">
        <v>644</v>
      </c>
      <c r="B652" s="609" t="s">
        <v>5366</v>
      </c>
      <c r="C652" s="638" t="s">
        <v>5372</v>
      </c>
      <c r="D652" s="638" t="s">
        <v>6339</v>
      </c>
      <c r="E652" s="638">
        <v>1993</v>
      </c>
      <c r="F652" s="638" t="s">
        <v>6431</v>
      </c>
      <c r="G652" s="802"/>
      <c r="H652" s="640"/>
      <c r="I652" s="641"/>
      <c r="J652" s="642"/>
      <c r="K652" s="799"/>
      <c r="L652" s="799"/>
    </row>
    <row r="653" spans="1:12" s="598" customFormat="1">
      <c r="A653" s="673">
        <v>645</v>
      </c>
      <c r="B653" s="609" t="s">
        <v>5366</v>
      </c>
      <c r="C653" s="638" t="s">
        <v>5378</v>
      </c>
      <c r="D653" s="638" t="s">
        <v>5830</v>
      </c>
      <c r="E653" s="638" t="s">
        <v>5744</v>
      </c>
      <c r="F653" s="638" t="s">
        <v>6432</v>
      </c>
      <c r="G653" s="802"/>
      <c r="H653" s="640"/>
      <c r="I653" s="641"/>
      <c r="J653" s="642"/>
      <c r="K653" s="799"/>
      <c r="L653" s="799"/>
    </row>
    <row r="654" spans="1:12" s="598" customFormat="1">
      <c r="A654" s="673">
        <v>646</v>
      </c>
      <c r="B654" s="609" t="s">
        <v>5366</v>
      </c>
      <c r="C654" s="638" t="s">
        <v>6433</v>
      </c>
      <c r="D654" s="638" t="s">
        <v>6434</v>
      </c>
      <c r="E654" s="638" t="s">
        <v>5374</v>
      </c>
      <c r="F654" s="638" t="s">
        <v>6435</v>
      </c>
      <c r="G654" s="802"/>
      <c r="H654" s="640"/>
      <c r="I654" s="641"/>
      <c r="J654" s="642"/>
      <c r="K654" s="799"/>
      <c r="L654" s="799"/>
    </row>
    <row r="655" spans="1:12" s="598" customFormat="1">
      <c r="A655" s="673">
        <v>647</v>
      </c>
      <c r="B655" s="609" t="s">
        <v>5366</v>
      </c>
      <c r="C655" s="638" t="s">
        <v>5372</v>
      </c>
      <c r="D655" s="638" t="s">
        <v>5609</v>
      </c>
      <c r="E655" s="638" t="s">
        <v>5760</v>
      </c>
      <c r="F655" s="638" t="s">
        <v>6436</v>
      </c>
      <c r="G655" s="802"/>
      <c r="H655" s="640"/>
      <c r="I655" s="641"/>
      <c r="J655" s="642"/>
      <c r="K655" s="799"/>
      <c r="L655" s="799"/>
    </row>
    <row r="656" spans="1:12" s="598" customFormat="1">
      <c r="A656" s="673">
        <v>648</v>
      </c>
      <c r="B656" s="609" t="s">
        <v>5366</v>
      </c>
      <c r="C656" s="638" t="s">
        <v>5378</v>
      </c>
      <c r="D656" s="638" t="s">
        <v>5697</v>
      </c>
      <c r="E656" s="638" t="s">
        <v>5389</v>
      </c>
      <c r="F656" s="638" t="s">
        <v>6437</v>
      </c>
      <c r="G656" s="802"/>
      <c r="H656" s="640"/>
      <c r="I656" s="641"/>
      <c r="J656" s="642"/>
      <c r="K656" s="799"/>
      <c r="L656" s="799"/>
    </row>
    <row r="657" spans="1:12" s="598" customFormat="1">
      <c r="A657" s="673">
        <v>649</v>
      </c>
      <c r="B657" s="609" t="s">
        <v>5366</v>
      </c>
      <c r="C657" s="638" t="s">
        <v>5378</v>
      </c>
      <c r="D657" s="638" t="s">
        <v>6438</v>
      </c>
      <c r="E657" s="638">
        <v>2000</v>
      </c>
      <c r="F657" s="638" t="s">
        <v>6439</v>
      </c>
      <c r="G657" s="802"/>
      <c r="H657" s="640"/>
      <c r="I657" s="641"/>
      <c r="J657" s="642"/>
      <c r="K657" s="799"/>
      <c r="L657" s="799"/>
    </row>
    <row r="658" spans="1:12" s="598" customFormat="1">
      <c r="A658" s="673">
        <v>650</v>
      </c>
      <c r="B658" s="609" t="s">
        <v>5366</v>
      </c>
      <c r="C658" s="638" t="s">
        <v>5372</v>
      </c>
      <c r="D658" s="638" t="s">
        <v>6027</v>
      </c>
      <c r="E658" s="638">
        <v>1992</v>
      </c>
      <c r="F658" s="638" t="s">
        <v>6440</v>
      </c>
      <c r="G658" s="802"/>
      <c r="H658" s="640"/>
      <c r="I658" s="641"/>
      <c r="J658" s="642"/>
      <c r="K658" s="799"/>
      <c r="L658" s="799"/>
    </row>
    <row r="659" spans="1:12" s="598" customFormat="1">
      <c r="A659" s="673">
        <v>651</v>
      </c>
      <c r="B659" s="609" t="s">
        <v>5366</v>
      </c>
      <c r="C659" s="638" t="s">
        <v>5378</v>
      </c>
      <c r="D659" s="638" t="s">
        <v>6441</v>
      </c>
      <c r="E659" s="638">
        <v>2003</v>
      </c>
      <c r="F659" s="638" t="s">
        <v>6442</v>
      </c>
      <c r="G659" s="802"/>
      <c r="H659" s="640"/>
      <c r="I659" s="641"/>
      <c r="J659" s="642"/>
      <c r="K659" s="799"/>
      <c r="L659" s="799"/>
    </row>
    <row r="660" spans="1:12" s="598" customFormat="1">
      <c r="A660" s="673">
        <v>652</v>
      </c>
      <c r="B660" s="609" t="s">
        <v>5366</v>
      </c>
      <c r="C660" s="638" t="s">
        <v>5372</v>
      </c>
      <c r="D660" s="638" t="s">
        <v>5661</v>
      </c>
      <c r="E660" s="638">
        <v>1994</v>
      </c>
      <c r="F660" s="638" t="s">
        <v>6443</v>
      </c>
      <c r="G660" s="802"/>
      <c r="H660" s="640"/>
      <c r="I660" s="641"/>
      <c r="J660" s="642"/>
      <c r="K660" s="799"/>
      <c r="L660" s="799"/>
    </row>
    <row r="661" spans="1:12" s="598" customFormat="1">
      <c r="A661" s="673">
        <v>653</v>
      </c>
      <c r="B661" s="609" t="s">
        <v>5366</v>
      </c>
      <c r="C661" s="638" t="s">
        <v>5378</v>
      </c>
      <c r="D661" s="638">
        <v>308</v>
      </c>
      <c r="E661" s="638">
        <v>1998</v>
      </c>
      <c r="F661" s="638" t="s">
        <v>6444</v>
      </c>
      <c r="G661" s="802"/>
      <c r="H661" s="640"/>
      <c r="I661" s="641"/>
      <c r="J661" s="642"/>
      <c r="K661" s="799"/>
      <c r="L661" s="799"/>
    </row>
    <row r="662" spans="1:12" s="598" customFormat="1">
      <c r="A662" s="673">
        <v>654</v>
      </c>
      <c r="B662" s="609" t="s">
        <v>5366</v>
      </c>
      <c r="C662" s="638" t="s">
        <v>5372</v>
      </c>
      <c r="D662" s="638" t="s">
        <v>5661</v>
      </c>
      <c r="E662" s="638">
        <v>1990</v>
      </c>
      <c r="F662" s="638" t="s">
        <v>6445</v>
      </c>
      <c r="G662" s="802"/>
      <c r="H662" s="640"/>
      <c r="I662" s="641"/>
      <c r="J662" s="642"/>
      <c r="K662" s="799"/>
      <c r="L662" s="799"/>
    </row>
    <row r="663" spans="1:12" s="598" customFormat="1">
      <c r="A663" s="673">
        <v>655</v>
      </c>
      <c r="B663" s="609" t="s">
        <v>5366</v>
      </c>
      <c r="C663" s="638" t="s">
        <v>5527</v>
      </c>
      <c r="D663" s="638" t="s">
        <v>6446</v>
      </c>
      <c r="E663" s="638">
        <v>2003</v>
      </c>
      <c r="F663" s="638" t="s">
        <v>6447</v>
      </c>
      <c r="G663" s="802"/>
      <c r="H663" s="640"/>
      <c r="I663" s="641"/>
      <c r="J663" s="642"/>
      <c r="K663" s="799"/>
      <c r="L663" s="799"/>
    </row>
    <row r="664" spans="1:12" s="598" customFormat="1">
      <c r="A664" s="673">
        <v>656</v>
      </c>
      <c r="B664" s="609" t="s">
        <v>5366</v>
      </c>
      <c r="C664" s="638" t="s">
        <v>5372</v>
      </c>
      <c r="D664" s="638" t="s">
        <v>6027</v>
      </c>
      <c r="E664" s="638">
        <v>1991</v>
      </c>
      <c r="F664" s="638" t="s">
        <v>6448</v>
      </c>
      <c r="G664" s="802"/>
      <c r="H664" s="640"/>
      <c r="I664" s="641"/>
      <c r="J664" s="642"/>
      <c r="K664" s="799"/>
      <c r="L664" s="799"/>
    </row>
    <row r="665" spans="1:12" s="598" customFormat="1">
      <c r="A665" s="673">
        <v>657</v>
      </c>
      <c r="B665" s="609" t="s">
        <v>5366</v>
      </c>
      <c r="C665" s="638" t="s">
        <v>5372</v>
      </c>
      <c r="D665" s="638" t="s">
        <v>5609</v>
      </c>
      <c r="E665" s="638">
        <v>1990</v>
      </c>
      <c r="F665" s="638" t="s">
        <v>6449</v>
      </c>
      <c r="G665" s="802"/>
      <c r="H665" s="640"/>
      <c r="I665" s="641"/>
      <c r="J665" s="642"/>
      <c r="K665" s="799"/>
      <c r="L665" s="799"/>
    </row>
    <row r="666" spans="1:12" s="598" customFormat="1">
      <c r="A666" s="673">
        <v>658</v>
      </c>
      <c r="B666" s="609" t="s">
        <v>5366</v>
      </c>
      <c r="C666" s="638" t="s">
        <v>5378</v>
      </c>
      <c r="D666" s="638" t="s">
        <v>5506</v>
      </c>
      <c r="E666" s="638">
        <v>1998</v>
      </c>
      <c r="F666" s="638" t="s">
        <v>6450</v>
      </c>
      <c r="G666" s="803"/>
      <c r="H666" s="640"/>
      <c r="I666" s="641"/>
      <c r="J666" s="642"/>
      <c r="K666" s="800"/>
      <c r="L666" s="800"/>
    </row>
    <row r="667" spans="1:12" s="598" customFormat="1">
      <c r="A667" s="673">
        <v>659</v>
      </c>
      <c r="B667" s="609" t="s">
        <v>5366</v>
      </c>
      <c r="C667" s="638" t="s">
        <v>5409</v>
      </c>
      <c r="D667" s="638" t="s">
        <v>6280</v>
      </c>
      <c r="E667" s="638" t="s">
        <v>5397</v>
      </c>
      <c r="F667" s="638" t="s">
        <v>5398</v>
      </c>
      <c r="G667" s="801">
        <v>2550</v>
      </c>
      <c r="H667" s="640"/>
      <c r="I667" s="641"/>
      <c r="J667" s="642"/>
      <c r="K667" s="798">
        <v>436032507</v>
      </c>
      <c r="L667" s="798" t="s">
        <v>5400</v>
      </c>
    </row>
    <row r="668" spans="1:12" s="598" customFormat="1">
      <c r="A668" s="673">
        <v>660</v>
      </c>
      <c r="B668" s="609" t="s">
        <v>6281</v>
      </c>
      <c r="C668" s="638" t="s">
        <v>5409</v>
      </c>
      <c r="D668" s="638" t="s">
        <v>5425</v>
      </c>
      <c r="E668" s="638" t="s">
        <v>5529</v>
      </c>
      <c r="F668" s="638" t="s">
        <v>6282</v>
      </c>
      <c r="G668" s="802"/>
      <c r="H668" s="640"/>
      <c r="I668" s="641"/>
      <c r="J668" s="642"/>
      <c r="K668" s="799"/>
      <c r="L668" s="799"/>
    </row>
    <row r="669" spans="1:12" s="598" customFormat="1">
      <c r="A669" s="673">
        <v>661</v>
      </c>
      <c r="B669" s="609" t="s">
        <v>5366</v>
      </c>
      <c r="C669" s="638" t="s">
        <v>5409</v>
      </c>
      <c r="D669" s="638" t="s">
        <v>6283</v>
      </c>
      <c r="E669" s="638" t="s">
        <v>5389</v>
      </c>
      <c r="F669" s="638" t="s">
        <v>6284</v>
      </c>
      <c r="G669" s="802"/>
      <c r="H669" s="640"/>
      <c r="I669" s="641"/>
      <c r="J669" s="642"/>
      <c r="K669" s="799"/>
      <c r="L669" s="799"/>
    </row>
    <row r="670" spans="1:12" s="598" customFormat="1">
      <c r="A670" s="673">
        <v>662</v>
      </c>
      <c r="B670" s="609" t="s">
        <v>5366</v>
      </c>
      <c r="C670" s="638" t="s">
        <v>5409</v>
      </c>
      <c r="D670" s="638" t="s">
        <v>6120</v>
      </c>
      <c r="E670" s="638" t="s">
        <v>5385</v>
      </c>
      <c r="F670" s="638" t="s">
        <v>6285</v>
      </c>
      <c r="G670" s="802"/>
      <c r="H670" s="640"/>
      <c r="I670" s="641"/>
      <c r="J670" s="642"/>
      <c r="K670" s="799"/>
      <c r="L670" s="799"/>
    </row>
    <row r="671" spans="1:12" s="598" customFormat="1">
      <c r="A671" s="673">
        <v>663</v>
      </c>
      <c r="B671" s="609" t="s">
        <v>5366</v>
      </c>
      <c r="C671" s="638" t="s">
        <v>5378</v>
      </c>
      <c r="D671" s="638" t="s">
        <v>6286</v>
      </c>
      <c r="E671" s="638" t="s">
        <v>5418</v>
      </c>
      <c r="F671" s="638" t="s">
        <v>6287</v>
      </c>
      <c r="G671" s="802"/>
      <c r="H671" s="640"/>
      <c r="I671" s="641"/>
      <c r="J671" s="642"/>
      <c r="K671" s="799"/>
      <c r="L671" s="799"/>
    </row>
    <row r="672" spans="1:12" s="598" customFormat="1">
      <c r="A672" s="673">
        <v>664</v>
      </c>
      <c r="B672" s="609" t="s">
        <v>5366</v>
      </c>
      <c r="C672" s="638" t="s">
        <v>5378</v>
      </c>
      <c r="D672" s="638" t="s">
        <v>5580</v>
      </c>
      <c r="E672" s="638" t="s">
        <v>5374</v>
      </c>
      <c r="F672" s="638" t="s">
        <v>6288</v>
      </c>
      <c r="G672" s="802"/>
      <c r="H672" s="640"/>
      <c r="I672" s="641"/>
      <c r="J672" s="642"/>
      <c r="K672" s="799"/>
      <c r="L672" s="799"/>
    </row>
    <row r="673" spans="1:12" s="598" customFormat="1">
      <c r="A673" s="673">
        <v>665</v>
      </c>
      <c r="B673" s="609" t="s">
        <v>5366</v>
      </c>
      <c r="C673" s="638" t="s">
        <v>5378</v>
      </c>
      <c r="D673" s="638" t="s">
        <v>5670</v>
      </c>
      <c r="E673" s="638" t="s">
        <v>5418</v>
      </c>
      <c r="F673" s="638" t="s">
        <v>6289</v>
      </c>
      <c r="G673" s="802"/>
      <c r="H673" s="640"/>
      <c r="I673" s="641"/>
      <c r="J673" s="642"/>
      <c r="K673" s="799"/>
      <c r="L673" s="799"/>
    </row>
    <row r="674" spans="1:12" s="598" customFormat="1">
      <c r="A674" s="673">
        <v>666</v>
      </c>
      <c r="B674" s="609" t="s">
        <v>5366</v>
      </c>
      <c r="C674" s="638" t="s">
        <v>5378</v>
      </c>
      <c r="D674" s="638" t="s">
        <v>5580</v>
      </c>
      <c r="E674" s="638" t="s">
        <v>5374</v>
      </c>
      <c r="F674" s="638" t="s">
        <v>6290</v>
      </c>
      <c r="G674" s="802"/>
      <c r="H674" s="640"/>
      <c r="I674" s="641"/>
      <c r="J674" s="642"/>
      <c r="K674" s="799"/>
      <c r="L674" s="799"/>
    </row>
    <row r="675" spans="1:12" s="598" customFormat="1">
      <c r="A675" s="673">
        <v>667</v>
      </c>
      <c r="B675" s="609" t="s">
        <v>5366</v>
      </c>
      <c r="C675" s="638" t="s">
        <v>5378</v>
      </c>
      <c r="D675" s="638" t="s">
        <v>5580</v>
      </c>
      <c r="E675" s="638" t="s">
        <v>5487</v>
      </c>
      <c r="F675" s="638" t="s">
        <v>6291</v>
      </c>
      <c r="G675" s="802"/>
      <c r="H675" s="640"/>
      <c r="I675" s="641"/>
      <c r="J675" s="642"/>
      <c r="K675" s="799"/>
      <c r="L675" s="799"/>
    </row>
    <row r="676" spans="1:12" s="598" customFormat="1">
      <c r="A676" s="673">
        <v>668</v>
      </c>
      <c r="B676" s="609" t="s">
        <v>5366</v>
      </c>
      <c r="C676" s="638" t="s">
        <v>5378</v>
      </c>
      <c r="D676" s="638" t="s">
        <v>5452</v>
      </c>
      <c r="E676" s="638" t="s">
        <v>5418</v>
      </c>
      <c r="F676" s="638" t="s">
        <v>6292</v>
      </c>
      <c r="G676" s="802"/>
      <c r="H676" s="640"/>
      <c r="I676" s="641"/>
      <c r="J676" s="642"/>
      <c r="K676" s="799"/>
      <c r="L676" s="799"/>
    </row>
    <row r="677" spans="1:12" s="598" customFormat="1">
      <c r="A677" s="673">
        <v>669</v>
      </c>
      <c r="B677" s="609" t="s">
        <v>5366</v>
      </c>
      <c r="C677" s="638" t="s">
        <v>5378</v>
      </c>
      <c r="D677" s="638" t="s">
        <v>5415</v>
      </c>
      <c r="E677" s="638" t="s">
        <v>5385</v>
      </c>
      <c r="F677" s="638" t="s">
        <v>6293</v>
      </c>
      <c r="G677" s="802"/>
      <c r="H677" s="640"/>
      <c r="I677" s="641"/>
      <c r="J677" s="642"/>
      <c r="K677" s="799"/>
      <c r="L677" s="799"/>
    </row>
    <row r="678" spans="1:12" s="598" customFormat="1">
      <c r="A678" s="673">
        <v>670</v>
      </c>
      <c r="B678" s="609" t="s">
        <v>5366</v>
      </c>
      <c r="C678" s="638" t="s">
        <v>5378</v>
      </c>
      <c r="D678" s="638" t="s">
        <v>5580</v>
      </c>
      <c r="E678" s="638" t="s">
        <v>5487</v>
      </c>
      <c r="F678" s="638" t="s">
        <v>6294</v>
      </c>
      <c r="G678" s="802"/>
      <c r="H678" s="640"/>
      <c r="I678" s="641"/>
      <c r="J678" s="642"/>
      <c r="K678" s="799"/>
      <c r="L678" s="799"/>
    </row>
    <row r="679" spans="1:12" s="598" customFormat="1">
      <c r="A679" s="673">
        <v>671</v>
      </c>
      <c r="B679" s="609" t="s">
        <v>5366</v>
      </c>
      <c r="C679" s="638" t="s">
        <v>5378</v>
      </c>
      <c r="D679" s="638" t="s">
        <v>5452</v>
      </c>
      <c r="E679" s="638" t="s">
        <v>5507</v>
      </c>
      <c r="F679" s="638" t="s">
        <v>6295</v>
      </c>
      <c r="G679" s="802"/>
      <c r="H679" s="640"/>
      <c r="I679" s="641"/>
      <c r="J679" s="642"/>
      <c r="K679" s="799"/>
      <c r="L679" s="799"/>
    </row>
    <row r="680" spans="1:12" s="598" customFormat="1">
      <c r="A680" s="673">
        <v>672</v>
      </c>
      <c r="B680" s="609" t="s">
        <v>5366</v>
      </c>
      <c r="C680" s="638" t="s">
        <v>5378</v>
      </c>
      <c r="D680" s="638" t="s">
        <v>5476</v>
      </c>
      <c r="E680" s="638" t="s">
        <v>5418</v>
      </c>
      <c r="F680" s="638" t="s">
        <v>6296</v>
      </c>
      <c r="G680" s="802"/>
      <c r="H680" s="640"/>
      <c r="I680" s="641"/>
      <c r="J680" s="642"/>
      <c r="K680" s="799"/>
      <c r="L680" s="799"/>
    </row>
    <row r="681" spans="1:12" s="598" customFormat="1">
      <c r="A681" s="673">
        <v>673</v>
      </c>
      <c r="B681" s="609" t="s">
        <v>5366</v>
      </c>
      <c r="C681" s="638" t="s">
        <v>5378</v>
      </c>
      <c r="D681" s="638" t="s">
        <v>5452</v>
      </c>
      <c r="E681" s="638" t="s">
        <v>5418</v>
      </c>
      <c r="F681" s="638" t="s">
        <v>6297</v>
      </c>
      <c r="G681" s="803"/>
      <c r="H681" s="640"/>
      <c r="I681" s="641"/>
      <c r="J681" s="642"/>
      <c r="K681" s="800"/>
      <c r="L681" s="800"/>
    </row>
    <row r="682" spans="1:12" s="598" customFormat="1">
      <c r="A682" s="673">
        <v>674</v>
      </c>
      <c r="B682" s="609" t="s">
        <v>5366</v>
      </c>
      <c r="C682" s="638" t="s">
        <v>6451</v>
      </c>
      <c r="D682" s="638" t="s">
        <v>6452</v>
      </c>
      <c r="E682" s="638" t="s">
        <v>5733</v>
      </c>
      <c r="F682" s="638" t="s">
        <v>6453</v>
      </c>
      <c r="G682" s="801">
        <v>800</v>
      </c>
      <c r="H682" s="640"/>
      <c r="I682" s="641"/>
      <c r="J682" s="642"/>
      <c r="K682" s="798">
        <v>426111904</v>
      </c>
      <c r="L682" s="798" t="s">
        <v>6454</v>
      </c>
    </row>
    <row r="683" spans="1:12" s="598" customFormat="1">
      <c r="A683" s="673">
        <v>675</v>
      </c>
      <c r="B683" s="609" t="s">
        <v>5366</v>
      </c>
      <c r="C683" s="638" t="s">
        <v>6451</v>
      </c>
      <c r="D683" s="638" t="s">
        <v>6452</v>
      </c>
      <c r="E683" s="638" t="s">
        <v>5733</v>
      </c>
      <c r="F683" s="638" t="s">
        <v>6455</v>
      </c>
      <c r="G683" s="802"/>
      <c r="H683" s="640"/>
      <c r="I683" s="641"/>
      <c r="J683" s="642"/>
      <c r="K683" s="799"/>
      <c r="L683" s="799"/>
    </row>
    <row r="684" spans="1:12" s="598" customFormat="1">
      <c r="A684" s="673">
        <v>676</v>
      </c>
      <c r="B684" s="609" t="s">
        <v>5366</v>
      </c>
      <c r="C684" s="638" t="s">
        <v>6456</v>
      </c>
      <c r="D684" s="638" t="s">
        <v>6457</v>
      </c>
      <c r="E684" s="638" t="s">
        <v>6458</v>
      </c>
      <c r="F684" s="638" t="s">
        <v>6459</v>
      </c>
      <c r="G684" s="802"/>
      <c r="H684" s="640"/>
      <c r="I684" s="641"/>
      <c r="J684" s="642"/>
      <c r="K684" s="799"/>
      <c r="L684" s="799"/>
    </row>
    <row r="685" spans="1:12" s="598" customFormat="1">
      <c r="A685" s="673">
        <v>677</v>
      </c>
      <c r="B685" s="609" t="s">
        <v>5366</v>
      </c>
      <c r="C685" s="638" t="s">
        <v>6451</v>
      </c>
      <c r="D685" s="638" t="s">
        <v>6452</v>
      </c>
      <c r="E685" s="638" t="s">
        <v>5374</v>
      </c>
      <c r="F685" s="638" t="s">
        <v>6460</v>
      </c>
      <c r="G685" s="803"/>
      <c r="H685" s="640"/>
      <c r="I685" s="641"/>
      <c r="J685" s="642"/>
      <c r="K685" s="800"/>
      <c r="L685" s="800"/>
    </row>
    <row r="686" spans="1:12" s="598" customFormat="1">
      <c r="A686" s="673">
        <v>678</v>
      </c>
      <c r="B686" s="609" t="s">
        <v>5366</v>
      </c>
      <c r="C686" s="638" t="s">
        <v>5378</v>
      </c>
      <c r="D686" s="638" t="s">
        <v>5467</v>
      </c>
      <c r="E686" s="638" t="s">
        <v>5385</v>
      </c>
      <c r="F686" s="638" t="s">
        <v>5468</v>
      </c>
      <c r="G686" s="639">
        <v>125</v>
      </c>
      <c r="H686" s="640"/>
      <c r="I686" s="641"/>
      <c r="J686" s="642"/>
      <c r="K686" s="641" t="s">
        <v>5469</v>
      </c>
      <c r="L686" s="641" t="s">
        <v>6461</v>
      </c>
    </row>
    <row r="687" spans="1:12" s="598" customFormat="1">
      <c r="A687" s="673">
        <v>679</v>
      </c>
      <c r="B687" s="609" t="s">
        <v>5366</v>
      </c>
      <c r="C687" s="638" t="s">
        <v>5470</v>
      </c>
      <c r="D687" s="638" t="s">
        <v>6462</v>
      </c>
      <c r="E687" s="638" t="s">
        <v>5389</v>
      </c>
      <c r="F687" s="638" t="s">
        <v>6463</v>
      </c>
      <c r="G687" s="639">
        <v>125</v>
      </c>
      <c r="H687" s="640"/>
      <c r="I687" s="641"/>
      <c r="J687" s="642"/>
      <c r="K687" s="641" t="s">
        <v>6464</v>
      </c>
      <c r="L687" s="641" t="s">
        <v>6465</v>
      </c>
    </row>
    <row r="688" spans="1:12" s="598" customFormat="1">
      <c r="A688" s="673">
        <v>680</v>
      </c>
      <c r="B688" s="609" t="s">
        <v>5366</v>
      </c>
      <c r="C688" s="638" t="s">
        <v>5470</v>
      </c>
      <c r="D688" s="638" t="s">
        <v>5471</v>
      </c>
      <c r="E688" s="638" t="s">
        <v>5418</v>
      </c>
      <c r="F688" s="638" t="s">
        <v>5472</v>
      </c>
      <c r="G688" s="639">
        <v>125</v>
      </c>
      <c r="H688" s="640"/>
      <c r="I688" s="641"/>
      <c r="J688" s="642"/>
      <c r="K688" s="641" t="s">
        <v>5473</v>
      </c>
      <c r="L688" s="641" t="s">
        <v>6466</v>
      </c>
    </row>
    <row r="689" spans="1:12" s="598" customFormat="1">
      <c r="A689" s="673">
        <v>681</v>
      </c>
      <c r="B689" s="609" t="s">
        <v>5366</v>
      </c>
      <c r="C689" s="638" t="s">
        <v>5378</v>
      </c>
      <c r="D689" s="638" t="s">
        <v>6467</v>
      </c>
      <c r="E689" s="638" t="s">
        <v>5507</v>
      </c>
      <c r="F689" s="638" t="s">
        <v>6468</v>
      </c>
      <c r="G689" s="639">
        <v>125</v>
      </c>
      <c r="H689" s="640"/>
      <c r="I689" s="641"/>
      <c r="J689" s="642"/>
      <c r="K689" s="641" t="s">
        <v>6469</v>
      </c>
      <c r="L689" s="641" t="s">
        <v>6470</v>
      </c>
    </row>
    <row r="690" spans="1:12" s="598" customFormat="1">
      <c r="A690" s="673">
        <v>682</v>
      </c>
      <c r="B690" s="609" t="s">
        <v>5366</v>
      </c>
      <c r="C690" s="638" t="s">
        <v>6026</v>
      </c>
      <c r="D690" s="638" t="s">
        <v>6471</v>
      </c>
      <c r="E690" s="638" t="s">
        <v>5760</v>
      </c>
      <c r="F690" s="638" t="s">
        <v>6472</v>
      </c>
      <c r="G690" s="801">
        <v>400</v>
      </c>
      <c r="H690" s="640"/>
      <c r="I690" s="641"/>
      <c r="J690" s="642"/>
      <c r="K690" s="798">
        <v>216394391</v>
      </c>
      <c r="L690" s="798" t="s">
        <v>6473</v>
      </c>
    </row>
    <row r="691" spans="1:12" s="598" customFormat="1">
      <c r="A691" s="673">
        <v>683</v>
      </c>
      <c r="B691" s="609" t="s">
        <v>5366</v>
      </c>
      <c r="C691" s="638" t="s">
        <v>6026</v>
      </c>
      <c r="D691" s="638" t="s">
        <v>6471</v>
      </c>
      <c r="E691" s="638" t="s">
        <v>5581</v>
      </c>
      <c r="F691" s="638" t="s">
        <v>6474</v>
      </c>
      <c r="G691" s="802"/>
      <c r="H691" s="640"/>
      <c r="I691" s="641"/>
      <c r="J691" s="642"/>
      <c r="K691" s="799"/>
      <c r="L691" s="799"/>
    </row>
    <row r="692" spans="1:12" s="598" customFormat="1">
      <c r="A692" s="673">
        <v>684</v>
      </c>
      <c r="B692" s="609" t="s">
        <v>5366</v>
      </c>
      <c r="C692" s="638" t="s">
        <v>5799</v>
      </c>
      <c r="D692" s="638" t="s">
        <v>6475</v>
      </c>
      <c r="E692" s="638" t="s">
        <v>5397</v>
      </c>
      <c r="F692" s="638" t="s">
        <v>6476</v>
      </c>
      <c r="G692" s="802"/>
      <c r="H692" s="640"/>
      <c r="I692" s="641"/>
      <c r="J692" s="642"/>
      <c r="K692" s="799"/>
      <c r="L692" s="799"/>
    </row>
    <row r="693" spans="1:12" s="598" customFormat="1">
      <c r="A693" s="673">
        <v>685</v>
      </c>
      <c r="B693" s="609" t="s">
        <v>5366</v>
      </c>
      <c r="C693" s="638" t="s">
        <v>6026</v>
      </c>
      <c r="D693" s="638" t="s">
        <v>6471</v>
      </c>
      <c r="E693" s="638" t="s">
        <v>5581</v>
      </c>
      <c r="F693" s="638" t="s">
        <v>6477</v>
      </c>
      <c r="G693" s="802"/>
      <c r="H693" s="640"/>
      <c r="I693" s="641"/>
      <c r="J693" s="642"/>
      <c r="K693" s="799"/>
      <c r="L693" s="799"/>
    </row>
    <row r="694" spans="1:12" s="598" customFormat="1">
      <c r="A694" s="673">
        <v>686</v>
      </c>
      <c r="B694" s="609" t="s">
        <v>5366</v>
      </c>
      <c r="C694" s="638" t="s">
        <v>6026</v>
      </c>
      <c r="D694" s="638" t="s">
        <v>6471</v>
      </c>
      <c r="E694" s="638" t="s">
        <v>5733</v>
      </c>
      <c r="F694" s="638" t="s">
        <v>6478</v>
      </c>
      <c r="G694" s="802"/>
      <c r="H694" s="640"/>
      <c r="I694" s="641"/>
      <c r="J694" s="642"/>
      <c r="K694" s="799"/>
      <c r="L694" s="799"/>
    </row>
    <row r="695" spans="1:12" s="598" customFormat="1">
      <c r="A695" s="673">
        <v>687</v>
      </c>
      <c r="B695" s="609" t="s">
        <v>5366</v>
      </c>
      <c r="C695" s="638" t="s">
        <v>6026</v>
      </c>
      <c r="D695" s="638" t="s">
        <v>6479</v>
      </c>
      <c r="E695" s="638" t="s">
        <v>5507</v>
      </c>
      <c r="F695" s="638" t="s">
        <v>6480</v>
      </c>
      <c r="G695" s="802"/>
      <c r="H695" s="640"/>
      <c r="I695" s="641"/>
      <c r="J695" s="642"/>
      <c r="K695" s="799"/>
      <c r="L695" s="799"/>
    </row>
    <row r="696" spans="1:12" s="598" customFormat="1">
      <c r="A696" s="673">
        <v>688</v>
      </c>
      <c r="B696" s="609" t="s">
        <v>5366</v>
      </c>
      <c r="C696" s="638" t="s">
        <v>6026</v>
      </c>
      <c r="D696" s="638" t="s">
        <v>6481</v>
      </c>
      <c r="E696" s="638" t="s">
        <v>5760</v>
      </c>
      <c r="F696" s="638" t="s">
        <v>6482</v>
      </c>
      <c r="G696" s="802"/>
      <c r="H696" s="640"/>
      <c r="I696" s="641"/>
      <c r="J696" s="642"/>
      <c r="K696" s="799"/>
      <c r="L696" s="799"/>
    </row>
    <row r="697" spans="1:12" s="598" customFormat="1">
      <c r="A697" s="673">
        <v>689</v>
      </c>
      <c r="B697" s="609" t="s">
        <v>5366</v>
      </c>
      <c r="C697" s="638" t="s">
        <v>6026</v>
      </c>
      <c r="D697" s="638" t="s">
        <v>6483</v>
      </c>
      <c r="E697" s="638" t="s">
        <v>5487</v>
      </c>
      <c r="F697" s="638" t="s">
        <v>6484</v>
      </c>
      <c r="G697" s="802"/>
      <c r="H697" s="640"/>
      <c r="I697" s="641"/>
      <c r="J697" s="642"/>
      <c r="K697" s="799"/>
      <c r="L697" s="799"/>
    </row>
    <row r="698" spans="1:12" s="598" customFormat="1">
      <c r="A698" s="673">
        <v>690</v>
      </c>
      <c r="B698" s="609" t="s">
        <v>5366</v>
      </c>
      <c r="C698" s="638" t="s">
        <v>6026</v>
      </c>
      <c r="D698" s="638" t="s">
        <v>6481</v>
      </c>
      <c r="E698" s="638" t="s">
        <v>5403</v>
      </c>
      <c r="F698" s="638" t="s">
        <v>6485</v>
      </c>
      <c r="G698" s="802"/>
      <c r="H698" s="640"/>
      <c r="I698" s="641"/>
      <c r="J698" s="642"/>
      <c r="K698" s="799"/>
      <c r="L698" s="799"/>
    </row>
    <row r="699" spans="1:12" s="598" customFormat="1">
      <c r="A699" s="673">
        <v>691</v>
      </c>
      <c r="B699" s="609" t="s">
        <v>5366</v>
      </c>
      <c r="C699" s="638" t="s">
        <v>6026</v>
      </c>
      <c r="D699" s="638" t="s">
        <v>6481</v>
      </c>
      <c r="E699" s="638" t="s">
        <v>5374</v>
      </c>
      <c r="F699" s="638" t="s">
        <v>6486</v>
      </c>
      <c r="G699" s="803"/>
      <c r="H699" s="640"/>
      <c r="I699" s="641"/>
      <c r="J699" s="642"/>
      <c r="K699" s="800"/>
      <c r="L699" s="800"/>
    </row>
    <row r="700" spans="1:12" s="598" customFormat="1">
      <c r="A700" s="673">
        <v>692</v>
      </c>
      <c r="B700" s="609" t="s">
        <v>5366</v>
      </c>
      <c r="C700" s="638" t="s">
        <v>6026</v>
      </c>
      <c r="D700" s="638" t="s">
        <v>6487</v>
      </c>
      <c r="E700" s="638" t="s">
        <v>5374</v>
      </c>
      <c r="F700" s="638" t="s">
        <v>6488</v>
      </c>
      <c r="G700" s="801">
        <v>400</v>
      </c>
      <c r="H700" s="640"/>
      <c r="I700" s="641"/>
      <c r="J700" s="642"/>
      <c r="K700" s="798">
        <v>216417045</v>
      </c>
      <c r="L700" s="798" t="s">
        <v>6489</v>
      </c>
    </row>
    <row r="701" spans="1:12" s="598" customFormat="1">
      <c r="A701" s="673">
        <v>693</v>
      </c>
      <c r="B701" s="609" t="s">
        <v>5366</v>
      </c>
      <c r="C701" s="638" t="s">
        <v>6026</v>
      </c>
      <c r="D701" s="638" t="s">
        <v>6471</v>
      </c>
      <c r="E701" s="638" t="s">
        <v>5403</v>
      </c>
      <c r="F701" s="638" t="s">
        <v>6490</v>
      </c>
      <c r="G701" s="802"/>
      <c r="H701" s="640"/>
      <c r="I701" s="641"/>
      <c r="J701" s="642"/>
      <c r="K701" s="799"/>
      <c r="L701" s="799"/>
    </row>
    <row r="702" spans="1:12" s="598" customFormat="1">
      <c r="A702" s="673">
        <v>694</v>
      </c>
      <c r="B702" s="609" t="s">
        <v>5366</v>
      </c>
      <c r="C702" s="638" t="s">
        <v>6026</v>
      </c>
      <c r="D702" s="638" t="s">
        <v>6491</v>
      </c>
      <c r="E702" s="638" t="s">
        <v>5487</v>
      </c>
      <c r="F702" s="638" t="s">
        <v>6492</v>
      </c>
      <c r="G702" s="802"/>
      <c r="H702" s="640"/>
      <c r="I702" s="641"/>
      <c r="J702" s="642"/>
      <c r="K702" s="799"/>
      <c r="L702" s="799"/>
    </row>
    <row r="703" spans="1:12" s="598" customFormat="1">
      <c r="A703" s="673">
        <v>695</v>
      </c>
      <c r="B703" s="609" t="s">
        <v>5366</v>
      </c>
      <c r="C703" s="638" t="s">
        <v>6026</v>
      </c>
      <c r="D703" s="638" t="s">
        <v>6471</v>
      </c>
      <c r="E703" s="638">
        <v>1992</v>
      </c>
      <c r="F703" s="638" t="s">
        <v>6493</v>
      </c>
      <c r="G703" s="802"/>
      <c r="H703" s="640"/>
      <c r="I703" s="641"/>
      <c r="J703" s="642"/>
      <c r="K703" s="799"/>
      <c r="L703" s="799"/>
    </row>
    <row r="704" spans="1:12" s="598" customFormat="1">
      <c r="A704" s="673">
        <v>696</v>
      </c>
      <c r="B704" s="609" t="s">
        <v>5366</v>
      </c>
      <c r="C704" s="638" t="s">
        <v>6026</v>
      </c>
      <c r="D704" s="638" t="s">
        <v>6471</v>
      </c>
      <c r="E704" s="638">
        <v>1996</v>
      </c>
      <c r="F704" s="638" t="s">
        <v>6494</v>
      </c>
      <c r="G704" s="802"/>
      <c r="H704" s="640"/>
      <c r="I704" s="641"/>
      <c r="J704" s="642"/>
      <c r="K704" s="799"/>
      <c r="L704" s="799"/>
    </row>
    <row r="705" spans="1:12" s="598" customFormat="1">
      <c r="A705" s="673">
        <v>697</v>
      </c>
      <c r="B705" s="609" t="s">
        <v>5366</v>
      </c>
      <c r="C705" s="638" t="s">
        <v>6026</v>
      </c>
      <c r="D705" s="638" t="s">
        <v>6471</v>
      </c>
      <c r="E705" s="638">
        <v>1990</v>
      </c>
      <c r="F705" s="638" t="s">
        <v>6495</v>
      </c>
      <c r="G705" s="802"/>
      <c r="H705" s="640"/>
      <c r="I705" s="641"/>
      <c r="J705" s="642"/>
      <c r="K705" s="799"/>
      <c r="L705" s="799"/>
    </row>
    <row r="706" spans="1:12" s="598" customFormat="1">
      <c r="A706" s="673">
        <v>698</v>
      </c>
      <c r="B706" s="609" t="s">
        <v>5366</v>
      </c>
      <c r="C706" s="638" t="s">
        <v>6026</v>
      </c>
      <c r="D706" s="638" t="s">
        <v>6471</v>
      </c>
      <c r="E706" s="638">
        <v>1994</v>
      </c>
      <c r="F706" s="638" t="s">
        <v>6496</v>
      </c>
      <c r="G706" s="802"/>
      <c r="H706" s="640"/>
      <c r="I706" s="641"/>
      <c r="J706" s="642"/>
      <c r="K706" s="799"/>
      <c r="L706" s="799"/>
    </row>
    <row r="707" spans="1:12" s="598" customFormat="1">
      <c r="A707" s="673">
        <v>699</v>
      </c>
      <c r="B707" s="609" t="s">
        <v>5366</v>
      </c>
      <c r="C707" s="638" t="s">
        <v>5799</v>
      </c>
      <c r="D707" s="638" t="s">
        <v>6475</v>
      </c>
      <c r="E707" s="638">
        <v>2002</v>
      </c>
      <c r="F707" s="638" t="s">
        <v>6497</v>
      </c>
      <c r="G707" s="802"/>
      <c r="H707" s="640"/>
      <c r="I707" s="641"/>
      <c r="J707" s="642"/>
      <c r="K707" s="799"/>
      <c r="L707" s="799"/>
    </row>
    <row r="708" spans="1:12" s="598" customFormat="1">
      <c r="A708" s="673">
        <v>700</v>
      </c>
      <c r="B708" s="609" t="s">
        <v>5366</v>
      </c>
      <c r="C708" s="638" t="s">
        <v>6026</v>
      </c>
      <c r="D708" s="638" t="s">
        <v>6471</v>
      </c>
      <c r="E708" s="638">
        <v>1996</v>
      </c>
      <c r="F708" s="638" t="s">
        <v>6498</v>
      </c>
      <c r="G708" s="802"/>
      <c r="H708" s="640"/>
      <c r="I708" s="641"/>
      <c r="J708" s="642"/>
      <c r="K708" s="799"/>
      <c r="L708" s="799"/>
    </row>
    <row r="709" spans="1:12" s="598" customFormat="1">
      <c r="A709" s="673">
        <v>701</v>
      </c>
      <c r="B709" s="609" t="s">
        <v>5366</v>
      </c>
      <c r="C709" s="638" t="s">
        <v>6026</v>
      </c>
      <c r="D709" s="638" t="s">
        <v>6471</v>
      </c>
      <c r="E709" s="638">
        <v>1998</v>
      </c>
      <c r="F709" s="638" t="s">
        <v>6499</v>
      </c>
      <c r="G709" s="803"/>
      <c r="H709" s="640"/>
      <c r="I709" s="641"/>
      <c r="J709" s="642"/>
      <c r="K709" s="800"/>
      <c r="L709" s="800"/>
    </row>
    <row r="710" spans="1:12" s="598" customFormat="1">
      <c r="A710" s="673">
        <v>702</v>
      </c>
      <c r="B710" s="609" t="s">
        <v>5366</v>
      </c>
      <c r="C710" s="638" t="s">
        <v>6026</v>
      </c>
      <c r="D710" s="638" t="s">
        <v>6471</v>
      </c>
      <c r="E710" s="638">
        <v>2003</v>
      </c>
      <c r="F710" s="638" t="s">
        <v>6500</v>
      </c>
      <c r="G710" s="801">
        <v>400</v>
      </c>
      <c r="H710" s="640"/>
      <c r="I710" s="641"/>
      <c r="J710" s="642"/>
      <c r="K710" s="798">
        <v>216394523</v>
      </c>
      <c r="L710" s="798" t="s">
        <v>6501</v>
      </c>
    </row>
    <row r="711" spans="1:12" s="598" customFormat="1">
      <c r="A711" s="673">
        <v>703</v>
      </c>
      <c r="B711" s="609" t="s">
        <v>5366</v>
      </c>
      <c r="C711" s="638" t="s">
        <v>6026</v>
      </c>
      <c r="D711" s="638" t="s">
        <v>6471</v>
      </c>
      <c r="E711" s="638">
        <v>1994</v>
      </c>
      <c r="F711" s="638" t="s">
        <v>6502</v>
      </c>
      <c r="G711" s="802"/>
      <c r="H711" s="640"/>
      <c r="I711" s="641"/>
      <c r="J711" s="642"/>
      <c r="K711" s="799"/>
      <c r="L711" s="799"/>
    </row>
    <row r="712" spans="1:12" s="598" customFormat="1">
      <c r="A712" s="673">
        <v>704</v>
      </c>
      <c r="B712" s="609" t="s">
        <v>5366</v>
      </c>
      <c r="C712" s="638" t="s">
        <v>6026</v>
      </c>
      <c r="D712" s="638" t="s">
        <v>6471</v>
      </c>
      <c r="E712" s="638">
        <v>1998</v>
      </c>
      <c r="F712" s="638" t="s">
        <v>6503</v>
      </c>
      <c r="G712" s="802"/>
      <c r="H712" s="640"/>
      <c r="I712" s="641"/>
      <c r="J712" s="642"/>
      <c r="K712" s="799"/>
      <c r="L712" s="799"/>
    </row>
    <row r="713" spans="1:12" s="598" customFormat="1">
      <c r="A713" s="673">
        <v>705</v>
      </c>
      <c r="B713" s="609" t="s">
        <v>5366</v>
      </c>
      <c r="C713" s="638" t="s">
        <v>6026</v>
      </c>
      <c r="D713" s="638" t="s">
        <v>6471</v>
      </c>
      <c r="E713" s="638">
        <v>1996</v>
      </c>
      <c r="F713" s="638" t="s">
        <v>6504</v>
      </c>
      <c r="G713" s="802"/>
      <c r="H713" s="640"/>
      <c r="I713" s="641"/>
      <c r="J713" s="642"/>
      <c r="K713" s="799"/>
      <c r="L713" s="799"/>
    </row>
    <row r="714" spans="1:12" s="598" customFormat="1">
      <c r="A714" s="673">
        <v>706</v>
      </c>
      <c r="B714" s="609" t="s">
        <v>5366</v>
      </c>
      <c r="C714" s="638" t="s">
        <v>6026</v>
      </c>
      <c r="D714" s="638" t="s">
        <v>6471</v>
      </c>
      <c r="E714" s="638">
        <v>1996</v>
      </c>
      <c r="F714" s="638" t="s">
        <v>6505</v>
      </c>
      <c r="G714" s="802"/>
      <c r="H714" s="640"/>
      <c r="I714" s="641"/>
      <c r="J714" s="642"/>
      <c r="K714" s="799"/>
      <c r="L714" s="799"/>
    </row>
    <row r="715" spans="1:12" s="598" customFormat="1">
      <c r="A715" s="673">
        <v>707</v>
      </c>
      <c r="B715" s="609" t="s">
        <v>5366</v>
      </c>
      <c r="C715" s="638" t="s">
        <v>6026</v>
      </c>
      <c r="D715" s="638" t="s">
        <v>6471</v>
      </c>
      <c r="E715" s="638">
        <v>1999</v>
      </c>
      <c r="F715" s="638" t="s">
        <v>6506</v>
      </c>
      <c r="G715" s="802"/>
      <c r="H715" s="640"/>
      <c r="I715" s="641"/>
      <c r="J715" s="642"/>
      <c r="K715" s="799"/>
      <c r="L715" s="799"/>
    </row>
    <row r="716" spans="1:12" s="598" customFormat="1">
      <c r="A716" s="673">
        <v>708</v>
      </c>
      <c r="B716" s="609" t="s">
        <v>5366</v>
      </c>
      <c r="C716" s="638" t="s">
        <v>6026</v>
      </c>
      <c r="D716" s="638" t="s">
        <v>6471</v>
      </c>
      <c r="E716" s="638">
        <v>1992</v>
      </c>
      <c r="F716" s="638" t="s">
        <v>6507</v>
      </c>
      <c r="G716" s="802"/>
      <c r="H716" s="640"/>
      <c r="I716" s="641"/>
      <c r="J716" s="642"/>
      <c r="K716" s="799"/>
      <c r="L716" s="799"/>
    </row>
    <row r="717" spans="1:12" s="598" customFormat="1">
      <c r="A717" s="673">
        <v>709</v>
      </c>
      <c r="B717" s="609" t="s">
        <v>5366</v>
      </c>
      <c r="C717" s="638" t="s">
        <v>6026</v>
      </c>
      <c r="D717" s="638" t="s">
        <v>6471</v>
      </c>
      <c r="E717" s="638">
        <v>1997</v>
      </c>
      <c r="F717" s="638" t="s">
        <v>6508</v>
      </c>
      <c r="G717" s="802"/>
      <c r="H717" s="640"/>
      <c r="I717" s="641"/>
      <c r="J717" s="642"/>
      <c r="K717" s="799"/>
      <c r="L717" s="799"/>
    </row>
    <row r="718" spans="1:12" s="598" customFormat="1">
      <c r="A718" s="673">
        <v>710</v>
      </c>
      <c r="B718" s="609" t="s">
        <v>5366</v>
      </c>
      <c r="C718" s="638" t="s">
        <v>6026</v>
      </c>
      <c r="D718" s="638" t="s">
        <v>6471</v>
      </c>
      <c r="E718" s="638">
        <v>1990</v>
      </c>
      <c r="F718" s="638" t="s">
        <v>6509</v>
      </c>
      <c r="G718" s="802"/>
      <c r="H718" s="640"/>
      <c r="I718" s="641"/>
      <c r="J718" s="642"/>
      <c r="K718" s="799"/>
      <c r="L718" s="799"/>
    </row>
    <row r="719" spans="1:12" s="598" customFormat="1">
      <c r="A719" s="673">
        <v>711</v>
      </c>
      <c r="B719" s="609" t="s">
        <v>5366</v>
      </c>
      <c r="C719" s="638" t="s">
        <v>5799</v>
      </c>
      <c r="D719" s="638" t="s">
        <v>6475</v>
      </c>
      <c r="E719" s="638">
        <v>1996</v>
      </c>
      <c r="F719" s="638" t="s">
        <v>6510</v>
      </c>
      <c r="G719" s="803"/>
      <c r="H719" s="640"/>
      <c r="I719" s="641"/>
      <c r="J719" s="642"/>
      <c r="K719" s="800"/>
      <c r="L719" s="800"/>
    </row>
    <row r="720" spans="1:12" s="598" customFormat="1">
      <c r="A720" s="673">
        <v>712</v>
      </c>
      <c r="B720" s="609" t="s">
        <v>5366</v>
      </c>
      <c r="C720" s="638" t="s">
        <v>5799</v>
      </c>
      <c r="D720" s="638" t="s">
        <v>6475</v>
      </c>
      <c r="E720" s="638">
        <v>2001</v>
      </c>
      <c r="F720" s="638" t="s">
        <v>6511</v>
      </c>
      <c r="G720" s="801">
        <v>500</v>
      </c>
      <c r="H720" s="640"/>
      <c r="I720" s="641"/>
      <c r="J720" s="642"/>
      <c r="K720" s="798">
        <v>404970206</v>
      </c>
      <c r="L720" s="798" t="s">
        <v>6512</v>
      </c>
    </row>
    <row r="721" spans="1:12" s="598" customFormat="1">
      <c r="A721" s="673">
        <v>713</v>
      </c>
      <c r="B721" s="609" t="s">
        <v>5366</v>
      </c>
      <c r="C721" s="638" t="s">
        <v>5799</v>
      </c>
      <c r="D721" s="638" t="s">
        <v>6475</v>
      </c>
      <c r="E721" s="638">
        <v>2001</v>
      </c>
      <c r="F721" s="638" t="s">
        <v>6513</v>
      </c>
      <c r="G721" s="802"/>
      <c r="H721" s="640"/>
      <c r="I721" s="641"/>
      <c r="J721" s="642"/>
      <c r="K721" s="799"/>
      <c r="L721" s="799"/>
    </row>
    <row r="722" spans="1:12" s="598" customFormat="1">
      <c r="A722" s="673">
        <v>714</v>
      </c>
      <c r="B722" s="609" t="s">
        <v>5366</v>
      </c>
      <c r="C722" s="638" t="s">
        <v>5799</v>
      </c>
      <c r="D722" s="638" t="s">
        <v>6475</v>
      </c>
      <c r="E722" s="638">
        <v>2007</v>
      </c>
      <c r="F722" s="638" t="s">
        <v>6514</v>
      </c>
      <c r="G722" s="802"/>
      <c r="H722" s="640"/>
      <c r="I722" s="641"/>
      <c r="J722" s="642"/>
      <c r="K722" s="799"/>
      <c r="L722" s="799"/>
    </row>
    <row r="723" spans="1:12" s="598" customFormat="1">
      <c r="A723" s="673">
        <v>715</v>
      </c>
      <c r="B723" s="609" t="s">
        <v>5366</v>
      </c>
      <c r="C723" s="638" t="s">
        <v>5799</v>
      </c>
      <c r="D723" s="638" t="s">
        <v>6475</v>
      </c>
      <c r="E723" s="638">
        <v>2003</v>
      </c>
      <c r="F723" s="638" t="s">
        <v>6515</v>
      </c>
      <c r="G723" s="802"/>
      <c r="H723" s="640"/>
      <c r="I723" s="641"/>
      <c r="J723" s="642"/>
      <c r="K723" s="799"/>
      <c r="L723" s="799"/>
    </row>
    <row r="724" spans="1:12" s="598" customFormat="1">
      <c r="A724" s="673">
        <v>716</v>
      </c>
      <c r="B724" s="609" t="s">
        <v>5366</v>
      </c>
      <c r="C724" s="638" t="s">
        <v>6516</v>
      </c>
      <c r="D724" s="638" t="s">
        <v>6475</v>
      </c>
      <c r="E724" s="638">
        <v>2002</v>
      </c>
      <c r="F724" s="638" t="s">
        <v>6517</v>
      </c>
      <c r="G724" s="802"/>
      <c r="H724" s="640"/>
      <c r="I724" s="641"/>
      <c r="J724" s="642"/>
      <c r="K724" s="799"/>
      <c r="L724" s="799"/>
    </row>
    <row r="725" spans="1:12" s="598" customFormat="1">
      <c r="A725" s="673">
        <v>717</v>
      </c>
      <c r="B725" s="609" t="s">
        <v>5366</v>
      </c>
      <c r="C725" s="638" t="s">
        <v>6518</v>
      </c>
      <c r="D725" s="638" t="s">
        <v>6475</v>
      </c>
      <c r="E725" s="638">
        <v>2001</v>
      </c>
      <c r="F725" s="638" t="s">
        <v>6519</v>
      </c>
      <c r="G725" s="802"/>
      <c r="H725" s="640"/>
      <c r="I725" s="641"/>
      <c r="J725" s="642"/>
      <c r="K725" s="799"/>
      <c r="L725" s="799"/>
    </row>
    <row r="726" spans="1:12" s="598" customFormat="1">
      <c r="A726" s="673">
        <v>718</v>
      </c>
      <c r="B726" s="609" t="s">
        <v>5366</v>
      </c>
      <c r="C726" s="638" t="s">
        <v>5799</v>
      </c>
      <c r="D726" s="638" t="s">
        <v>6475</v>
      </c>
      <c r="E726" s="638">
        <v>2009</v>
      </c>
      <c r="F726" s="638" t="s">
        <v>6520</v>
      </c>
      <c r="G726" s="802"/>
      <c r="H726" s="640"/>
      <c r="I726" s="641"/>
      <c r="J726" s="642"/>
      <c r="K726" s="799"/>
      <c r="L726" s="799"/>
    </row>
    <row r="727" spans="1:12" s="598" customFormat="1">
      <c r="A727" s="673">
        <v>719</v>
      </c>
      <c r="B727" s="609" t="s">
        <v>5366</v>
      </c>
      <c r="C727" s="638" t="s">
        <v>5799</v>
      </c>
      <c r="D727" s="638" t="s">
        <v>6475</v>
      </c>
      <c r="E727" s="638">
        <v>2007</v>
      </c>
      <c r="F727" s="638" t="s">
        <v>6521</v>
      </c>
      <c r="G727" s="802"/>
      <c r="H727" s="640"/>
      <c r="I727" s="641"/>
      <c r="J727" s="642"/>
      <c r="K727" s="799"/>
      <c r="L727" s="799"/>
    </row>
    <row r="728" spans="1:12" s="598" customFormat="1">
      <c r="A728" s="673">
        <v>720</v>
      </c>
      <c r="B728" s="609" t="s">
        <v>5366</v>
      </c>
      <c r="C728" s="638" t="s">
        <v>5799</v>
      </c>
      <c r="D728" s="638" t="s">
        <v>6475</v>
      </c>
      <c r="E728" s="638">
        <v>2004</v>
      </c>
      <c r="F728" s="638" t="s">
        <v>6522</v>
      </c>
      <c r="G728" s="802"/>
      <c r="H728" s="640"/>
      <c r="I728" s="641"/>
      <c r="J728" s="642"/>
      <c r="K728" s="799"/>
      <c r="L728" s="799"/>
    </row>
    <row r="729" spans="1:12" s="598" customFormat="1">
      <c r="A729" s="673">
        <v>721</v>
      </c>
      <c r="B729" s="609" t="s">
        <v>5366</v>
      </c>
      <c r="C729" s="638" t="s">
        <v>5799</v>
      </c>
      <c r="D729" s="638" t="s">
        <v>6475</v>
      </c>
      <c r="E729" s="638">
        <v>2001</v>
      </c>
      <c r="F729" s="638" t="s">
        <v>6523</v>
      </c>
      <c r="G729" s="803"/>
      <c r="H729" s="640"/>
      <c r="I729" s="641"/>
      <c r="J729" s="642"/>
      <c r="K729" s="800"/>
      <c r="L729" s="800"/>
    </row>
    <row r="730" spans="1:12" s="598" customFormat="1">
      <c r="A730" s="673">
        <v>722</v>
      </c>
      <c r="B730" s="609" t="s">
        <v>5366</v>
      </c>
      <c r="C730" s="638" t="s">
        <v>5378</v>
      </c>
      <c r="D730" s="638" t="s">
        <v>6524</v>
      </c>
      <c r="E730" s="638" t="s">
        <v>5411</v>
      </c>
      <c r="F730" s="638" t="s">
        <v>6525</v>
      </c>
      <c r="G730" s="801">
        <v>675</v>
      </c>
      <c r="H730" s="640"/>
      <c r="I730" s="641"/>
      <c r="J730" s="642"/>
      <c r="K730" s="798">
        <v>425358409</v>
      </c>
      <c r="L730" s="798" t="s">
        <v>6526</v>
      </c>
    </row>
    <row r="731" spans="1:12" s="598" customFormat="1">
      <c r="A731" s="673">
        <v>723</v>
      </c>
      <c r="B731" s="609" t="s">
        <v>5366</v>
      </c>
      <c r="C731" s="638" t="s">
        <v>6527</v>
      </c>
      <c r="D731" s="638" t="s">
        <v>6528</v>
      </c>
      <c r="E731" s="638" t="s">
        <v>6529</v>
      </c>
      <c r="F731" s="638" t="s">
        <v>6530</v>
      </c>
      <c r="G731" s="802"/>
      <c r="H731" s="640"/>
      <c r="I731" s="641"/>
      <c r="J731" s="642"/>
      <c r="K731" s="799"/>
      <c r="L731" s="799"/>
    </row>
    <row r="732" spans="1:12" s="598" customFormat="1">
      <c r="A732" s="673">
        <v>724</v>
      </c>
      <c r="B732" s="609" t="s">
        <v>5366</v>
      </c>
      <c r="C732" s="638" t="s">
        <v>6527</v>
      </c>
      <c r="D732" s="638" t="s">
        <v>6528</v>
      </c>
      <c r="E732" s="638" t="s">
        <v>6529</v>
      </c>
      <c r="F732" s="638" t="s">
        <v>6531</v>
      </c>
      <c r="G732" s="802"/>
      <c r="H732" s="640"/>
      <c r="I732" s="641"/>
      <c r="J732" s="642"/>
      <c r="K732" s="799"/>
      <c r="L732" s="799"/>
    </row>
    <row r="733" spans="1:12" s="598" customFormat="1">
      <c r="A733" s="673">
        <v>725</v>
      </c>
      <c r="B733" s="609" t="s">
        <v>5366</v>
      </c>
      <c r="C733" s="638" t="s">
        <v>6527</v>
      </c>
      <c r="D733" s="638" t="s">
        <v>6528</v>
      </c>
      <c r="E733" s="638" t="s">
        <v>6529</v>
      </c>
      <c r="F733" s="638" t="s">
        <v>6532</v>
      </c>
      <c r="G733" s="802"/>
      <c r="H733" s="640"/>
      <c r="I733" s="641"/>
      <c r="J733" s="642"/>
      <c r="K733" s="799"/>
      <c r="L733" s="799"/>
    </row>
    <row r="734" spans="1:12" s="598" customFormat="1">
      <c r="A734" s="673">
        <v>726</v>
      </c>
      <c r="B734" s="609" t="s">
        <v>5366</v>
      </c>
      <c r="C734" s="638" t="s">
        <v>5378</v>
      </c>
      <c r="D734" s="638" t="s">
        <v>6533</v>
      </c>
      <c r="E734" s="638" t="s">
        <v>5517</v>
      </c>
      <c r="F734" s="638" t="s">
        <v>6534</v>
      </c>
      <c r="G734" s="802"/>
      <c r="H734" s="640"/>
      <c r="I734" s="641"/>
      <c r="J734" s="642"/>
      <c r="K734" s="799"/>
      <c r="L734" s="799"/>
    </row>
    <row r="735" spans="1:12" s="598" customFormat="1">
      <c r="A735" s="673">
        <v>727</v>
      </c>
      <c r="B735" s="609" t="s">
        <v>5366</v>
      </c>
      <c r="C735" s="638" t="s">
        <v>5378</v>
      </c>
      <c r="D735" s="638" t="s">
        <v>6280</v>
      </c>
      <c r="E735" s="638" t="s">
        <v>5397</v>
      </c>
      <c r="F735" s="638" t="s">
        <v>6535</v>
      </c>
      <c r="G735" s="803"/>
      <c r="H735" s="640"/>
      <c r="I735" s="641"/>
      <c r="J735" s="642"/>
      <c r="K735" s="800"/>
      <c r="L735" s="800"/>
    </row>
    <row r="736" spans="1:12" s="598" customFormat="1">
      <c r="A736" s="673">
        <v>728</v>
      </c>
      <c r="B736" s="609" t="s">
        <v>5366</v>
      </c>
      <c r="C736" s="638" t="s">
        <v>5387</v>
      </c>
      <c r="D736" s="638" t="s">
        <v>5687</v>
      </c>
      <c r="E736" s="638" t="s">
        <v>5389</v>
      </c>
      <c r="F736" s="638" t="s">
        <v>6536</v>
      </c>
      <c r="G736" s="801">
        <v>3900</v>
      </c>
      <c r="H736" s="640"/>
      <c r="I736" s="641"/>
      <c r="J736" s="642"/>
      <c r="K736" s="798">
        <v>434160071</v>
      </c>
      <c r="L736" s="798" t="s">
        <v>5395</v>
      </c>
    </row>
    <row r="737" spans="1:12" s="598" customFormat="1">
      <c r="A737" s="673">
        <v>729</v>
      </c>
      <c r="B737" s="609" t="s">
        <v>5366</v>
      </c>
      <c r="C737" s="638" t="s">
        <v>5387</v>
      </c>
      <c r="D737" s="638" t="s">
        <v>6348</v>
      </c>
      <c r="E737" s="638" t="s">
        <v>5487</v>
      </c>
      <c r="F737" s="638" t="s">
        <v>6537</v>
      </c>
      <c r="G737" s="802"/>
      <c r="H737" s="640"/>
      <c r="I737" s="641"/>
      <c r="J737" s="642"/>
      <c r="K737" s="799"/>
      <c r="L737" s="799"/>
    </row>
    <row r="738" spans="1:12" s="598" customFormat="1">
      <c r="A738" s="673">
        <v>730</v>
      </c>
      <c r="B738" s="609" t="s">
        <v>5366</v>
      </c>
      <c r="C738" s="638" t="s">
        <v>5574</v>
      </c>
      <c r="D738" s="638" t="s">
        <v>6538</v>
      </c>
      <c r="E738" s="638" t="s">
        <v>5581</v>
      </c>
      <c r="F738" s="638" t="s">
        <v>6539</v>
      </c>
      <c r="G738" s="802"/>
      <c r="H738" s="640"/>
      <c r="I738" s="641"/>
      <c r="J738" s="642"/>
      <c r="K738" s="799"/>
      <c r="L738" s="799"/>
    </row>
    <row r="739" spans="1:12" s="598" customFormat="1">
      <c r="A739" s="673">
        <v>731</v>
      </c>
      <c r="B739" s="609" t="s">
        <v>5366</v>
      </c>
      <c r="C739" s="638" t="s">
        <v>5387</v>
      </c>
      <c r="D739" s="638" t="s">
        <v>6404</v>
      </c>
      <c r="E739" s="638" t="s">
        <v>5418</v>
      </c>
      <c r="F739" s="638" t="s">
        <v>6540</v>
      </c>
      <c r="G739" s="802"/>
      <c r="H739" s="640"/>
      <c r="I739" s="641"/>
      <c r="J739" s="642"/>
      <c r="K739" s="799"/>
      <c r="L739" s="799"/>
    </row>
    <row r="740" spans="1:12" s="598" customFormat="1">
      <c r="A740" s="673">
        <v>732</v>
      </c>
      <c r="B740" s="609" t="s">
        <v>5366</v>
      </c>
      <c r="C740" s="638" t="s">
        <v>5387</v>
      </c>
      <c r="D740" s="638" t="s">
        <v>5545</v>
      </c>
      <c r="E740" s="638" t="s">
        <v>5418</v>
      </c>
      <c r="F740" s="638" t="s">
        <v>6541</v>
      </c>
      <c r="G740" s="802"/>
      <c r="H740" s="640"/>
      <c r="I740" s="641"/>
      <c r="J740" s="642"/>
      <c r="K740" s="799"/>
      <c r="L740" s="799"/>
    </row>
    <row r="741" spans="1:12" s="598" customFormat="1">
      <c r="A741" s="673">
        <v>733</v>
      </c>
      <c r="B741" s="609" t="s">
        <v>5366</v>
      </c>
      <c r="C741" s="638" t="s">
        <v>5387</v>
      </c>
      <c r="D741" s="638" t="s">
        <v>6348</v>
      </c>
      <c r="E741" s="638" t="s">
        <v>5418</v>
      </c>
      <c r="F741" s="638" t="s">
        <v>6542</v>
      </c>
      <c r="G741" s="802"/>
      <c r="H741" s="640"/>
      <c r="I741" s="641"/>
      <c r="J741" s="642"/>
      <c r="K741" s="799"/>
      <c r="L741" s="799"/>
    </row>
    <row r="742" spans="1:12" s="598" customFormat="1">
      <c r="A742" s="673">
        <v>734</v>
      </c>
      <c r="B742" s="609" t="s">
        <v>5366</v>
      </c>
      <c r="C742" s="638" t="s">
        <v>5387</v>
      </c>
      <c r="D742" s="638" t="s">
        <v>5768</v>
      </c>
      <c r="E742" s="638" t="s">
        <v>5507</v>
      </c>
      <c r="F742" s="638" t="s">
        <v>6543</v>
      </c>
      <c r="G742" s="802"/>
      <c r="H742" s="640"/>
      <c r="I742" s="641"/>
      <c r="J742" s="642"/>
      <c r="K742" s="799"/>
      <c r="L742" s="799"/>
    </row>
    <row r="743" spans="1:12" s="598" customFormat="1">
      <c r="A743" s="673">
        <v>735</v>
      </c>
      <c r="B743" s="609" t="s">
        <v>5366</v>
      </c>
      <c r="C743" s="638" t="s">
        <v>5574</v>
      </c>
      <c r="D743" s="638" t="s">
        <v>5697</v>
      </c>
      <c r="E743" s="638" t="s">
        <v>5733</v>
      </c>
      <c r="F743" s="638" t="s">
        <v>6544</v>
      </c>
      <c r="G743" s="802"/>
      <c r="H743" s="640"/>
      <c r="I743" s="641"/>
      <c r="J743" s="642"/>
      <c r="K743" s="799"/>
      <c r="L743" s="799"/>
    </row>
    <row r="744" spans="1:12" s="598" customFormat="1">
      <c r="A744" s="673">
        <v>736</v>
      </c>
      <c r="B744" s="609" t="s">
        <v>5366</v>
      </c>
      <c r="C744" s="638" t="s">
        <v>5574</v>
      </c>
      <c r="D744" s="638" t="s">
        <v>5452</v>
      </c>
      <c r="E744" s="638" t="s">
        <v>5392</v>
      </c>
      <c r="F744" s="638" t="s">
        <v>6545</v>
      </c>
      <c r="G744" s="802"/>
      <c r="H744" s="640"/>
      <c r="I744" s="641"/>
      <c r="J744" s="642"/>
      <c r="K744" s="799"/>
      <c r="L744" s="799"/>
    </row>
    <row r="745" spans="1:12" s="598" customFormat="1">
      <c r="A745" s="673">
        <v>737</v>
      </c>
      <c r="B745" s="609" t="s">
        <v>5366</v>
      </c>
      <c r="C745" s="638" t="s">
        <v>5574</v>
      </c>
      <c r="D745" s="638" t="s">
        <v>5641</v>
      </c>
      <c r="E745" s="638" t="s">
        <v>5487</v>
      </c>
      <c r="F745" s="638" t="s">
        <v>6546</v>
      </c>
      <c r="G745" s="802"/>
      <c r="H745" s="640"/>
      <c r="I745" s="641"/>
      <c r="J745" s="642"/>
      <c r="K745" s="799"/>
      <c r="L745" s="799"/>
    </row>
    <row r="746" spans="1:12" s="598" customFormat="1">
      <c r="A746" s="673">
        <v>738</v>
      </c>
      <c r="B746" s="609" t="s">
        <v>5366</v>
      </c>
      <c r="C746" s="638" t="s">
        <v>5574</v>
      </c>
      <c r="D746" s="638" t="s">
        <v>5580</v>
      </c>
      <c r="E746" s="638" t="s">
        <v>5760</v>
      </c>
      <c r="F746" s="638" t="s">
        <v>6547</v>
      </c>
      <c r="G746" s="802"/>
      <c r="H746" s="640"/>
      <c r="I746" s="641"/>
      <c r="J746" s="642"/>
      <c r="K746" s="799"/>
      <c r="L746" s="799"/>
    </row>
    <row r="747" spans="1:12" s="598" customFormat="1">
      <c r="A747" s="673">
        <v>739</v>
      </c>
      <c r="B747" s="609" t="s">
        <v>5366</v>
      </c>
      <c r="C747" s="638" t="s">
        <v>5387</v>
      </c>
      <c r="D747" s="638" t="s">
        <v>6027</v>
      </c>
      <c r="E747" s="638" t="s">
        <v>5392</v>
      </c>
      <c r="F747" s="638" t="s">
        <v>6548</v>
      </c>
      <c r="G747" s="802"/>
      <c r="H747" s="640"/>
      <c r="I747" s="641"/>
      <c r="J747" s="642"/>
      <c r="K747" s="799"/>
      <c r="L747" s="799"/>
    </row>
    <row r="748" spans="1:12" s="598" customFormat="1">
      <c r="A748" s="673">
        <v>740</v>
      </c>
      <c r="B748" s="609" t="s">
        <v>5366</v>
      </c>
      <c r="C748" s="638" t="s">
        <v>5387</v>
      </c>
      <c r="D748" s="638" t="s">
        <v>5768</v>
      </c>
      <c r="E748" s="638" t="s">
        <v>5487</v>
      </c>
      <c r="F748" s="638" t="s">
        <v>6549</v>
      </c>
      <c r="G748" s="802"/>
      <c r="H748" s="640"/>
      <c r="I748" s="641"/>
      <c r="J748" s="642"/>
      <c r="K748" s="799"/>
      <c r="L748" s="799"/>
    </row>
    <row r="749" spans="1:12" s="598" customFormat="1">
      <c r="A749" s="673">
        <v>741</v>
      </c>
      <c r="B749" s="609" t="s">
        <v>5366</v>
      </c>
      <c r="C749" s="638" t="s">
        <v>5574</v>
      </c>
      <c r="D749" s="638" t="s">
        <v>5586</v>
      </c>
      <c r="E749" s="638" t="s">
        <v>5757</v>
      </c>
      <c r="F749" s="638" t="s">
        <v>6550</v>
      </c>
      <c r="G749" s="802"/>
      <c r="H749" s="640"/>
      <c r="I749" s="641"/>
      <c r="J749" s="642"/>
      <c r="K749" s="799"/>
      <c r="L749" s="799"/>
    </row>
    <row r="750" spans="1:12" s="598" customFormat="1">
      <c r="A750" s="673">
        <v>742</v>
      </c>
      <c r="B750" s="609" t="s">
        <v>5366</v>
      </c>
      <c r="C750" s="638" t="s">
        <v>5387</v>
      </c>
      <c r="D750" s="638" t="s">
        <v>6404</v>
      </c>
      <c r="E750" s="638" t="s">
        <v>5389</v>
      </c>
      <c r="F750" s="638" t="s">
        <v>6551</v>
      </c>
      <c r="G750" s="802"/>
      <c r="H750" s="640"/>
      <c r="I750" s="641"/>
      <c r="J750" s="642"/>
      <c r="K750" s="799"/>
      <c r="L750" s="799"/>
    </row>
    <row r="751" spans="1:12" s="598" customFormat="1">
      <c r="A751" s="673">
        <v>743</v>
      </c>
      <c r="B751" s="609" t="s">
        <v>5366</v>
      </c>
      <c r="C751" s="638" t="s">
        <v>5574</v>
      </c>
      <c r="D751" s="638" t="s">
        <v>6552</v>
      </c>
      <c r="E751" s="638" t="s">
        <v>5418</v>
      </c>
      <c r="F751" s="638" t="s">
        <v>6553</v>
      </c>
      <c r="G751" s="802"/>
      <c r="H751" s="640"/>
      <c r="I751" s="641"/>
      <c r="J751" s="642"/>
      <c r="K751" s="799"/>
      <c r="L751" s="799"/>
    </row>
    <row r="752" spans="1:12" s="598" customFormat="1">
      <c r="A752" s="673">
        <v>744</v>
      </c>
      <c r="B752" s="609" t="s">
        <v>5366</v>
      </c>
      <c r="C752" s="638" t="s">
        <v>5387</v>
      </c>
      <c r="D752" s="638" t="s">
        <v>6554</v>
      </c>
      <c r="E752" s="638" t="s">
        <v>5581</v>
      </c>
      <c r="F752" s="638" t="s">
        <v>6555</v>
      </c>
      <c r="G752" s="802"/>
      <c r="H752" s="640"/>
      <c r="I752" s="641"/>
      <c r="J752" s="642"/>
      <c r="K752" s="799"/>
      <c r="L752" s="799"/>
    </row>
    <row r="753" spans="1:12" s="598" customFormat="1">
      <c r="A753" s="673">
        <v>745</v>
      </c>
      <c r="B753" s="609" t="s">
        <v>5366</v>
      </c>
      <c r="C753" s="638" t="s">
        <v>5387</v>
      </c>
      <c r="D753" s="638" t="s">
        <v>5373</v>
      </c>
      <c r="E753" s="638" t="s">
        <v>5418</v>
      </c>
      <c r="F753" s="638" t="s">
        <v>6556</v>
      </c>
      <c r="G753" s="802"/>
      <c r="H753" s="640"/>
      <c r="I753" s="641"/>
      <c r="J753" s="642"/>
      <c r="K753" s="799"/>
      <c r="L753" s="799"/>
    </row>
    <row r="754" spans="1:12" s="598" customFormat="1">
      <c r="A754" s="673">
        <v>746</v>
      </c>
      <c r="B754" s="609" t="s">
        <v>5366</v>
      </c>
      <c r="C754" s="638" t="s">
        <v>5387</v>
      </c>
      <c r="D754" s="638" t="s">
        <v>5373</v>
      </c>
      <c r="E754" s="638" t="s">
        <v>5418</v>
      </c>
      <c r="F754" s="638" t="s">
        <v>6557</v>
      </c>
      <c r="G754" s="802"/>
      <c r="H754" s="640"/>
      <c r="I754" s="641"/>
      <c r="J754" s="642"/>
      <c r="K754" s="799"/>
      <c r="L754" s="799"/>
    </row>
    <row r="755" spans="1:12" s="598" customFormat="1">
      <c r="A755" s="673">
        <v>747</v>
      </c>
      <c r="B755" s="609" t="s">
        <v>5366</v>
      </c>
      <c r="C755" s="638" t="s">
        <v>5574</v>
      </c>
      <c r="D755" s="638" t="s">
        <v>5452</v>
      </c>
      <c r="E755" s="638" t="s">
        <v>5507</v>
      </c>
      <c r="F755" s="638" t="s">
        <v>6558</v>
      </c>
      <c r="G755" s="802"/>
      <c r="H755" s="640"/>
      <c r="I755" s="641"/>
      <c r="J755" s="642"/>
      <c r="K755" s="799"/>
      <c r="L755" s="799"/>
    </row>
    <row r="756" spans="1:12" s="598" customFormat="1">
      <c r="A756" s="673">
        <v>748</v>
      </c>
      <c r="B756" s="609" t="s">
        <v>5366</v>
      </c>
      <c r="C756" s="638" t="s">
        <v>5387</v>
      </c>
      <c r="D756" s="638" t="s">
        <v>6427</v>
      </c>
      <c r="E756" s="638" t="s">
        <v>5760</v>
      </c>
      <c r="F756" s="638" t="s">
        <v>6559</v>
      </c>
      <c r="G756" s="802"/>
      <c r="H756" s="640"/>
      <c r="I756" s="641"/>
      <c r="J756" s="642"/>
      <c r="K756" s="799"/>
      <c r="L756" s="799"/>
    </row>
    <row r="757" spans="1:12" s="598" customFormat="1">
      <c r="A757" s="673">
        <v>749</v>
      </c>
      <c r="B757" s="609" t="s">
        <v>5366</v>
      </c>
      <c r="C757" s="638" t="s">
        <v>5387</v>
      </c>
      <c r="D757" s="638" t="s">
        <v>5609</v>
      </c>
      <c r="E757" s="638" t="s">
        <v>5760</v>
      </c>
      <c r="F757" s="638" t="s">
        <v>6560</v>
      </c>
      <c r="G757" s="802"/>
      <c r="H757" s="640"/>
      <c r="I757" s="641"/>
      <c r="J757" s="642"/>
      <c r="K757" s="799"/>
      <c r="L757" s="799"/>
    </row>
    <row r="758" spans="1:12" s="598" customFormat="1">
      <c r="A758" s="673">
        <v>750</v>
      </c>
      <c r="B758" s="609" t="s">
        <v>5366</v>
      </c>
      <c r="C758" s="638" t="s">
        <v>5387</v>
      </c>
      <c r="D758" s="638" t="s">
        <v>5373</v>
      </c>
      <c r="E758" s="638" t="s">
        <v>5392</v>
      </c>
      <c r="F758" s="638" t="s">
        <v>6561</v>
      </c>
      <c r="G758" s="802"/>
      <c r="H758" s="640"/>
      <c r="I758" s="641"/>
      <c r="J758" s="642"/>
      <c r="K758" s="799"/>
      <c r="L758" s="799"/>
    </row>
    <row r="759" spans="1:12" s="598" customFormat="1">
      <c r="A759" s="673">
        <v>751</v>
      </c>
      <c r="B759" s="609" t="s">
        <v>5366</v>
      </c>
      <c r="C759" s="638" t="s">
        <v>5574</v>
      </c>
      <c r="D759" s="638" t="s">
        <v>5670</v>
      </c>
      <c r="E759" s="638" t="s">
        <v>5507</v>
      </c>
      <c r="F759" s="638" t="s">
        <v>6562</v>
      </c>
      <c r="G759" s="802"/>
      <c r="H759" s="640"/>
      <c r="I759" s="641"/>
      <c r="J759" s="642"/>
      <c r="K759" s="799"/>
      <c r="L759" s="799"/>
    </row>
    <row r="760" spans="1:12" s="598" customFormat="1">
      <c r="A760" s="673">
        <v>752</v>
      </c>
      <c r="B760" s="609" t="s">
        <v>5366</v>
      </c>
      <c r="C760" s="638" t="s">
        <v>5574</v>
      </c>
      <c r="D760" s="638" t="s">
        <v>5447</v>
      </c>
      <c r="E760" s="638" t="s">
        <v>5374</v>
      </c>
      <c r="F760" s="638" t="s">
        <v>6563</v>
      </c>
      <c r="G760" s="802"/>
      <c r="H760" s="640"/>
      <c r="I760" s="641"/>
      <c r="J760" s="642"/>
      <c r="K760" s="799"/>
      <c r="L760" s="799"/>
    </row>
    <row r="761" spans="1:12" s="598" customFormat="1">
      <c r="A761" s="673">
        <v>753</v>
      </c>
      <c r="B761" s="609" t="s">
        <v>5366</v>
      </c>
      <c r="C761" s="638" t="s">
        <v>5574</v>
      </c>
      <c r="D761" s="638" t="s">
        <v>5580</v>
      </c>
      <c r="E761" s="638" t="s">
        <v>5760</v>
      </c>
      <c r="F761" s="638" t="s">
        <v>6564</v>
      </c>
      <c r="G761" s="802"/>
      <c r="H761" s="640"/>
      <c r="I761" s="641"/>
      <c r="J761" s="642"/>
      <c r="K761" s="799"/>
      <c r="L761" s="799"/>
    </row>
    <row r="762" spans="1:12" s="598" customFormat="1">
      <c r="A762" s="673">
        <v>754</v>
      </c>
      <c r="B762" s="609" t="s">
        <v>5366</v>
      </c>
      <c r="C762" s="638" t="s">
        <v>5387</v>
      </c>
      <c r="D762" s="638" t="s">
        <v>5373</v>
      </c>
      <c r="E762" s="638" t="s">
        <v>5418</v>
      </c>
      <c r="F762" s="638" t="s">
        <v>6565</v>
      </c>
      <c r="G762" s="802"/>
      <c r="H762" s="640"/>
      <c r="I762" s="641"/>
      <c r="J762" s="642"/>
      <c r="K762" s="799"/>
      <c r="L762" s="799"/>
    </row>
    <row r="763" spans="1:12" s="598" customFormat="1">
      <c r="A763" s="673">
        <v>755</v>
      </c>
      <c r="B763" s="609" t="s">
        <v>5366</v>
      </c>
      <c r="C763" s="638" t="s">
        <v>5387</v>
      </c>
      <c r="D763" s="638" t="s">
        <v>5373</v>
      </c>
      <c r="E763" s="638" t="s">
        <v>5389</v>
      </c>
      <c r="F763" s="638" t="s">
        <v>6566</v>
      </c>
      <c r="G763" s="802"/>
      <c r="H763" s="640"/>
      <c r="I763" s="641"/>
      <c r="J763" s="642"/>
      <c r="K763" s="799"/>
      <c r="L763" s="799"/>
    </row>
    <row r="764" spans="1:12" s="598" customFormat="1">
      <c r="A764" s="673">
        <v>756</v>
      </c>
      <c r="B764" s="609" t="s">
        <v>5366</v>
      </c>
      <c r="C764" s="638" t="s">
        <v>5387</v>
      </c>
      <c r="D764" s="638" t="s">
        <v>5687</v>
      </c>
      <c r="E764" s="638" t="s">
        <v>5389</v>
      </c>
      <c r="F764" s="638" t="s">
        <v>6567</v>
      </c>
      <c r="G764" s="802"/>
      <c r="H764" s="640"/>
      <c r="I764" s="641"/>
      <c r="J764" s="642"/>
      <c r="K764" s="799"/>
      <c r="L764" s="799"/>
    </row>
    <row r="765" spans="1:12" s="598" customFormat="1">
      <c r="A765" s="673">
        <v>757</v>
      </c>
      <c r="B765" s="609" t="s">
        <v>5366</v>
      </c>
      <c r="C765" s="638" t="s">
        <v>5387</v>
      </c>
      <c r="D765" s="638" t="s">
        <v>6568</v>
      </c>
      <c r="E765" s="638" t="s">
        <v>5487</v>
      </c>
      <c r="F765" s="638" t="s">
        <v>6569</v>
      </c>
      <c r="G765" s="803"/>
      <c r="H765" s="640"/>
      <c r="I765" s="641"/>
      <c r="J765" s="642"/>
      <c r="K765" s="800"/>
      <c r="L765" s="800"/>
    </row>
    <row r="766" spans="1:12" s="598" customFormat="1">
      <c r="A766" s="673">
        <v>758</v>
      </c>
      <c r="B766" s="609" t="s">
        <v>5366</v>
      </c>
      <c r="C766" s="638" t="s">
        <v>5378</v>
      </c>
      <c r="D766" s="638" t="s">
        <v>5379</v>
      </c>
      <c r="E766" s="638" t="s">
        <v>5380</v>
      </c>
      <c r="F766" s="638" t="s">
        <v>5381</v>
      </c>
      <c r="G766" s="801">
        <v>3500</v>
      </c>
      <c r="H766" s="640"/>
      <c r="I766" s="641"/>
      <c r="J766" s="642"/>
      <c r="K766" s="798">
        <v>416303048</v>
      </c>
      <c r="L766" s="798" t="s">
        <v>6570</v>
      </c>
    </row>
    <row r="767" spans="1:12" s="598" customFormat="1">
      <c r="A767" s="673">
        <v>759</v>
      </c>
      <c r="B767" s="609" t="s">
        <v>5366</v>
      </c>
      <c r="C767" s="638" t="s">
        <v>6571</v>
      </c>
      <c r="D767" s="638" t="s">
        <v>5384</v>
      </c>
      <c r="E767" s="638" t="s">
        <v>5385</v>
      </c>
      <c r="F767" s="638" t="s">
        <v>5386</v>
      </c>
      <c r="G767" s="802"/>
      <c r="H767" s="640"/>
      <c r="I767" s="641"/>
      <c r="J767" s="642"/>
      <c r="K767" s="799"/>
      <c r="L767" s="799"/>
    </row>
    <row r="768" spans="1:12" s="598" customFormat="1">
      <c r="A768" s="673">
        <v>760</v>
      </c>
      <c r="B768" s="609" t="s">
        <v>5366</v>
      </c>
      <c r="C768" s="638" t="s">
        <v>5387</v>
      </c>
      <c r="D768" s="638" t="s">
        <v>6572</v>
      </c>
      <c r="E768" s="638" t="s">
        <v>5389</v>
      </c>
      <c r="F768" s="638" t="s">
        <v>5390</v>
      </c>
      <c r="G768" s="802"/>
      <c r="H768" s="640"/>
      <c r="I768" s="641"/>
      <c r="J768" s="642"/>
      <c r="K768" s="799"/>
      <c r="L768" s="799"/>
    </row>
    <row r="769" spans="1:12" s="598" customFormat="1">
      <c r="A769" s="673">
        <v>761</v>
      </c>
      <c r="B769" s="609" t="s">
        <v>5366</v>
      </c>
      <c r="C769" s="638" t="s">
        <v>5387</v>
      </c>
      <c r="D769" s="638" t="s">
        <v>5611</v>
      </c>
      <c r="E769" s="638" t="s">
        <v>5389</v>
      </c>
      <c r="F769" s="638" t="s">
        <v>6573</v>
      </c>
      <c r="G769" s="802"/>
      <c r="H769" s="640"/>
      <c r="I769" s="641"/>
      <c r="J769" s="642"/>
      <c r="K769" s="799"/>
      <c r="L769" s="799"/>
    </row>
    <row r="770" spans="1:12" s="598" customFormat="1">
      <c r="A770" s="673">
        <v>762</v>
      </c>
      <c r="B770" s="609" t="s">
        <v>5366</v>
      </c>
      <c r="C770" s="638" t="s">
        <v>5387</v>
      </c>
      <c r="D770" s="638" t="s">
        <v>6574</v>
      </c>
      <c r="E770" s="638" t="s">
        <v>5389</v>
      </c>
      <c r="F770" s="638" t="s">
        <v>6575</v>
      </c>
      <c r="G770" s="802"/>
      <c r="H770" s="640"/>
      <c r="I770" s="641"/>
      <c r="J770" s="642"/>
      <c r="K770" s="799"/>
      <c r="L770" s="799"/>
    </row>
    <row r="771" spans="1:12" s="598" customFormat="1">
      <c r="A771" s="673">
        <v>763</v>
      </c>
      <c r="B771" s="609" t="s">
        <v>5366</v>
      </c>
      <c r="C771" s="638" t="s">
        <v>5378</v>
      </c>
      <c r="D771" s="638" t="s">
        <v>6576</v>
      </c>
      <c r="E771" s="638" t="s">
        <v>5529</v>
      </c>
      <c r="F771" s="638" t="s">
        <v>6577</v>
      </c>
      <c r="G771" s="802"/>
      <c r="H771" s="640"/>
      <c r="I771" s="641"/>
      <c r="J771" s="642"/>
      <c r="K771" s="799"/>
      <c r="L771" s="799"/>
    </row>
    <row r="772" spans="1:12" s="598" customFormat="1">
      <c r="A772" s="673">
        <v>764</v>
      </c>
      <c r="B772" s="609" t="s">
        <v>5366</v>
      </c>
      <c r="C772" s="638" t="s">
        <v>5378</v>
      </c>
      <c r="D772" s="638" t="s">
        <v>5415</v>
      </c>
      <c r="E772" s="638" t="s">
        <v>5397</v>
      </c>
      <c r="F772" s="638" t="s">
        <v>6578</v>
      </c>
      <c r="G772" s="802"/>
      <c r="H772" s="640"/>
      <c r="I772" s="641"/>
      <c r="J772" s="642"/>
      <c r="K772" s="799"/>
      <c r="L772" s="799"/>
    </row>
    <row r="773" spans="1:12" s="598" customFormat="1">
      <c r="A773" s="673">
        <v>765</v>
      </c>
      <c r="B773" s="609" t="s">
        <v>5366</v>
      </c>
      <c r="C773" s="638" t="s">
        <v>5387</v>
      </c>
      <c r="D773" s="638" t="s">
        <v>5417</v>
      </c>
      <c r="E773" s="638" t="s">
        <v>5487</v>
      </c>
      <c r="F773" s="638" t="s">
        <v>6579</v>
      </c>
      <c r="G773" s="802"/>
      <c r="H773" s="640"/>
      <c r="I773" s="641"/>
      <c r="J773" s="642"/>
      <c r="K773" s="799"/>
      <c r="L773" s="799"/>
    </row>
    <row r="774" spans="1:12" s="598" customFormat="1">
      <c r="A774" s="673">
        <v>766</v>
      </c>
      <c r="B774" s="609" t="s">
        <v>5366</v>
      </c>
      <c r="C774" s="638" t="s">
        <v>5378</v>
      </c>
      <c r="D774" s="638" t="s">
        <v>5586</v>
      </c>
      <c r="E774" s="638" t="s">
        <v>5757</v>
      </c>
      <c r="F774" s="638" t="s">
        <v>6580</v>
      </c>
      <c r="G774" s="802"/>
      <c r="H774" s="640"/>
      <c r="I774" s="641"/>
      <c r="J774" s="642"/>
      <c r="K774" s="799"/>
      <c r="L774" s="799"/>
    </row>
    <row r="775" spans="1:12" s="598" customFormat="1">
      <c r="A775" s="673">
        <v>767</v>
      </c>
      <c r="B775" s="609" t="s">
        <v>5366</v>
      </c>
      <c r="C775" s="638" t="s">
        <v>5387</v>
      </c>
      <c r="D775" s="638" t="s">
        <v>6574</v>
      </c>
      <c r="E775" s="638" t="s">
        <v>5487</v>
      </c>
      <c r="F775" s="638" t="s">
        <v>6581</v>
      </c>
      <c r="G775" s="802"/>
      <c r="H775" s="640"/>
      <c r="I775" s="641"/>
      <c r="J775" s="642"/>
      <c r="K775" s="799"/>
      <c r="L775" s="799"/>
    </row>
    <row r="776" spans="1:12" s="598" customFormat="1">
      <c r="A776" s="673">
        <v>768</v>
      </c>
      <c r="B776" s="609" t="s">
        <v>5366</v>
      </c>
      <c r="C776" s="638" t="s">
        <v>5378</v>
      </c>
      <c r="D776" s="638" t="s">
        <v>5629</v>
      </c>
      <c r="E776" s="638" t="s">
        <v>5772</v>
      </c>
      <c r="F776" s="638" t="s">
        <v>6582</v>
      </c>
      <c r="G776" s="802"/>
      <c r="H776" s="640"/>
      <c r="I776" s="641"/>
      <c r="J776" s="642"/>
      <c r="K776" s="799"/>
      <c r="L776" s="799"/>
    </row>
    <row r="777" spans="1:12" s="598" customFormat="1">
      <c r="A777" s="673">
        <v>769</v>
      </c>
      <c r="B777" s="609" t="s">
        <v>5366</v>
      </c>
      <c r="C777" s="638" t="s">
        <v>5819</v>
      </c>
      <c r="D777" s="638" t="s">
        <v>5819</v>
      </c>
      <c r="E777" s="638" t="s">
        <v>5733</v>
      </c>
      <c r="F777" s="638" t="s">
        <v>6583</v>
      </c>
      <c r="G777" s="802"/>
      <c r="H777" s="640"/>
      <c r="I777" s="641"/>
      <c r="J777" s="642"/>
      <c r="K777" s="799"/>
      <c r="L777" s="799"/>
    </row>
    <row r="778" spans="1:12" s="598" customFormat="1">
      <c r="A778" s="673">
        <v>770</v>
      </c>
      <c r="B778" s="609" t="s">
        <v>5366</v>
      </c>
      <c r="C778" s="638" t="s">
        <v>5387</v>
      </c>
      <c r="D778" s="638" t="s">
        <v>6584</v>
      </c>
      <c r="E778" s="638" t="s">
        <v>5487</v>
      </c>
      <c r="F778" s="638" t="s">
        <v>6585</v>
      </c>
      <c r="G778" s="802"/>
      <c r="H778" s="640"/>
      <c r="I778" s="641"/>
      <c r="J778" s="642"/>
      <c r="K778" s="799"/>
      <c r="L778" s="799"/>
    </row>
    <row r="779" spans="1:12" s="598" customFormat="1">
      <c r="A779" s="673">
        <v>771</v>
      </c>
      <c r="B779" s="609" t="s">
        <v>5366</v>
      </c>
      <c r="C779" s="638" t="s">
        <v>5387</v>
      </c>
      <c r="D779" s="638" t="s">
        <v>5373</v>
      </c>
      <c r="E779" s="638" t="s">
        <v>5772</v>
      </c>
      <c r="F779" s="638" t="s">
        <v>6586</v>
      </c>
      <c r="G779" s="802"/>
      <c r="H779" s="640"/>
      <c r="I779" s="641"/>
      <c r="J779" s="642"/>
      <c r="K779" s="799"/>
      <c r="L779" s="799"/>
    </row>
    <row r="780" spans="1:12" s="598" customFormat="1">
      <c r="A780" s="673">
        <v>772</v>
      </c>
      <c r="B780" s="609" t="s">
        <v>5366</v>
      </c>
      <c r="C780" s="638" t="s">
        <v>5378</v>
      </c>
      <c r="D780" s="638" t="s">
        <v>5586</v>
      </c>
      <c r="E780" s="638" t="s">
        <v>5772</v>
      </c>
      <c r="F780" s="638" t="s">
        <v>6587</v>
      </c>
      <c r="G780" s="802"/>
      <c r="H780" s="640"/>
      <c r="I780" s="641"/>
      <c r="J780" s="642"/>
      <c r="K780" s="799"/>
      <c r="L780" s="799"/>
    </row>
    <row r="781" spans="1:12" s="598" customFormat="1">
      <c r="A781" s="673">
        <v>773</v>
      </c>
      <c r="B781" s="609" t="s">
        <v>5366</v>
      </c>
      <c r="C781" s="638" t="s">
        <v>5378</v>
      </c>
      <c r="D781" s="638" t="s">
        <v>5452</v>
      </c>
      <c r="E781" s="638" t="s">
        <v>5397</v>
      </c>
      <c r="F781" s="638" t="s">
        <v>6588</v>
      </c>
      <c r="G781" s="802"/>
      <c r="H781" s="640"/>
      <c r="I781" s="641"/>
      <c r="J781" s="642"/>
      <c r="K781" s="799"/>
      <c r="L781" s="799"/>
    </row>
    <row r="782" spans="1:12" s="598" customFormat="1">
      <c r="A782" s="673">
        <v>774</v>
      </c>
      <c r="B782" s="609" t="s">
        <v>5366</v>
      </c>
      <c r="C782" s="638" t="s">
        <v>5367</v>
      </c>
      <c r="D782" s="638" t="s">
        <v>5368</v>
      </c>
      <c r="E782" s="638" t="s">
        <v>5392</v>
      </c>
      <c r="F782" s="638" t="s">
        <v>6589</v>
      </c>
      <c r="G782" s="802"/>
      <c r="H782" s="640"/>
      <c r="I782" s="641"/>
      <c r="J782" s="642"/>
      <c r="K782" s="799"/>
      <c r="L782" s="799"/>
    </row>
    <row r="783" spans="1:12" s="598" customFormat="1">
      <c r="A783" s="607">
        <v>775</v>
      </c>
      <c r="B783" s="609" t="s">
        <v>5366</v>
      </c>
      <c r="C783" s="638" t="s">
        <v>5387</v>
      </c>
      <c r="D783" s="638" t="s">
        <v>6027</v>
      </c>
      <c r="E783" s="638" t="s">
        <v>5507</v>
      </c>
      <c r="F783" s="638" t="s">
        <v>6590</v>
      </c>
      <c r="G783" s="802"/>
      <c r="H783" s="640"/>
      <c r="I783" s="641"/>
      <c r="J783" s="642"/>
      <c r="K783" s="799"/>
      <c r="L783" s="799"/>
    </row>
    <row r="784" spans="1:12" s="598" customFormat="1">
      <c r="A784" s="607">
        <v>776</v>
      </c>
      <c r="B784" s="609" t="s">
        <v>5366</v>
      </c>
      <c r="C784" s="638" t="s">
        <v>5428</v>
      </c>
      <c r="D784" s="638" t="s">
        <v>5819</v>
      </c>
      <c r="E784" s="638" t="s">
        <v>5581</v>
      </c>
      <c r="F784" s="638" t="s">
        <v>6591</v>
      </c>
      <c r="G784" s="802"/>
      <c r="H784" s="640"/>
      <c r="I784" s="641"/>
      <c r="J784" s="642"/>
      <c r="K784" s="799"/>
      <c r="L784" s="799"/>
    </row>
    <row r="785" spans="1:12" s="598" customFormat="1">
      <c r="A785" s="607">
        <v>777</v>
      </c>
      <c r="B785" s="609" t="s">
        <v>5366</v>
      </c>
      <c r="C785" s="638" t="s">
        <v>5378</v>
      </c>
      <c r="D785" s="638" t="s">
        <v>5580</v>
      </c>
      <c r="E785" s="638" t="s">
        <v>5374</v>
      </c>
      <c r="F785" s="638" t="s">
        <v>6592</v>
      </c>
      <c r="G785" s="802"/>
      <c r="H785" s="640"/>
      <c r="I785" s="641"/>
      <c r="J785" s="642"/>
      <c r="K785" s="799"/>
      <c r="L785" s="799"/>
    </row>
    <row r="786" spans="1:12" s="598" customFormat="1">
      <c r="A786" s="607">
        <v>778</v>
      </c>
      <c r="B786" s="609" t="s">
        <v>5366</v>
      </c>
      <c r="C786" s="638" t="s">
        <v>5378</v>
      </c>
      <c r="D786" s="638" t="s">
        <v>5415</v>
      </c>
      <c r="E786" s="638" t="s">
        <v>5411</v>
      </c>
      <c r="F786" s="638" t="s">
        <v>6593</v>
      </c>
      <c r="G786" s="802"/>
      <c r="H786" s="640"/>
      <c r="I786" s="641"/>
      <c r="J786" s="642"/>
      <c r="K786" s="799"/>
      <c r="L786" s="799"/>
    </row>
    <row r="787" spans="1:12" s="598" customFormat="1">
      <c r="A787" s="607">
        <v>779</v>
      </c>
      <c r="B787" s="609" t="s">
        <v>5366</v>
      </c>
      <c r="C787" s="638" t="s">
        <v>5387</v>
      </c>
      <c r="D787" s="638" t="s">
        <v>5373</v>
      </c>
      <c r="E787" s="638" t="s">
        <v>5517</v>
      </c>
      <c r="F787" s="638" t="s">
        <v>6594</v>
      </c>
      <c r="G787" s="802"/>
      <c r="H787" s="640"/>
      <c r="I787" s="641"/>
      <c r="J787" s="642"/>
      <c r="K787" s="799"/>
      <c r="L787" s="799"/>
    </row>
    <row r="788" spans="1:12" s="598" customFormat="1">
      <c r="A788" s="607">
        <v>780</v>
      </c>
      <c r="B788" s="609" t="s">
        <v>5366</v>
      </c>
      <c r="C788" s="638" t="s">
        <v>5378</v>
      </c>
      <c r="D788" s="638" t="s">
        <v>6149</v>
      </c>
      <c r="E788" s="638" t="s">
        <v>5517</v>
      </c>
      <c r="F788" s="638" t="s">
        <v>6595</v>
      </c>
      <c r="G788" s="802"/>
      <c r="H788" s="640"/>
      <c r="I788" s="641"/>
      <c r="J788" s="642"/>
      <c r="K788" s="799"/>
      <c r="L788" s="799"/>
    </row>
    <row r="789" spans="1:12" s="598" customFormat="1">
      <c r="A789" s="607">
        <v>781</v>
      </c>
      <c r="B789" s="609" t="s">
        <v>5366</v>
      </c>
      <c r="C789" s="638" t="s">
        <v>5428</v>
      </c>
      <c r="D789" s="638" t="s">
        <v>6596</v>
      </c>
      <c r="E789" s="638" t="s">
        <v>5392</v>
      </c>
      <c r="F789" s="638" t="s">
        <v>6597</v>
      </c>
      <c r="G789" s="802"/>
      <c r="H789" s="640"/>
      <c r="I789" s="641"/>
      <c r="J789" s="642"/>
      <c r="K789" s="799"/>
      <c r="L789" s="799"/>
    </row>
    <row r="790" spans="1:12" s="598" customFormat="1">
      <c r="A790" s="607">
        <v>782</v>
      </c>
      <c r="B790" s="609" t="s">
        <v>5366</v>
      </c>
      <c r="C790" s="638" t="s">
        <v>5387</v>
      </c>
      <c r="D790" s="638" t="s">
        <v>5661</v>
      </c>
      <c r="E790" s="638" t="s">
        <v>5744</v>
      </c>
      <c r="F790" s="638" t="s">
        <v>6598</v>
      </c>
      <c r="G790" s="802"/>
      <c r="H790" s="640"/>
      <c r="I790" s="641"/>
      <c r="J790" s="642"/>
      <c r="K790" s="799"/>
      <c r="L790" s="799"/>
    </row>
    <row r="791" spans="1:12" s="598" customFormat="1">
      <c r="A791" s="607">
        <v>783</v>
      </c>
      <c r="B791" s="609" t="s">
        <v>5366</v>
      </c>
      <c r="C791" s="638" t="s">
        <v>5378</v>
      </c>
      <c r="D791" s="638" t="s">
        <v>5580</v>
      </c>
      <c r="E791" s="638" t="s">
        <v>5403</v>
      </c>
      <c r="F791" s="638" t="s">
        <v>6599</v>
      </c>
      <c r="G791" s="802"/>
      <c r="H791" s="640"/>
      <c r="I791" s="641"/>
      <c r="J791" s="642"/>
      <c r="K791" s="799"/>
      <c r="L791" s="799"/>
    </row>
    <row r="792" spans="1:12" s="598" customFormat="1">
      <c r="A792" s="607">
        <v>784</v>
      </c>
      <c r="B792" s="609" t="s">
        <v>5366</v>
      </c>
      <c r="C792" s="638" t="s">
        <v>5378</v>
      </c>
      <c r="D792" s="638" t="s">
        <v>5670</v>
      </c>
      <c r="E792" s="638" t="s">
        <v>5507</v>
      </c>
      <c r="F792" s="638" t="s">
        <v>6600</v>
      </c>
      <c r="G792" s="802"/>
      <c r="H792" s="640"/>
      <c r="I792" s="641"/>
      <c r="J792" s="642"/>
      <c r="K792" s="799"/>
      <c r="L792" s="799"/>
    </row>
    <row r="793" spans="1:12" s="598" customFormat="1">
      <c r="A793" s="607">
        <v>785</v>
      </c>
      <c r="B793" s="609" t="s">
        <v>5366</v>
      </c>
      <c r="C793" s="638" t="s">
        <v>5378</v>
      </c>
      <c r="D793" s="638" t="s">
        <v>5580</v>
      </c>
      <c r="E793" s="638" t="s">
        <v>5733</v>
      </c>
      <c r="F793" s="638" t="s">
        <v>6601</v>
      </c>
      <c r="G793" s="802"/>
      <c r="H793" s="640"/>
      <c r="I793" s="641"/>
      <c r="J793" s="642"/>
      <c r="K793" s="799"/>
      <c r="L793" s="799"/>
    </row>
    <row r="794" spans="1:12" s="598" customFormat="1">
      <c r="A794" s="607">
        <v>786</v>
      </c>
      <c r="B794" s="609" t="s">
        <v>5366</v>
      </c>
      <c r="C794" s="638" t="s">
        <v>5378</v>
      </c>
      <c r="D794" s="638" t="s">
        <v>5580</v>
      </c>
      <c r="E794" s="638" t="s">
        <v>5581</v>
      </c>
      <c r="F794" s="638" t="s">
        <v>6602</v>
      </c>
      <c r="G794" s="802"/>
      <c r="H794" s="640"/>
      <c r="I794" s="641"/>
      <c r="J794" s="642"/>
      <c r="K794" s="799"/>
      <c r="L794" s="799"/>
    </row>
    <row r="795" spans="1:12" s="598" customFormat="1">
      <c r="A795" s="607">
        <v>787</v>
      </c>
      <c r="B795" s="609" t="s">
        <v>5366</v>
      </c>
      <c r="C795" s="638" t="s">
        <v>5378</v>
      </c>
      <c r="D795" s="638" t="s">
        <v>5666</v>
      </c>
      <c r="E795" s="638" t="s">
        <v>5733</v>
      </c>
      <c r="F795" s="638" t="s">
        <v>6603</v>
      </c>
      <c r="G795" s="802"/>
      <c r="H795" s="640"/>
      <c r="I795" s="641"/>
      <c r="J795" s="642"/>
      <c r="K795" s="799"/>
      <c r="L795" s="799"/>
    </row>
    <row r="796" spans="1:12" s="598" customFormat="1">
      <c r="A796" s="607">
        <v>788</v>
      </c>
      <c r="B796" s="609" t="s">
        <v>5366</v>
      </c>
      <c r="C796" s="638" t="s">
        <v>5401</v>
      </c>
      <c r="D796" s="638">
        <v>18.309999999999999</v>
      </c>
      <c r="E796" s="638" t="s">
        <v>5385</v>
      </c>
      <c r="F796" s="638" t="s">
        <v>6604</v>
      </c>
      <c r="G796" s="802"/>
      <c r="H796" s="640"/>
      <c r="I796" s="641"/>
      <c r="J796" s="642"/>
      <c r="K796" s="799"/>
      <c r="L796" s="799"/>
    </row>
    <row r="797" spans="1:12" s="598" customFormat="1">
      <c r="A797" s="607">
        <v>789</v>
      </c>
      <c r="B797" s="609" t="s">
        <v>5366</v>
      </c>
      <c r="C797" s="638" t="s">
        <v>5387</v>
      </c>
      <c r="D797" s="638" t="s">
        <v>5609</v>
      </c>
      <c r="E797" s="638" t="s">
        <v>5418</v>
      </c>
      <c r="F797" s="638" t="s">
        <v>6605</v>
      </c>
      <c r="G797" s="802"/>
      <c r="H797" s="640"/>
      <c r="I797" s="641"/>
      <c r="J797" s="642"/>
      <c r="K797" s="799"/>
      <c r="L797" s="799"/>
    </row>
    <row r="798" spans="1:12" s="598" customFormat="1">
      <c r="A798" s="607">
        <v>790</v>
      </c>
      <c r="B798" s="609" t="s">
        <v>5366</v>
      </c>
      <c r="C798" s="638" t="s">
        <v>5387</v>
      </c>
      <c r="D798" s="638" t="s">
        <v>5687</v>
      </c>
      <c r="E798" s="638" t="s">
        <v>5487</v>
      </c>
      <c r="F798" s="638" t="s">
        <v>6606</v>
      </c>
      <c r="G798" s="802"/>
      <c r="H798" s="640"/>
      <c r="I798" s="641"/>
      <c r="J798" s="642"/>
      <c r="K798" s="799"/>
      <c r="L798" s="799"/>
    </row>
    <row r="799" spans="1:12" s="598" customFormat="1">
      <c r="A799" s="607">
        <v>791</v>
      </c>
      <c r="B799" s="609" t="s">
        <v>5366</v>
      </c>
      <c r="C799" s="638" t="s">
        <v>5387</v>
      </c>
      <c r="D799" s="638" t="s">
        <v>5373</v>
      </c>
      <c r="E799" s="638" t="s">
        <v>5385</v>
      </c>
      <c r="F799" s="638" t="s">
        <v>6607</v>
      </c>
      <c r="G799" s="802"/>
      <c r="H799" s="640"/>
      <c r="I799" s="641"/>
      <c r="J799" s="642"/>
      <c r="K799" s="799"/>
      <c r="L799" s="799"/>
    </row>
    <row r="800" spans="1:12" s="598" customFormat="1">
      <c r="A800" s="607">
        <v>792</v>
      </c>
      <c r="B800" s="609" t="s">
        <v>5366</v>
      </c>
      <c r="C800" s="638" t="s">
        <v>5378</v>
      </c>
      <c r="D800" s="638" t="s">
        <v>6396</v>
      </c>
      <c r="E800" s="638" t="s">
        <v>5760</v>
      </c>
      <c r="F800" s="638" t="s">
        <v>6608</v>
      </c>
      <c r="G800" s="802"/>
      <c r="H800" s="640"/>
      <c r="I800" s="641"/>
      <c r="J800" s="642"/>
      <c r="K800" s="799"/>
      <c r="L800" s="799"/>
    </row>
    <row r="801" spans="1:12" s="598" customFormat="1">
      <c r="A801" s="607">
        <v>793</v>
      </c>
      <c r="B801" s="609" t="s">
        <v>5366</v>
      </c>
      <c r="C801" s="638" t="s">
        <v>5378</v>
      </c>
      <c r="D801" s="638" t="s">
        <v>5830</v>
      </c>
      <c r="E801" s="638" t="s">
        <v>6609</v>
      </c>
      <c r="F801" s="638" t="s">
        <v>6610</v>
      </c>
      <c r="G801" s="802"/>
      <c r="H801" s="640"/>
      <c r="I801" s="641"/>
      <c r="J801" s="642"/>
      <c r="K801" s="799"/>
      <c r="L801" s="799"/>
    </row>
    <row r="802" spans="1:12" s="598" customFormat="1">
      <c r="A802" s="607">
        <v>794</v>
      </c>
      <c r="B802" s="609" t="s">
        <v>5366</v>
      </c>
      <c r="C802" s="638" t="s">
        <v>5378</v>
      </c>
      <c r="D802" s="638" t="s">
        <v>5506</v>
      </c>
      <c r="E802" s="638" t="s">
        <v>5389</v>
      </c>
      <c r="F802" s="638" t="s">
        <v>6611</v>
      </c>
      <c r="G802" s="802"/>
      <c r="H802" s="640"/>
      <c r="I802" s="641"/>
      <c r="J802" s="642"/>
      <c r="K802" s="799"/>
      <c r="L802" s="799"/>
    </row>
    <row r="803" spans="1:12" s="598" customFormat="1">
      <c r="A803" s="607">
        <v>795</v>
      </c>
      <c r="B803" s="609" t="s">
        <v>5366</v>
      </c>
      <c r="C803" s="638" t="s">
        <v>5387</v>
      </c>
      <c r="D803" s="638" t="s">
        <v>6612</v>
      </c>
      <c r="E803" s="638" t="s">
        <v>5426</v>
      </c>
      <c r="F803" s="638" t="s">
        <v>6613</v>
      </c>
      <c r="G803" s="802"/>
      <c r="H803" s="640"/>
      <c r="I803" s="641"/>
      <c r="J803" s="642"/>
      <c r="K803" s="799"/>
      <c r="L803" s="799"/>
    </row>
    <row r="804" spans="1:12" s="598" customFormat="1">
      <c r="A804" s="607">
        <v>796</v>
      </c>
      <c r="B804" s="609" t="s">
        <v>5366</v>
      </c>
      <c r="C804" s="638" t="s">
        <v>5378</v>
      </c>
      <c r="D804" s="638" t="s">
        <v>6533</v>
      </c>
      <c r="E804" s="638" t="s">
        <v>5385</v>
      </c>
      <c r="F804" s="638" t="s">
        <v>6614</v>
      </c>
      <c r="G804" s="802"/>
      <c r="H804" s="640"/>
      <c r="I804" s="641"/>
      <c r="J804" s="642"/>
      <c r="K804" s="799"/>
      <c r="L804" s="799"/>
    </row>
    <row r="805" spans="1:12" s="598" customFormat="1">
      <c r="A805" s="607">
        <v>797</v>
      </c>
      <c r="B805" s="609" t="s">
        <v>5366</v>
      </c>
      <c r="C805" s="638" t="s">
        <v>5387</v>
      </c>
      <c r="D805" s="638" t="s">
        <v>5611</v>
      </c>
      <c r="E805" s="638" t="s">
        <v>5392</v>
      </c>
      <c r="F805" s="638" t="s">
        <v>6615</v>
      </c>
      <c r="G805" s="802"/>
      <c r="H805" s="640"/>
      <c r="I805" s="641"/>
      <c r="J805" s="642"/>
      <c r="K805" s="799"/>
      <c r="L805" s="799"/>
    </row>
    <row r="806" spans="1:12" s="598" customFormat="1">
      <c r="A806" s="607">
        <v>798</v>
      </c>
      <c r="B806" s="609" t="s">
        <v>5366</v>
      </c>
      <c r="C806" s="638" t="s">
        <v>5378</v>
      </c>
      <c r="D806" s="638" t="s">
        <v>5452</v>
      </c>
      <c r="E806" s="638" t="s">
        <v>5380</v>
      </c>
      <c r="F806" s="638" t="s">
        <v>6616</v>
      </c>
      <c r="G806" s="802"/>
      <c r="H806" s="640"/>
      <c r="I806" s="641"/>
      <c r="J806" s="642"/>
      <c r="K806" s="799"/>
      <c r="L806" s="799"/>
    </row>
    <row r="807" spans="1:12" s="598" customFormat="1">
      <c r="A807" s="607">
        <v>799</v>
      </c>
      <c r="B807" s="609" t="s">
        <v>5366</v>
      </c>
      <c r="C807" s="638" t="s">
        <v>5527</v>
      </c>
      <c r="D807" s="638" t="s">
        <v>5452</v>
      </c>
      <c r="E807" s="638" t="s">
        <v>5411</v>
      </c>
      <c r="F807" s="638" t="s">
        <v>6617</v>
      </c>
      <c r="G807" s="802"/>
      <c r="H807" s="640"/>
      <c r="I807" s="641"/>
      <c r="J807" s="642"/>
      <c r="K807" s="799"/>
      <c r="L807" s="799"/>
    </row>
    <row r="808" spans="1:12" s="598" customFormat="1">
      <c r="A808" s="607">
        <v>800</v>
      </c>
      <c r="B808" s="609" t="s">
        <v>5366</v>
      </c>
      <c r="C808" s="638" t="s">
        <v>5387</v>
      </c>
      <c r="D808" s="638" t="s">
        <v>5373</v>
      </c>
      <c r="E808" s="638" t="s">
        <v>5487</v>
      </c>
      <c r="F808" s="638" t="s">
        <v>6618</v>
      </c>
      <c r="G808" s="802"/>
      <c r="H808" s="640"/>
      <c r="I808" s="641"/>
      <c r="J808" s="642"/>
      <c r="K808" s="799"/>
      <c r="L808" s="799"/>
    </row>
    <row r="809" spans="1:12" s="598" customFormat="1">
      <c r="A809" s="607">
        <v>801</v>
      </c>
      <c r="B809" s="609" t="s">
        <v>5366</v>
      </c>
      <c r="C809" s="638" t="s">
        <v>5387</v>
      </c>
      <c r="D809" s="638" t="s">
        <v>6027</v>
      </c>
      <c r="E809" s="638" t="s">
        <v>5392</v>
      </c>
      <c r="F809" s="638" t="s">
        <v>6619</v>
      </c>
      <c r="G809" s="802"/>
      <c r="H809" s="640"/>
      <c r="I809" s="641"/>
      <c r="J809" s="642"/>
      <c r="K809" s="799"/>
      <c r="L809" s="799"/>
    </row>
    <row r="810" spans="1:12" s="598" customFormat="1">
      <c r="A810" s="607">
        <v>802</v>
      </c>
      <c r="B810" s="609" t="s">
        <v>5366</v>
      </c>
      <c r="C810" s="638" t="s">
        <v>5833</v>
      </c>
      <c r="D810" s="638" t="s">
        <v>6620</v>
      </c>
      <c r="E810" s="638" t="s">
        <v>5487</v>
      </c>
      <c r="F810" s="638" t="s">
        <v>6621</v>
      </c>
      <c r="G810" s="802"/>
      <c r="H810" s="640"/>
      <c r="I810" s="641"/>
      <c r="J810" s="642"/>
      <c r="K810" s="799"/>
      <c r="L810" s="799"/>
    </row>
    <row r="811" spans="1:12" s="598" customFormat="1">
      <c r="A811" s="607">
        <v>803</v>
      </c>
      <c r="B811" s="609" t="s">
        <v>5366</v>
      </c>
      <c r="C811" s="638" t="s">
        <v>5378</v>
      </c>
      <c r="D811" s="638" t="s">
        <v>5415</v>
      </c>
      <c r="E811" s="638" t="s">
        <v>5411</v>
      </c>
      <c r="F811" s="638" t="s">
        <v>6622</v>
      </c>
      <c r="G811" s="802"/>
      <c r="H811" s="640"/>
      <c r="I811" s="641"/>
      <c r="J811" s="642"/>
      <c r="K811" s="799"/>
      <c r="L811" s="799"/>
    </row>
    <row r="812" spans="1:12" s="598" customFormat="1">
      <c r="A812" s="607">
        <v>804</v>
      </c>
      <c r="B812" s="609" t="s">
        <v>5366</v>
      </c>
      <c r="C812" s="638" t="s">
        <v>5387</v>
      </c>
      <c r="D812" s="638" t="s">
        <v>5373</v>
      </c>
      <c r="E812" s="638" t="s">
        <v>5392</v>
      </c>
      <c r="F812" s="638" t="s">
        <v>6623</v>
      </c>
      <c r="G812" s="802"/>
      <c r="H812" s="640"/>
      <c r="I812" s="641"/>
      <c r="J812" s="642"/>
      <c r="K812" s="799"/>
      <c r="L812" s="799"/>
    </row>
    <row r="813" spans="1:12" s="598" customFormat="1">
      <c r="A813" s="607">
        <v>805</v>
      </c>
      <c r="B813" s="609" t="s">
        <v>5366</v>
      </c>
      <c r="C813" s="638" t="s">
        <v>5387</v>
      </c>
      <c r="D813" s="638" t="s">
        <v>5373</v>
      </c>
      <c r="E813" s="638">
        <v>1999</v>
      </c>
      <c r="F813" s="638" t="s">
        <v>6624</v>
      </c>
      <c r="G813" s="802"/>
      <c r="H813" s="640"/>
      <c r="I813" s="641"/>
      <c r="J813" s="642"/>
      <c r="K813" s="799"/>
      <c r="L813" s="799"/>
    </row>
    <row r="814" spans="1:12" s="598" customFormat="1">
      <c r="A814" s="607">
        <v>806</v>
      </c>
      <c r="B814" s="609" t="s">
        <v>5366</v>
      </c>
      <c r="C814" s="638" t="s">
        <v>5378</v>
      </c>
      <c r="D814" s="638" t="s">
        <v>5697</v>
      </c>
      <c r="E814" s="638">
        <v>1992</v>
      </c>
      <c r="F814" s="638" t="s">
        <v>6625</v>
      </c>
      <c r="G814" s="803"/>
      <c r="H814" s="640"/>
      <c r="I814" s="641"/>
      <c r="J814" s="642"/>
      <c r="K814" s="800"/>
      <c r="L814" s="800"/>
    </row>
    <row r="815" spans="1:12" s="598" customFormat="1">
      <c r="A815" s="607">
        <v>807</v>
      </c>
      <c r="B815" s="609" t="s">
        <v>5366</v>
      </c>
      <c r="C815" s="638" t="s">
        <v>5387</v>
      </c>
      <c r="D815" s="638" t="s">
        <v>6027</v>
      </c>
      <c r="E815" s="638" t="s">
        <v>6324</v>
      </c>
      <c r="F815" s="638" t="s">
        <v>6626</v>
      </c>
      <c r="G815" s="639">
        <v>250</v>
      </c>
      <c r="H815" s="640"/>
      <c r="I815" s="641"/>
      <c r="J815" s="642"/>
      <c r="K815" s="641" t="s">
        <v>6627</v>
      </c>
      <c r="L815" s="641" t="s">
        <v>6628</v>
      </c>
    </row>
    <row r="816" spans="1:12" s="598" customFormat="1">
      <c r="A816" s="607">
        <v>808</v>
      </c>
      <c r="B816" s="609" t="s">
        <v>5366</v>
      </c>
      <c r="C816" s="638" t="s">
        <v>5387</v>
      </c>
      <c r="D816" s="638" t="s">
        <v>6404</v>
      </c>
      <c r="E816" s="638" t="s">
        <v>5418</v>
      </c>
      <c r="F816" s="638" t="s">
        <v>6629</v>
      </c>
      <c r="G816" s="639">
        <v>250</v>
      </c>
      <c r="H816" s="640"/>
      <c r="I816" s="641"/>
      <c r="J816" s="642"/>
      <c r="K816" s="641" t="s">
        <v>6630</v>
      </c>
      <c r="L816" s="641" t="s">
        <v>6631</v>
      </c>
    </row>
    <row r="817" spans="1:12" s="598" customFormat="1">
      <c r="A817" s="607">
        <v>809</v>
      </c>
      <c r="B817" s="609" t="s">
        <v>5366</v>
      </c>
      <c r="C817" s="638" t="s">
        <v>5378</v>
      </c>
      <c r="D817" s="638" t="s">
        <v>6632</v>
      </c>
      <c r="E817" s="638" t="s">
        <v>5397</v>
      </c>
      <c r="F817" s="638" t="s">
        <v>6633</v>
      </c>
      <c r="G817" s="639">
        <v>250</v>
      </c>
      <c r="H817" s="641" t="s">
        <v>6634</v>
      </c>
      <c r="I817" s="641" t="s">
        <v>6635</v>
      </c>
      <c r="J817" s="642" t="s">
        <v>6636</v>
      </c>
      <c r="K817" s="641"/>
      <c r="L817" s="641"/>
    </row>
    <row r="818" spans="1:12" s="598" customFormat="1">
      <c r="A818" s="607">
        <v>810</v>
      </c>
      <c r="B818" s="609" t="s">
        <v>5366</v>
      </c>
      <c r="C818" s="638" t="s">
        <v>5378</v>
      </c>
      <c r="D818" s="638" t="s">
        <v>5718</v>
      </c>
      <c r="E818" s="638" t="s">
        <v>5507</v>
      </c>
      <c r="F818" s="638" t="s">
        <v>6637</v>
      </c>
      <c r="G818" s="639">
        <v>250</v>
      </c>
      <c r="H818" s="640"/>
      <c r="I818" s="641"/>
      <c r="J818" s="642"/>
      <c r="K818" s="641" t="s">
        <v>6638</v>
      </c>
      <c r="L818" s="641" t="s">
        <v>6639</v>
      </c>
    </row>
    <row r="819" spans="1:12" s="598" customFormat="1">
      <c r="A819" s="607">
        <v>811</v>
      </c>
      <c r="B819" s="609" t="s">
        <v>5366</v>
      </c>
      <c r="C819" s="638" t="s">
        <v>5789</v>
      </c>
      <c r="D819" s="638" t="s">
        <v>6640</v>
      </c>
      <c r="E819" s="638" t="s">
        <v>5507</v>
      </c>
      <c r="F819" s="638" t="s">
        <v>6641</v>
      </c>
      <c r="G819" s="639">
        <v>250</v>
      </c>
      <c r="H819" s="640"/>
      <c r="I819" s="641"/>
      <c r="J819" s="642"/>
      <c r="K819" s="641" t="s">
        <v>6642</v>
      </c>
      <c r="L819" s="641" t="s">
        <v>6643</v>
      </c>
    </row>
    <row r="820" spans="1:12" s="598" customFormat="1">
      <c r="A820" s="607">
        <v>812</v>
      </c>
      <c r="B820" s="609" t="s">
        <v>5366</v>
      </c>
      <c r="C820" s="638" t="s">
        <v>5789</v>
      </c>
      <c r="D820" s="638" t="s">
        <v>6640</v>
      </c>
      <c r="E820" s="638" t="s">
        <v>5487</v>
      </c>
      <c r="F820" s="638" t="s">
        <v>6644</v>
      </c>
      <c r="G820" s="639">
        <v>250</v>
      </c>
      <c r="H820" s="641" t="s">
        <v>6645</v>
      </c>
      <c r="I820" s="641" t="s">
        <v>6646</v>
      </c>
      <c r="J820" s="642" t="s">
        <v>6647</v>
      </c>
      <c r="K820" s="641"/>
      <c r="L820" s="641"/>
    </row>
    <row r="821" spans="1:12" s="598" customFormat="1">
      <c r="A821" s="607">
        <v>813</v>
      </c>
      <c r="B821" s="609" t="s">
        <v>5366</v>
      </c>
      <c r="C821" s="638" t="s">
        <v>6026</v>
      </c>
      <c r="D821" s="638" t="s">
        <v>6648</v>
      </c>
      <c r="E821" s="638" t="s">
        <v>5397</v>
      </c>
      <c r="F821" s="638" t="s">
        <v>6649</v>
      </c>
      <c r="G821" s="639">
        <v>250</v>
      </c>
      <c r="H821" s="640"/>
      <c r="I821" s="641"/>
      <c r="J821" s="642"/>
      <c r="K821" s="641" t="s">
        <v>6650</v>
      </c>
      <c r="L821" s="641" t="s">
        <v>6651</v>
      </c>
    </row>
    <row r="822" spans="1:12" s="598" customFormat="1">
      <c r="A822" s="607">
        <v>814</v>
      </c>
      <c r="B822" s="609" t="s">
        <v>5366</v>
      </c>
      <c r="C822" s="638" t="s">
        <v>5789</v>
      </c>
      <c r="D822" s="638" t="s">
        <v>6640</v>
      </c>
      <c r="E822" s="638" t="s">
        <v>5385</v>
      </c>
      <c r="F822" s="638" t="s">
        <v>5550</v>
      </c>
      <c r="G822" s="639">
        <v>250</v>
      </c>
      <c r="H822" s="641" t="s">
        <v>5551</v>
      </c>
      <c r="I822" s="641" t="s">
        <v>6652</v>
      </c>
      <c r="J822" s="642" t="s">
        <v>5553</v>
      </c>
      <c r="K822" s="641"/>
      <c r="L822" s="641"/>
    </row>
    <row r="823" spans="1:12" s="598" customFormat="1">
      <c r="A823" s="607">
        <v>815</v>
      </c>
      <c r="B823" s="609" t="s">
        <v>5366</v>
      </c>
      <c r="C823" s="638" t="s">
        <v>5436</v>
      </c>
      <c r="D823" s="638" t="s">
        <v>5368</v>
      </c>
      <c r="E823" s="638" t="s">
        <v>5418</v>
      </c>
      <c r="F823" s="638" t="s">
        <v>5369</v>
      </c>
      <c r="G823" s="801">
        <v>900</v>
      </c>
      <c r="H823" s="640"/>
      <c r="I823" s="641"/>
      <c r="J823" s="642"/>
      <c r="K823" s="798">
        <v>438107987</v>
      </c>
      <c r="L823" s="798" t="s">
        <v>5371</v>
      </c>
    </row>
    <row r="824" spans="1:12" s="598" customFormat="1">
      <c r="A824" s="607">
        <v>816</v>
      </c>
      <c r="B824" s="609" t="s">
        <v>5366</v>
      </c>
      <c r="C824" s="638" t="s">
        <v>5372</v>
      </c>
      <c r="D824" s="638" t="s">
        <v>5373</v>
      </c>
      <c r="E824" s="638" t="s">
        <v>5487</v>
      </c>
      <c r="F824" s="638" t="s">
        <v>6653</v>
      </c>
      <c r="G824" s="802"/>
      <c r="H824" s="640"/>
      <c r="I824" s="641"/>
      <c r="J824" s="642"/>
      <c r="K824" s="799"/>
      <c r="L824" s="799"/>
    </row>
    <row r="825" spans="1:12" s="598" customFormat="1">
      <c r="A825" s="607">
        <v>817</v>
      </c>
      <c r="B825" s="609" t="s">
        <v>5366</v>
      </c>
      <c r="C825" s="638" t="s">
        <v>5372</v>
      </c>
      <c r="D825" s="638" t="s">
        <v>6654</v>
      </c>
      <c r="E825" s="638" t="s">
        <v>5385</v>
      </c>
      <c r="F825" s="638" t="s">
        <v>6655</v>
      </c>
      <c r="G825" s="802"/>
      <c r="H825" s="640"/>
      <c r="I825" s="641"/>
      <c r="J825" s="642"/>
      <c r="K825" s="799"/>
      <c r="L825" s="799"/>
    </row>
    <row r="826" spans="1:12" s="598" customFormat="1">
      <c r="A826" s="607">
        <v>818</v>
      </c>
      <c r="B826" s="609" t="s">
        <v>5366</v>
      </c>
      <c r="C826" s="638" t="s">
        <v>5387</v>
      </c>
      <c r="D826" s="638" t="s">
        <v>5373</v>
      </c>
      <c r="E826" s="638" t="s">
        <v>5392</v>
      </c>
      <c r="F826" s="638" t="s">
        <v>6656</v>
      </c>
      <c r="G826" s="802"/>
      <c r="H826" s="640"/>
      <c r="I826" s="641"/>
      <c r="J826" s="642"/>
      <c r="K826" s="799"/>
      <c r="L826" s="799"/>
    </row>
    <row r="827" spans="1:12" s="598" customFormat="1">
      <c r="A827" s="607">
        <v>819</v>
      </c>
      <c r="B827" s="609" t="s">
        <v>5366</v>
      </c>
      <c r="C827" s="638" t="s">
        <v>5372</v>
      </c>
      <c r="D827" s="638" t="s">
        <v>5373</v>
      </c>
      <c r="E827" s="638" t="s">
        <v>5385</v>
      </c>
      <c r="F827" s="638" t="s">
        <v>6657</v>
      </c>
      <c r="G827" s="802"/>
      <c r="H827" s="640"/>
      <c r="I827" s="641"/>
      <c r="J827" s="642"/>
      <c r="K827" s="799"/>
      <c r="L827" s="799"/>
    </row>
    <row r="828" spans="1:12" s="598" customFormat="1">
      <c r="A828" s="607">
        <v>820</v>
      </c>
      <c r="B828" s="609" t="s">
        <v>5366</v>
      </c>
      <c r="C828" s="638" t="s">
        <v>5387</v>
      </c>
      <c r="D828" s="638" t="s">
        <v>5373</v>
      </c>
      <c r="E828" s="638" t="s">
        <v>5418</v>
      </c>
      <c r="F828" s="638" t="s">
        <v>6658</v>
      </c>
      <c r="G828" s="803"/>
      <c r="H828" s="640"/>
      <c r="I828" s="641"/>
      <c r="J828" s="642"/>
      <c r="K828" s="800"/>
      <c r="L828" s="800"/>
    </row>
    <row r="829" spans="1:12" s="598" customFormat="1">
      <c r="A829" s="607">
        <v>821</v>
      </c>
      <c r="B829" s="609" t="s">
        <v>5366</v>
      </c>
      <c r="C829" s="638" t="s">
        <v>5387</v>
      </c>
      <c r="D829" s="638" t="s">
        <v>6659</v>
      </c>
      <c r="E829" s="638" t="s">
        <v>5385</v>
      </c>
      <c r="F829" s="638" t="s">
        <v>6660</v>
      </c>
      <c r="G829" s="639">
        <v>100</v>
      </c>
      <c r="H829" s="640"/>
      <c r="I829" s="641"/>
      <c r="J829" s="642"/>
      <c r="K829" s="641" t="s">
        <v>6661</v>
      </c>
      <c r="L829" s="641" t="s">
        <v>6662</v>
      </c>
    </row>
    <row r="830" spans="1:12" s="598" customFormat="1">
      <c r="A830" s="607">
        <v>822</v>
      </c>
      <c r="B830" s="609" t="s">
        <v>5366</v>
      </c>
      <c r="C830" s="638" t="s">
        <v>5470</v>
      </c>
      <c r="D830" s="638" t="s">
        <v>6027</v>
      </c>
      <c r="E830" s="638" t="s">
        <v>5418</v>
      </c>
      <c r="F830" s="638" t="s">
        <v>6663</v>
      </c>
      <c r="G830" s="639">
        <v>125</v>
      </c>
      <c r="H830" s="641" t="s">
        <v>6664</v>
      </c>
      <c r="I830" s="641" t="s">
        <v>6665</v>
      </c>
      <c r="J830" s="642" t="s">
        <v>6666</v>
      </c>
      <c r="K830" s="641"/>
      <c r="L830" s="641"/>
    </row>
    <row r="831" spans="1:12" s="598" customFormat="1" ht="30">
      <c r="A831" s="607">
        <v>823</v>
      </c>
      <c r="B831" s="609" t="s">
        <v>5366</v>
      </c>
      <c r="C831" s="638" t="s">
        <v>5446</v>
      </c>
      <c r="D831" s="638" t="s">
        <v>5447</v>
      </c>
      <c r="E831" s="638" t="s">
        <v>5389</v>
      </c>
      <c r="F831" s="638" t="s">
        <v>5448</v>
      </c>
      <c r="G831" s="639">
        <v>150</v>
      </c>
      <c r="H831" s="640"/>
      <c r="I831" s="641"/>
      <c r="J831" s="642"/>
      <c r="K831" s="641" t="s">
        <v>5449</v>
      </c>
      <c r="L831" s="641" t="s">
        <v>6667</v>
      </c>
    </row>
    <row r="832" spans="1:12" s="598" customFormat="1">
      <c r="A832" s="607">
        <v>824</v>
      </c>
      <c r="B832" s="609" t="s">
        <v>5366</v>
      </c>
      <c r="C832" s="638" t="s">
        <v>5387</v>
      </c>
      <c r="D832" s="638" t="s">
        <v>6348</v>
      </c>
      <c r="E832" s="638" t="s">
        <v>5487</v>
      </c>
      <c r="F832" s="638" t="s">
        <v>6668</v>
      </c>
      <c r="G832" s="639">
        <v>125</v>
      </c>
      <c r="H832" s="641" t="s">
        <v>6669</v>
      </c>
      <c r="I832" s="641" t="s">
        <v>6670</v>
      </c>
      <c r="J832" s="642" t="s">
        <v>6671</v>
      </c>
      <c r="K832" s="641"/>
      <c r="L832" s="641"/>
    </row>
    <row r="833" spans="1:12" s="598" customFormat="1">
      <c r="A833" s="607">
        <v>825</v>
      </c>
      <c r="B833" s="609" t="s">
        <v>5366</v>
      </c>
      <c r="C833" s="638" t="s">
        <v>5505</v>
      </c>
      <c r="D833" s="638" t="s">
        <v>6120</v>
      </c>
      <c r="E833" s="638" t="s">
        <v>5426</v>
      </c>
      <c r="F833" s="638" t="s">
        <v>6672</v>
      </c>
      <c r="G833" s="639">
        <v>150</v>
      </c>
      <c r="H833" s="640"/>
      <c r="I833" s="641"/>
      <c r="J833" s="642"/>
      <c r="K833" s="641" t="s">
        <v>6673</v>
      </c>
      <c r="L833" s="641" t="s">
        <v>6674</v>
      </c>
    </row>
    <row r="834" spans="1:12" s="598" customFormat="1">
      <c r="A834" s="607">
        <v>826</v>
      </c>
      <c r="B834" s="609" t="s">
        <v>5366</v>
      </c>
      <c r="C834" s="638" t="s">
        <v>5387</v>
      </c>
      <c r="D834" s="638" t="s">
        <v>5768</v>
      </c>
      <c r="E834" s="638" t="s">
        <v>5392</v>
      </c>
      <c r="F834" s="638" t="s">
        <v>6675</v>
      </c>
      <c r="G834" s="639">
        <v>150</v>
      </c>
      <c r="H834" s="640"/>
      <c r="I834" s="641"/>
      <c r="J834" s="642"/>
      <c r="K834" s="641" t="s">
        <v>6676</v>
      </c>
      <c r="L834" s="641" t="s">
        <v>6677</v>
      </c>
    </row>
    <row r="835" spans="1:12" s="598" customFormat="1">
      <c r="A835" s="607">
        <v>827</v>
      </c>
      <c r="B835" s="609" t="s">
        <v>5366</v>
      </c>
      <c r="C835" s="638" t="s">
        <v>5387</v>
      </c>
      <c r="D835" s="638" t="s">
        <v>5387</v>
      </c>
      <c r="E835" s="638" t="s">
        <v>5487</v>
      </c>
      <c r="F835" s="638" t="s">
        <v>6678</v>
      </c>
      <c r="G835" s="639">
        <v>162.5</v>
      </c>
      <c r="H835" s="641" t="s">
        <v>6679</v>
      </c>
      <c r="I835" s="641" t="s">
        <v>6680</v>
      </c>
      <c r="J835" s="642" t="s">
        <v>6681</v>
      </c>
      <c r="K835" s="641"/>
      <c r="L835" s="641"/>
    </row>
    <row r="836" spans="1:12" s="598" customFormat="1">
      <c r="A836" s="607">
        <v>828</v>
      </c>
      <c r="B836" s="609" t="s">
        <v>5366</v>
      </c>
      <c r="C836" s="638" t="s">
        <v>5372</v>
      </c>
      <c r="D836" s="638" t="s">
        <v>5545</v>
      </c>
      <c r="E836" s="638" t="s">
        <v>5389</v>
      </c>
      <c r="F836" s="638" t="s">
        <v>6682</v>
      </c>
      <c r="G836" s="639">
        <v>125</v>
      </c>
      <c r="H836" s="640"/>
      <c r="I836" s="641"/>
      <c r="J836" s="642"/>
      <c r="K836" s="641" t="s">
        <v>6683</v>
      </c>
      <c r="L836" s="641" t="s">
        <v>6684</v>
      </c>
    </row>
    <row r="837" spans="1:12" s="598" customFormat="1">
      <c r="A837" s="607">
        <v>829</v>
      </c>
      <c r="B837" s="609" t="s">
        <v>5366</v>
      </c>
      <c r="C837" s="638" t="s">
        <v>5367</v>
      </c>
      <c r="D837" s="638" t="s">
        <v>6685</v>
      </c>
      <c r="E837" s="638" t="s">
        <v>5599</v>
      </c>
      <c r="F837" s="638" t="s">
        <v>6686</v>
      </c>
      <c r="G837" s="639">
        <v>125</v>
      </c>
      <c r="H837" s="641" t="s">
        <v>6687</v>
      </c>
      <c r="I837" s="641" t="s">
        <v>3848</v>
      </c>
      <c r="J837" s="642" t="s">
        <v>6688</v>
      </c>
      <c r="K837" s="641"/>
      <c r="L837" s="641"/>
    </row>
    <row r="838" spans="1:12" s="598" customFormat="1">
      <c r="A838" s="607">
        <v>830</v>
      </c>
      <c r="B838" s="609" t="s">
        <v>5366</v>
      </c>
      <c r="C838" s="638" t="s">
        <v>5409</v>
      </c>
      <c r="D838" s="638" t="s">
        <v>5467</v>
      </c>
      <c r="E838" s="638" t="s">
        <v>5426</v>
      </c>
      <c r="F838" s="638" t="s">
        <v>6689</v>
      </c>
      <c r="G838" s="639">
        <v>125</v>
      </c>
      <c r="H838" s="640"/>
      <c r="I838" s="641"/>
      <c r="J838" s="642"/>
      <c r="K838" s="641" t="s">
        <v>6690</v>
      </c>
      <c r="L838" s="641" t="s">
        <v>6691</v>
      </c>
    </row>
    <row r="839" spans="1:12" s="598" customFormat="1">
      <c r="A839" s="607">
        <v>831</v>
      </c>
      <c r="B839" s="609" t="s">
        <v>5366</v>
      </c>
      <c r="C839" s="638" t="s">
        <v>5409</v>
      </c>
      <c r="D839" s="638" t="s">
        <v>6149</v>
      </c>
      <c r="E839" s="638" t="s">
        <v>5380</v>
      </c>
      <c r="F839" s="638" t="s">
        <v>6692</v>
      </c>
      <c r="G839" s="639">
        <v>125</v>
      </c>
      <c r="H839" s="640"/>
      <c r="I839" s="641"/>
      <c r="J839" s="642"/>
      <c r="K839" s="641" t="s">
        <v>6693</v>
      </c>
      <c r="L839" s="641" t="s">
        <v>6694</v>
      </c>
    </row>
    <row r="840" spans="1:12" s="598" customFormat="1">
      <c r="A840" s="607">
        <v>832</v>
      </c>
      <c r="B840" s="609" t="s">
        <v>5366</v>
      </c>
      <c r="C840" s="638" t="s">
        <v>5451</v>
      </c>
      <c r="D840" s="638" t="s">
        <v>5452</v>
      </c>
      <c r="E840" s="638" t="s">
        <v>5411</v>
      </c>
      <c r="F840" s="638" t="s">
        <v>5453</v>
      </c>
      <c r="G840" s="639">
        <v>162.5</v>
      </c>
      <c r="H840" s="640"/>
      <c r="I840" s="641"/>
      <c r="J840" s="642"/>
      <c r="K840" s="641" t="s">
        <v>5454</v>
      </c>
      <c r="L840" s="641" t="s">
        <v>6695</v>
      </c>
    </row>
    <row r="841" spans="1:12" s="598" customFormat="1">
      <c r="A841" s="607">
        <v>833</v>
      </c>
      <c r="B841" s="609" t="s">
        <v>5366</v>
      </c>
      <c r="C841" s="638" t="s">
        <v>5372</v>
      </c>
      <c r="D841" s="638" t="s">
        <v>5456</v>
      </c>
      <c r="E841" s="638" t="s">
        <v>5374</v>
      </c>
      <c r="F841" s="638" t="s">
        <v>5457</v>
      </c>
      <c r="G841" s="639">
        <v>150</v>
      </c>
      <c r="H841" s="640"/>
      <c r="I841" s="641"/>
      <c r="J841" s="642"/>
      <c r="K841" s="641" t="s">
        <v>5458</v>
      </c>
      <c r="L841" s="641" t="s">
        <v>6696</v>
      </c>
    </row>
    <row r="842" spans="1:12" s="598" customFormat="1">
      <c r="A842" s="607">
        <v>834</v>
      </c>
      <c r="B842" s="609" t="s">
        <v>6697</v>
      </c>
      <c r="C842" s="638" t="s">
        <v>6698</v>
      </c>
      <c r="D842" s="638" t="s">
        <v>6699</v>
      </c>
      <c r="E842" s="638" t="s">
        <v>5385</v>
      </c>
      <c r="F842" s="638" t="s">
        <v>6700</v>
      </c>
      <c r="G842" s="639">
        <v>125</v>
      </c>
      <c r="H842" s="641" t="s">
        <v>6701</v>
      </c>
      <c r="I842" s="641" t="s">
        <v>3856</v>
      </c>
      <c r="J842" s="642" t="s">
        <v>6702</v>
      </c>
      <c r="K842" s="641"/>
      <c r="L842" s="641"/>
    </row>
    <row r="843" spans="1:12" s="598" customFormat="1">
      <c r="A843" s="607">
        <v>835</v>
      </c>
      <c r="B843" s="609" t="s">
        <v>6281</v>
      </c>
      <c r="C843" s="638" t="s">
        <v>6703</v>
      </c>
      <c r="D843" s="638" t="s">
        <v>6704</v>
      </c>
      <c r="E843" s="638" t="s">
        <v>5599</v>
      </c>
      <c r="F843" s="638" t="s">
        <v>6705</v>
      </c>
      <c r="G843" s="639">
        <v>125</v>
      </c>
      <c r="H843" s="641" t="s">
        <v>6706</v>
      </c>
      <c r="I843" s="641" t="s">
        <v>6707</v>
      </c>
      <c r="J843" s="642" t="s">
        <v>6708</v>
      </c>
      <c r="K843" s="641"/>
      <c r="L843" s="641"/>
    </row>
    <row r="844" spans="1:12" s="598" customFormat="1">
      <c r="A844" s="607">
        <v>836</v>
      </c>
      <c r="B844" s="609" t="s">
        <v>5366</v>
      </c>
      <c r="C844" s="638" t="s">
        <v>5836</v>
      </c>
      <c r="D844" s="638" t="s">
        <v>6709</v>
      </c>
      <c r="E844" s="638" t="s">
        <v>5760</v>
      </c>
      <c r="F844" s="638" t="s">
        <v>6710</v>
      </c>
      <c r="G844" s="639">
        <v>187.5</v>
      </c>
      <c r="H844" s="640"/>
      <c r="I844" s="641"/>
      <c r="J844" s="642"/>
      <c r="K844" s="641" t="s">
        <v>6711</v>
      </c>
      <c r="L844" s="641" t="s">
        <v>6712</v>
      </c>
    </row>
    <row r="845" spans="1:12" s="598" customFormat="1">
      <c r="A845" s="607">
        <v>837</v>
      </c>
      <c r="B845" s="609" t="s">
        <v>5366</v>
      </c>
      <c r="C845" s="638" t="s">
        <v>5836</v>
      </c>
      <c r="D845" s="638" t="s">
        <v>6709</v>
      </c>
      <c r="E845" s="638" t="s">
        <v>5760</v>
      </c>
      <c r="F845" s="638" t="s">
        <v>6713</v>
      </c>
      <c r="G845" s="639">
        <v>187.5</v>
      </c>
      <c r="H845" s="640"/>
      <c r="I845" s="641"/>
      <c r="J845" s="642"/>
      <c r="K845" s="641" t="s">
        <v>6714</v>
      </c>
      <c r="L845" s="641" t="s">
        <v>6715</v>
      </c>
    </row>
    <row r="846" spans="1:12" s="598" customFormat="1">
      <c r="A846" s="607">
        <v>838</v>
      </c>
      <c r="B846" s="609" t="s">
        <v>6281</v>
      </c>
      <c r="C846" s="638" t="s">
        <v>5387</v>
      </c>
      <c r="D846" s="638" t="s">
        <v>6716</v>
      </c>
      <c r="E846" s="638" t="s">
        <v>5389</v>
      </c>
      <c r="F846" s="638" t="s">
        <v>6717</v>
      </c>
      <c r="G846" s="639">
        <v>125</v>
      </c>
      <c r="H846" s="641" t="s">
        <v>6718</v>
      </c>
      <c r="I846" s="641" t="s">
        <v>6085</v>
      </c>
      <c r="J846" s="642" t="s">
        <v>6719</v>
      </c>
      <c r="K846" s="641"/>
      <c r="L846" s="641"/>
    </row>
    <row r="847" spans="1:12" s="598" customFormat="1">
      <c r="A847" s="607">
        <v>839</v>
      </c>
      <c r="B847" s="609" t="s">
        <v>6281</v>
      </c>
      <c r="C847" s="638" t="s">
        <v>6720</v>
      </c>
      <c r="D847" s="638" t="s">
        <v>6721</v>
      </c>
      <c r="E847" s="638" t="s">
        <v>5397</v>
      </c>
      <c r="F847" s="638" t="s">
        <v>6722</v>
      </c>
      <c r="G847" s="639">
        <v>125</v>
      </c>
      <c r="H847" s="641" t="s">
        <v>6723</v>
      </c>
      <c r="I847" s="641" t="s">
        <v>6724</v>
      </c>
      <c r="J847" s="642" t="s">
        <v>6725</v>
      </c>
      <c r="K847" s="641"/>
      <c r="L847" s="641"/>
    </row>
    <row r="848" spans="1:12" s="598" customFormat="1">
      <c r="A848" s="607">
        <v>840</v>
      </c>
      <c r="B848" s="609" t="s">
        <v>5366</v>
      </c>
      <c r="C848" s="638" t="s">
        <v>5378</v>
      </c>
      <c r="D848" s="638" t="s">
        <v>6120</v>
      </c>
      <c r="E848" s="638" t="s">
        <v>5389</v>
      </c>
      <c r="F848" s="638" t="s">
        <v>6726</v>
      </c>
      <c r="G848" s="639">
        <v>125</v>
      </c>
      <c r="H848" s="640"/>
      <c r="I848" s="641"/>
      <c r="J848" s="642"/>
      <c r="K848" s="641" t="s">
        <v>6727</v>
      </c>
      <c r="L848" s="641" t="s">
        <v>6728</v>
      </c>
    </row>
    <row r="849" spans="1:12" s="598" customFormat="1">
      <c r="A849" s="607">
        <v>841</v>
      </c>
      <c r="B849" s="609" t="s">
        <v>6281</v>
      </c>
      <c r="C849" s="638" t="s">
        <v>6729</v>
      </c>
      <c r="D849" s="638" t="s">
        <v>6730</v>
      </c>
      <c r="E849" s="638" t="s">
        <v>5418</v>
      </c>
      <c r="F849" s="638" t="s">
        <v>6731</v>
      </c>
      <c r="G849" s="639">
        <v>100</v>
      </c>
      <c r="H849" s="640"/>
      <c r="I849" s="641"/>
      <c r="J849" s="642"/>
      <c r="K849" s="641" t="s">
        <v>6732</v>
      </c>
      <c r="L849" s="641" t="s">
        <v>6733</v>
      </c>
    </row>
    <row r="850" spans="1:12" s="598" customFormat="1">
      <c r="A850" s="607">
        <v>842</v>
      </c>
      <c r="B850" s="609" t="s">
        <v>5366</v>
      </c>
      <c r="C850" s="638" t="s">
        <v>5387</v>
      </c>
      <c r="D850" s="638" t="s">
        <v>6427</v>
      </c>
      <c r="E850" s="638" t="s">
        <v>5385</v>
      </c>
      <c r="F850" s="638" t="s">
        <v>6734</v>
      </c>
      <c r="G850" s="639">
        <v>100</v>
      </c>
      <c r="H850" s="640"/>
      <c r="I850" s="641"/>
      <c r="J850" s="642"/>
      <c r="K850" s="641" t="s">
        <v>6735</v>
      </c>
      <c r="L850" s="641" t="s">
        <v>6736</v>
      </c>
    </row>
    <row r="851" spans="1:12" s="598" customFormat="1">
      <c r="A851" s="607">
        <v>843</v>
      </c>
      <c r="B851" s="609" t="s">
        <v>5366</v>
      </c>
      <c r="C851" s="638" t="s">
        <v>6729</v>
      </c>
      <c r="D851" s="638" t="s">
        <v>6737</v>
      </c>
      <c r="E851" s="638" t="s">
        <v>5599</v>
      </c>
      <c r="F851" s="638" t="s">
        <v>6738</v>
      </c>
      <c r="G851" s="801">
        <v>1350</v>
      </c>
      <c r="H851" s="640"/>
      <c r="I851" s="641"/>
      <c r="J851" s="642"/>
      <c r="K851" s="798">
        <v>224090917</v>
      </c>
      <c r="L851" s="798" t="s">
        <v>6739</v>
      </c>
    </row>
    <row r="852" spans="1:12" s="598" customFormat="1">
      <c r="A852" s="607">
        <v>844</v>
      </c>
      <c r="B852" s="609" t="s">
        <v>5366</v>
      </c>
      <c r="C852" s="638" t="s">
        <v>6720</v>
      </c>
      <c r="D852" s="638" t="s">
        <v>6740</v>
      </c>
      <c r="E852" s="638" t="s">
        <v>6741</v>
      </c>
      <c r="F852" s="638" t="s">
        <v>6742</v>
      </c>
      <c r="G852" s="802"/>
      <c r="H852" s="640"/>
      <c r="I852" s="641"/>
      <c r="J852" s="642"/>
      <c r="K852" s="799"/>
      <c r="L852" s="799"/>
    </row>
    <row r="853" spans="1:12" s="598" customFormat="1">
      <c r="A853" s="607">
        <v>845</v>
      </c>
      <c r="B853" s="609" t="s">
        <v>5366</v>
      </c>
      <c r="C853" s="638" t="s">
        <v>5428</v>
      </c>
      <c r="D853" s="638" t="s">
        <v>6743</v>
      </c>
      <c r="E853" s="638" t="s">
        <v>5389</v>
      </c>
      <c r="F853" s="638" t="s">
        <v>6744</v>
      </c>
      <c r="G853" s="802"/>
      <c r="H853" s="640"/>
      <c r="I853" s="641"/>
      <c r="J853" s="642"/>
      <c r="K853" s="799"/>
      <c r="L853" s="799"/>
    </row>
    <row r="854" spans="1:12" s="598" customFormat="1">
      <c r="A854" s="607">
        <v>846</v>
      </c>
      <c r="B854" s="609" t="s">
        <v>5366</v>
      </c>
      <c r="C854" s="638" t="s">
        <v>6729</v>
      </c>
      <c r="D854" s="638" t="s">
        <v>6737</v>
      </c>
      <c r="E854" s="638" t="s">
        <v>5411</v>
      </c>
      <c r="F854" s="638" t="s">
        <v>6745</v>
      </c>
      <c r="G854" s="802"/>
      <c r="H854" s="640"/>
      <c r="I854" s="641"/>
      <c r="J854" s="642"/>
      <c r="K854" s="799"/>
      <c r="L854" s="799"/>
    </row>
    <row r="855" spans="1:12" s="598" customFormat="1">
      <c r="A855" s="607">
        <v>847</v>
      </c>
      <c r="B855" s="609" t="s">
        <v>5366</v>
      </c>
      <c r="C855" s="638" t="s">
        <v>6729</v>
      </c>
      <c r="D855" s="638" t="s">
        <v>6737</v>
      </c>
      <c r="E855" s="638" t="s">
        <v>5411</v>
      </c>
      <c r="F855" s="638" t="s">
        <v>6746</v>
      </c>
      <c r="G855" s="802"/>
      <c r="H855" s="640"/>
      <c r="I855" s="641"/>
      <c r="J855" s="642"/>
      <c r="K855" s="799"/>
      <c r="L855" s="799"/>
    </row>
    <row r="856" spans="1:12" s="598" customFormat="1">
      <c r="A856" s="607">
        <v>848</v>
      </c>
      <c r="B856" s="609" t="s">
        <v>5366</v>
      </c>
      <c r="C856" s="638" t="s">
        <v>6720</v>
      </c>
      <c r="D856" s="638" t="s">
        <v>6740</v>
      </c>
      <c r="E856" s="638" t="s">
        <v>6741</v>
      </c>
      <c r="F856" s="638" t="s">
        <v>6747</v>
      </c>
      <c r="G856" s="802"/>
      <c r="H856" s="640"/>
      <c r="I856" s="641"/>
      <c r="J856" s="642"/>
      <c r="K856" s="799"/>
      <c r="L856" s="799"/>
    </row>
    <row r="857" spans="1:12" s="598" customFormat="1">
      <c r="A857" s="607">
        <v>849</v>
      </c>
      <c r="B857" s="609" t="s">
        <v>5366</v>
      </c>
      <c r="C857" s="638" t="s">
        <v>6720</v>
      </c>
      <c r="D857" s="638" t="s">
        <v>6740</v>
      </c>
      <c r="E857" s="638" t="s">
        <v>5389</v>
      </c>
      <c r="F857" s="638" t="s">
        <v>6748</v>
      </c>
      <c r="G857" s="802"/>
      <c r="H857" s="640"/>
      <c r="I857" s="641"/>
      <c r="J857" s="642"/>
      <c r="K857" s="799"/>
      <c r="L857" s="799"/>
    </row>
    <row r="858" spans="1:12" s="598" customFormat="1">
      <c r="A858" s="607">
        <v>850</v>
      </c>
      <c r="B858" s="609" t="s">
        <v>5366</v>
      </c>
      <c r="C858" s="638" t="s">
        <v>6729</v>
      </c>
      <c r="D858" s="638" t="s">
        <v>6737</v>
      </c>
      <c r="E858" s="638" t="s">
        <v>5411</v>
      </c>
      <c r="F858" s="638" t="s">
        <v>6749</v>
      </c>
      <c r="G858" s="802"/>
      <c r="H858" s="640"/>
      <c r="I858" s="641"/>
      <c r="J858" s="642"/>
      <c r="K858" s="799"/>
      <c r="L858" s="799"/>
    </row>
    <row r="859" spans="1:12" s="598" customFormat="1">
      <c r="A859" s="607">
        <v>851</v>
      </c>
      <c r="B859" s="609" t="s">
        <v>5366</v>
      </c>
      <c r="C859" s="638" t="s">
        <v>6729</v>
      </c>
      <c r="D859" s="638" t="s">
        <v>6737</v>
      </c>
      <c r="E859" s="638" t="s">
        <v>5529</v>
      </c>
      <c r="F859" s="638" t="s">
        <v>6750</v>
      </c>
      <c r="G859" s="802"/>
      <c r="H859" s="640"/>
      <c r="I859" s="641"/>
      <c r="J859" s="642"/>
      <c r="K859" s="799"/>
      <c r="L859" s="799"/>
    </row>
    <row r="860" spans="1:12" s="598" customFormat="1">
      <c r="A860" s="607">
        <v>852</v>
      </c>
      <c r="B860" s="609" t="s">
        <v>5366</v>
      </c>
      <c r="C860" s="638" t="s">
        <v>6751</v>
      </c>
      <c r="D860" s="638" t="s">
        <v>6740</v>
      </c>
      <c r="E860" s="638" t="s">
        <v>6752</v>
      </c>
      <c r="F860" s="638" t="s">
        <v>6753</v>
      </c>
      <c r="G860" s="802"/>
      <c r="H860" s="640"/>
      <c r="I860" s="641"/>
      <c r="J860" s="642"/>
      <c r="K860" s="799"/>
      <c r="L860" s="799"/>
    </row>
    <row r="861" spans="1:12" s="598" customFormat="1">
      <c r="A861" s="607">
        <v>853</v>
      </c>
      <c r="B861" s="609" t="s">
        <v>5366</v>
      </c>
      <c r="C861" s="638" t="s">
        <v>6729</v>
      </c>
      <c r="D861" s="638" t="s">
        <v>6737</v>
      </c>
      <c r="E861" s="638" t="s">
        <v>5397</v>
      </c>
      <c r="F861" s="638" t="s">
        <v>6754</v>
      </c>
      <c r="G861" s="802"/>
      <c r="H861" s="640"/>
      <c r="I861" s="641"/>
      <c r="J861" s="642"/>
      <c r="K861" s="799"/>
      <c r="L861" s="799"/>
    </row>
    <row r="862" spans="1:12" s="598" customFormat="1">
      <c r="A862" s="607">
        <v>854</v>
      </c>
      <c r="B862" s="609" t="s">
        <v>5366</v>
      </c>
      <c r="C862" s="638" t="s">
        <v>6729</v>
      </c>
      <c r="D862" s="638" t="s">
        <v>6737</v>
      </c>
      <c r="E862" s="638" t="s">
        <v>5426</v>
      </c>
      <c r="F862" s="638" t="s">
        <v>6755</v>
      </c>
      <c r="G862" s="803"/>
      <c r="H862" s="640"/>
      <c r="I862" s="641"/>
      <c r="J862" s="642"/>
      <c r="K862" s="800"/>
      <c r="L862" s="800"/>
    </row>
    <row r="863" spans="1:12" s="598" customFormat="1">
      <c r="A863" s="607">
        <v>855</v>
      </c>
      <c r="B863" s="609" t="s">
        <v>5366</v>
      </c>
      <c r="C863" s="638" t="s">
        <v>5401</v>
      </c>
      <c r="D863" s="638" t="s">
        <v>6452</v>
      </c>
      <c r="E863" s="638" t="s">
        <v>5374</v>
      </c>
      <c r="F863" s="638" t="s">
        <v>6756</v>
      </c>
      <c r="G863" s="801">
        <v>2200</v>
      </c>
      <c r="H863" s="640"/>
      <c r="I863" s="641"/>
      <c r="J863" s="642"/>
      <c r="K863" s="798">
        <v>426111904</v>
      </c>
      <c r="L863" s="798" t="s">
        <v>6757</v>
      </c>
    </row>
    <row r="864" spans="1:12" s="598" customFormat="1">
      <c r="A864" s="607">
        <v>856</v>
      </c>
      <c r="B864" s="609" t="s">
        <v>5366</v>
      </c>
      <c r="C864" s="638" t="s">
        <v>5401</v>
      </c>
      <c r="D864" s="638" t="s">
        <v>6452</v>
      </c>
      <c r="E864" s="638" t="s">
        <v>5733</v>
      </c>
      <c r="F864" s="638" t="s">
        <v>6455</v>
      </c>
      <c r="G864" s="802"/>
      <c r="H864" s="640"/>
      <c r="I864" s="641"/>
      <c r="J864" s="642"/>
      <c r="K864" s="799"/>
      <c r="L864" s="799"/>
    </row>
    <row r="865" spans="1:12" s="598" customFormat="1">
      <c r="A865" s="607">
        <v>857</v>
      </c>
      <c r="B865" s="609" t="s">
        <v>5366</v>
      </c>
      <c r="C865" s="638" t="s">
        <v>5378</v>
      </c>
      <c r="D865" s="638" t="s">
        <v>6149</v>
      </c>
      <c r="E865" s="638" t="s">
        <v>5380</v>
      </c>
      <c r="F865" s="638" t="s">
        <v>6758</v>
      </c>
      <c r="G865" s="802"/>
      <c r="H865" s="640"/>
      <c r="I865" s="641"/>
      <c r="J865" s="642"/>
      <c r="K865" s="799"/>
      <c r="L865" s="799"/>
    </row>
    <row r="866" spans="1:12" s="598" customFormat="1">
      <c r="A866" s="607">
        <v>858</v>
      </c>
      <c r="B866" s="609" t="s">
        <v>5366</v>
      </c>
      <c r="C866" s="638" t="s">
        <v>5401</v>
      </c>
      <c r="D866" s="638" t="s">
        <v>6452</v>
      </c>
      <c r="E866" s="638" t="s">
        <v>5733</v>
      </c>
      <c r="F866" s="638" t="s">
        <v>6759</v>
      </c>
      <c r="G866" s="802"/>
      <c r="H866" s="640"/>
      <c r="I866" s="641"/>
      <c r="J866" s="642"/>
      <c r="K866" s="799"/>
      <c r="L866" s="799"/>
    </row>
    <row r="867" spans="1:12" s="598" customFormat="1">
      <c r="A867" s="607">
        <v>859</v>
      </c>
      <c r="B867" s="609" t="s">
        <v>5366</v>
      </c>
      <c r="C867" s="638" t="s">
        <v>6456</v>
      </c>
      <c r="D867" s="638" t="s">
        <v>6457</v>
      </c>
      <c r="E867" s="638" t="s">
        <v>6458</v>
      </c>
      <c r="F867" s="638" t="s">
        <v>6760</v>
      </c>
      <c r="G867" s="802"/>
      <c r="H867" s="640"/>
      <c r="I867" s="641"/>
      <c r="J867" s="642"/>
      <c r="K867" s="799"/>
      <c r="L867" s="799"/>
    </row>
    <row r="868" spans="1:12" s="598" customFormat="1">
      <c r="A868" s="607">
        <v>860</v>
      </c>
      <c r="B868" s="609" t="s">
        <v>5366</v>
      </c>
      <c r="C868" s="638" t="s">
        <v>6456</v>
      </c>
      <c r="D868" s="638" t="s">
        <v>6761</v>
      </c>
      <c r="E868" s="638" t="s">
        <v>6458</v>
      </c>
      <c r="F868" s="638" t="s">
        <v>6762</v>
      </c>
      <c r="G868" s="802"/>
      <c r="H868" s="640"/>
      <c r="I868" s="641"/>
      <c r="J868" s="642"/>
      <c r="K868" s="799"/>
      <c r="L868" s="799"/>
    </row>
    <row r="869" spans="1:12" s="598" customFormat="1">
      <c r="A869" s="607">
        <v>861</v>
      </c>
      <c r="B869" s="609" t="s">
        <v>5366</v>
      </c>
      <c r="C869" s="638" t="s">
        <v>5401</v>
      </c>
      <c r="D869" s="638" t="s">
        <v>6452</v>
      </c>
      <c r="E869" s="638" t="s">
        <v>5733</v>
      </c>
      <c r="F869" s="638" t="s">
        <v>6453</v>
      </c>
      <c r="G869" s="802"/>
      <c r="H869" s="640"/>
      <c r="I869" s="641"/>
      <c r="J869" s="642"/>
      <c r="K869" s="799"/>
      <c r="L869" s="799"/>
    </row>
    <row r="870" spans="1:12" s="598" customFormat="1">
      <c r="A870" s="607">
        <v>862</v>
      </c>
      <c r="B870" s="609" t="s">
        <v>5366</v>
      </c>
      <c r="C870" s="638" t="s">
        <v>6456</v>
      </c>
      <c r="D870" s="638" t="s">
        <v>6457</v>
      </c>
      <c r="E870" s="638" t="s">
        <v>6458</v>
      </c>
      <c r="F870" s="638" t="s">
        <v>6763</v>
      </c>
      <c r="G870" s="802"/>
      <c r="H870" s="640"/>
      <c r="I870" s="641"/>
      <c r="J870" s="642"/>
      <c r="K870" s="799"/>
      <c r="L870" s="799"/>
    </row>
    <row r="871" spans="1:12" s="598" customFormat="1">
      <c r="A871" s="607">
        <v>863</v>
      </c>
      <c r="B871" s="609" t="s">
        <v>5366</v>
      </c>
      <c r="C871" s="638" t="s">
        <v>6764</v>
      </c>
      <c r="D871" s="638" t="s">
        <v>6765</v>
      </c>
      <c r="E871" s="638" t="s">
        <v>5599</v>
      </c>
      <c r="F871" s="638" t="s">
        <v>6766</v>
      </c>
      <c r="G871" s="802"/>
      <c r="H871" s="640"/>
      <c r="I871" s="641"/>
      <c r="J871" s="642"/>
      <c r="K871" s="799"/>
      <c r="L871" s="799"/>
    </row>
    <row r="872" spans="1:12" s="598" customFormat="1">
      <c r="A872" s="607">
        <v>864</v>
      </c>
      <c r="B872" s="609" t="s">
        <v>5366</v>
      </c>
      <c r="C872" s="638" t="s">
        <v>6764</v>
      </c>
      <c r="D872" s="638" t="s">
        <v>6765</v>
      </c>
      <c r="E872" s="638" t="s">
        <v>5599</v>
      </c>
      <c r="F872" s="638" t="s">
        <v>6767</v>
      </c>
      <c r="G872" s="802"/>
      <c r="H872" s="640"/>
      <c r="I872" s="641"/>
      <c r="J872" s="642"/>
      <c r="K872" s="799"/>
      <c r="L872" s="799"/>
    </row>
    <row r="873" spans="1:12" s="598" customFormat="1">
      <c r="A873" s="607">
        <v>865</v>
      </c>
      <c r="B873" s="609" t="s">
        <v>5366</v>
      </c>
      <c r="C873" s="638" t="s">
        <v>6764</v>
      </c>
      <c r="D873" s="638" t="s">
        <v>6765</v>
      </c>
      <c r="E873" s="638" t="s">
        <v>5599</v>
      </c>
      <c r="F873" s="638" t="s">
        <v>6768</v>
      </c>
      <c r="G873" s="802"/>
      <c r="H873" s="640"/>
      <c r="I873" s="641"/>
      <c r="J873" s="642"/>
      <c r="K873" s="799"/>
      <c r="L873" s="799"/>
    </row>
    <row r="874" spans="1:12" s="598" customFormat="1">
      <c r="A874" s="607">
        <v>866</v>
      </c>
      <c r="B874" s="609" t="s">
        <v>5366</v>
      </c>
      <c r="C874" s="638" t="s">
        <v>6764</v>
      </c>
      <c r="D874" s="638" t="s">
        <v>6765</v>
      </c>
      <c r="E874" s="638" t="s">
        <v>5599</v>
      </c>
      <c r="F874" s="638" t="s">
        <v>6769</v>
      </c>
      <c r="G874" s="802"/>
      <c r="H874" s="640"/>
      <c r="I874" s="641"/>
      <c r="J874" s="642"/>
      <c r="K874" s="799"/>
      <c r="L874" s="799"/>
    </row>
    <row r="875" spans="1:12" s="598" customFormat="1">
      <c r="A875" s="607">
        <v>867</v>
      </c>
      <c r="B875" s="609" t="s">
        <v>5366</v>
      </c>
      <c r="C875" s="638" t="s">
        <v>6764</v>
      </c>
      <c r="D875" s="638" t="s">
        <v>6770</v>
      </c>
      <c r="E875" s="638" t="s">
        <v>5599</v>
      </c>
      <c r="F875" s="638" t="s">
        <v>6771</v>
      </c>
      <c r="G875" s="802"/>
      <c r="H875" s="640"/>
      <c r="I875" s="641"/>
      <c r="J875" s="642"/>
      <c r="K875" s="799"/>
      <c r="L875" s="799"/>
    </row>
    <row r="876" spans="1:12" s="598" customFormat="1">
      <c r="A876" s="607">
        <v>868</v>
      </c>
      <c r="B876" s="609" t="s">
        <v>5366</v>
      </c>
      <c r="C876" s="638" t="s">
        <v>6456</v>
      </c>
      <c r="D876" s="638" t="s">
        <v>6457</v>
      </c>
      <c r="E876" s="638" t="s">
        <v>6458</v>
      </c>
      <c r="F876" s="638" t="s">
        <v>6772</v>
      </c>
      <c r="G876" s="803"/>
      <c r="H876" s="640"/>
      <c r="I876" s="641"/>
      <c r="J876" s="642"/>
      <c r="K876" s="800"/>
      <c r="L876" s="800"/>
    </row>
    <row r="877" spans="1:12" s="598" customFormat="1">
      <c r="A877" s="607">
        <v>869</v>
      </c>
      <c r="B877" s="609" t="s">
        <v>5366</v>
      </c>
      <c r="C877" s="638" t="s">
        <v>5387</v>
      </c>
      <c r="D877" s="638" t="s">
        <v>5687</v>
      </c>
      <c r="E877" s="638" t="s">
        <v>5487</v>
      </c>
      <c r="F877" s="638" t="s">
        <v>6773</v>
      </c>
      <c r="G877" s="639">
        <v>100</v>
      </c>
      <c r="H877" s="641" t="s">
        <v>6774</v>
      </c>
      <c r="I877" s="641" t="s">
        <v>3856</v>
      </c>
      <c r="J877" s="642" t="s">
        <v>6775</v>
      </c>
      <c r="K877" s="641"/>
      <c r="L877" s="641"/>
    </row>
    <row r="878" spans="1:12" s="598" customFormat="1">
      <c r="A878" s="607">
        <v>870</v>
      </c>
      <c r="B878" s="609" t="s">
        <v>5366</v>
      </c>
      <c r="C878" s="638" t="s">
        <v>5378</v>
      </c>
      <c r="D878" s="638" t="s">
        <v>5476</v>
      </c>
      <c r="E878" s="638" t="s">
        <v>5507</v>
      </c>
      <c r="F878" s="638" t="s">
        <v>6776</v>
      </c>
      <c r="G878" s="639">
        <v>100</v>
      </c>
      <c r="H878" s="640"/>
      <c r="I878" s="641"/>
      <c r="J878" s="642"/>
      <c r="K878" s="641" t="s">
        <v>6777</v>
      </c>
      <c r="L878" s="641" t="s">
        <v>6778</v>
      </c>
    </row>
    <row r="879" spans="1:12" s="598" customFormat="1">
      <c r="A879" s="607">
        <v>871</v>
      </c>
      <c r="B879" s="609" t="s">
        <v>5366</v>
      </c>
      <c r="C879" s="638" t="s">
        <v>5387</v>
      </c>
      <c r="D879" s="638" t="s">
        <v>6779</v>
      </c>
      <c r="E879" s="638" t="s">
        <v>5517</v>
      </c>
      <c r="F879" s="638" t="s">
        <v>6780</v>
      </c>
      <c r="G879" s="639">
        <v>100</v>
      </c>
      <c r="H879" s="640"/>
      <c r="I879" s="641"/>
      <c r="J879" s="642"/>
      <c r="K879" s="641" t="s">
        <v>6781</v>
      </c>
      <c r="L879" s="641" t="s">
        <v>6782</v>
      </c>
    </row>
    <row r="880" spans="1:12" s="598" customFormat="1">
      <c r="A880" s="607">
        <v>872</v>
      </c>
      <c r="B880" s="609" t="s">
        <v>5366</v>
      </c>
      <c r="C880" s="638" t="s">
        <v>5378</v>
      </c>
      <c r="D880" s="638" t="s">
        <v>6783</v>
      </c>
      <c r="E880" s="638" t="s">
        <v>5599</v>
      </c>
      <c r="F880" s="638" t="s">
        <v>6784</v>
      </c>
      <c r="G880" s="639">
        <v>100</v>
      </c>
      <c r="H880" s="640"/>
      <c r="I880" s="641"/>
      <c r="J880" s="642"/>
      <c r="K880" s="641" t="s">
        <v>6785</v>
      </c>
      <c r="L880" s="641" t="s">
        <v>6786</v>
      </c>
    </row>
    <row r="881" spans="1:12" s="598" customFormat="1">
      <c r="A881" s="607">
        <v>873</v>
      </c>
      <c r="B881" s="609" t="s">
        <v>5366</v>
      </c>
      <c r="C881" s="638" t="s">
        <v>5378</v>
      </c>
      <c r="D881" s="638" t="s">
        <v>6787</v>
      </c>
      <c r="E881" s="638" t="s">
        <v>5380</v>
      </c>
      <c r="F881" s="638" t="s">
        <v>6788</v>
      </c>
      <c r="G881" s="639">
        <v>100</v>
      </c>
      <c r="H881" s="641" t="s">
        <v>6789</v>
      </c>
      <c r="I881" s="641" t="s">
        <v>3848</v>
      </c>
      <c r="J881" s="642" t="s">
        <v>6790</v>
      </c>
      <c r="K881" s="641"/>
      <c r="L881" s="641"/>
    </row>
    <row r="882" spans="1:12" s="598" customFormat="1">
      <c r="A882" s="607">
        <v>874</v>
      </c>
      <c r="B882" s="609" t="s">
        <v>5366</v>
      </c>
      <c r="C882" s="638" t="s">
        <v>5387</v>
      </c>
      <c r="D882" s="638" t="s">
        <v>5554</v>
      </c>
      <c r="E882" s="638" t="s">
        <v>5392</v>
      </c>
      <c r="F882" s="638" t="s">
        <v>5555</v>
      </c>
      <c r="G882" s="639">
        <v>75</v>
      </c>
      <c r="H882" s="641" t="s">
        <v>5556</v>
      </c>
      <c r="I882" s="641" t="s">
        <v>6791</v>
      </c>
      <c r="J882" s="642" t="s">
        <v>5558</v>
      </c>
      <c r="K882" s="641"/>
      <c r="L882" s="641"/>
    </row>
    <row r="883" spans="1:12" s="598" customFormat="1">
      <c r="A883" s="607">
        <v>875</v>
      </c>
      <c r="B883" s="609" t="s">
        <v>5366</v>
      </c>
      <c r="C883" s="638" t="s">
        <v>5387</v>
      </c>
      <c r="D883" s="638" t="s">
        <v>6792</v>
      </c>
      <c r="E883" s="638" t="s">
        <v>5392</v>
      </c>
      <c r="F883" s="638" t="s">
        <v>6793</v>
      </c>
      <c r="G883" s="639">
        <v>75</v>
      </c>
      <c r="H883" s="640"/>
      <c r="I883" s="641"/>
      <c r="J883" s="642"/>
      <c r="K883" s="641" t="s">
        <v>6794</v>
      </c>
      <c r="L883" s="641" t="s">
        <v>6795</v>
      </c>
    </row>
    <row r="884" spans="1:12" s="598" customFormat="1">
      <c r="A884" s="607">
        <v>876</v>
      </c>
      <c r="B884" s="609" t="s">
        <v>5366</v>
      </c>
      <c r="C884" s="638" t="s">
        <v>5387</v>
      </c>
      <c r="D884" s="638" t="s">
        <v>5373</v>
      </c>
      <c r="E884" s="638" t="s">
        <v>5517</v>
      </c>
      <c r="F884" s="638" t="s">
        <v>6796</v>
      </c>
      <c r="G884" s="639">
        <v>75</v>
      </c>
      <c r="H884" s="640"/>
      <c r="I884" s="641"/>
      <c r="J884" s="642"/>
      <c r="K884" s="641" t="s">
        <v>6797</v>
      </c>
      <c r="L884" s="641" t="s">
        <v>6798</v>
      </c>
    </row>
    <row r="885" spans="1:12" s="598" customFormat="1">
      <c r="A885" s="607">
        <v>877</v>
      </c>
      <c r="B885" s="609" t="s">
        <v>5366</v>
      </c>
      <c r="C885" s="638" t="s">
        <v>5387</v>
      </c>
      <c r="D885" s="638" t="s">
        <v>6799</v>
      </c>
      <c r="E885" s="638" t="s">
        <v>5418</v>
      </c>
      <c r="F885" s="638" t="s">
        <v>6800</v>
      </c>
      <c r="G885" s="639">
        <v>75</v>
      </c>
      <c r="H885" s="641" t="s">
        <v>6801</v>
      </c>
      <c r="I885" s="641" t="s">
        <v>6802</v>
      </c>
      <c r="J885" s="642" t="s">
        <v>6803</v>
      </c>
      <c r="K885" s="641"/>
      <c r="L885" s="641"/>
    </row>
    <row r="886" spans="1:12" s="598" customFormat="1">
      <c r="A886" s="607">
        <v>878</v>
      </c>
      <c r="B886" s="609" t="s">
        <v>5366</v>
      </c>
      <c r="C886" s="638" t="s">
        <v>5387</v>
      </c>
      <c r="D886" s="638" t="s">
        <v>5373</v>
      </c>
      <c r="E886" s="638" t="s">
        <v>5385</v>
      </c>
      <c r="F886" s="638" t="s">
        <v>5484</v>
      </c>
      <c r="G886" s="639">
        <v>187.5</v>
      </c>
      <c r="H886" s="640"/>
      <c r="I886" s="641"/>
      <c r="J886" s="642"/>
      <c r="K886" s="641" t="s">
        <v>5485</v>
      </c>
      <c r="L886" s="641" t="s">
        <v>6804</v>
      </c>
    </row>
    <row r="887" spans="1:12" s="598" customFormat="1">
      <c r="A887" s="607">
        <v>879</v>
      </c>
      <c r="B887" s="609" t="s">
        <v>5366</v>
      </c>
      <c r="C887" s="638" t="s">
        <v>5387</v>
      </c>
      <c r="D887" s="638" t="s">
        <v>5661</v>
      </c>
      <c r="E887" s="638" t="s">
        <v>5411</v>
      </c>
      <c r="F887" s="638" t="s">
        <v>6805</v>
      </c>
      <c r="G887" s="639">
        <v>187.5</v>
      </c>
      <c r="H887" s="641" t="s">
        <v>5561</v>
      </c>
      <c r="I887" s="641" t="s">
        <v>6806</v>
      </c>
      <c r="J887" s="642" t="s">
        <v>6807</v>
      </c>
      <c r="K887" s="641"/>
      <c r="L887" s="641"/>
    </row>
    <row r="888" spans="1:12" s="598" customFormat="1">
      <c r="A888" s="607">
        <v>880</v>
      </c>
      <c r="B888" s="609" t="s">
        <v>5366</v>
      </c>
      <c r="C888" s="638" t="s">
        <v>5536</v>
      </c>
      <c r="D888" s="638" t="s">
        <v>6808</v>
      </c>
      <c r="E888" s="638" t="s">
        <v>5385</v>
      </c>
      <c r="F888" s="638" t="s">
        <v>6809</v>
      </c>
      <c r="G888" s="639">
        <v>728</v>
      </c>
      <c r="H888" s="641" t="s">
        <v>6810</v>
      </c>
      <c r="I888" s="641" t="s">
        <v>6811</v>
      </c>
      <c r="J888" s="642" t="s">
        <v>6803</v>
      </c>
      <c r="K888" s="641"/>
      <c r="L888" s="641"/>
    </row>
    <row r="889" spans="1:12" s="598" customFormat="1">
      <c r="A889" s="607">
        <v>881</v>
      </c>
      <c r="B889" s="609" t="s">
        <v>5366</v>
      </c>
      <c r="C889" s="638" t="s">
        <v>5387</v>
      </c>
      <c r="D889" s="638" t="s">
        <v>6812</v>
      </c>
      <c r="E889" s="638" t="s">
        <v>5418</v>
      </c>
      <c r="F889" s="638" t="s">
        <v>6813</v>
      </c>
      <c r="G889" s="639">
        <v>187.5</v>
      </c>
      <c r="H889" s="640"/>
      <c r="I889" s="641"/>
      <c r="J889" s="642"/>
      <c r="K889" s="641" t="s">
        <v>6814</v>
      </c>
      <c r="L889" s="641" t="s">
        <v>6815</v>
      </c>
    </row>
    <row r="890" spans="1:12" s="598" customFormat="1">
      <c r="A890" s="607">
        <v>882</v>
      </c>
      <c r="B890" s="609" t="s">
        <v>5366</v>
      </c>
      <c r="C890" s="638" t="s">
        <v>5387</v>
      </c>
      <c r="D890" s="638" t="s">
        <v>5661</v>
      </c>
      <c r="E890" s="638" t="s">
        <v>5392</v>
      </c>
      <c r="F890" s="638" t="s">
        <v>6816</v>
      </c>
      <c r="G890" s="639">
        <v>237.5</v>
      </c>
      <c r="H890" s="640"/>
      <c r="I890" s="641"/>
      <c r="J890" s="642"/>
      <c r="K890" s="641" t="s">
        <v>6817</v>
      </c>
      <c r="L890" s="641" t="s">
        <v>6818</v>
      </c>
    </row>
    <row r="891" spans="1:12" s="598" customFormat="1">
      <c r="A891" s="607">
        <v>883</v>
      </c>
      <c r="B891" s="609" t="s">
        <v>5366</v>
      </c>
      <c r="C891" s="638" t="s">
        <v>5387</v>
      </c>
      <c r="D891" s="638" t="s">
        <v>5373</v>
      </c>
      <c r="E891" s="638" t="s">
        <v>5389</v>
      </c>
      <c r="F891" s="638" t="s">
        <v>6819</v>
      </c>
      <c r="G891" s="639">
        <v>237.5</v>
      </c>
      <c r="H891" s="641" t="s">
        <v>6820</v>
      </c>
      <c r="I891" s="641" t="s">
        <v>6821</v>
      </c>
      <c r="J891" s="642" t="s">
        <v>6822</v>
      </c>
      <c r="K891" s="641"/>
      <c r="L891" s="641"/>
    </row>
    <row r="892" spans="1:12" s="598" customFormat="1">
      <c r="A892" s="607">
        <v>884</v>
      </c>
      <c r="B892" s="609" t="s">
        <v>5366</v>
      </c>
      <c r="C892" s="638" t="s">
        <v>5387</v>
      </c>
      <c r="D892" s="638" t="s">
        <v>5661</v>
      </c>
      <c r="E892" s="638" t="s">
        <v>5374</v>
      </c>
      <c r="F892" s="638" t="s">
        <v>6823</v>
      </c>
      <c r="G892" s="639">
        <v>237.5</v>
      </c>
      <c r="H892" s="640"/>
      <c r="I892" s="641"/>
      <c r="J892" s="642"/>
      <c r="K892" s="641" t="s">
        <v>6824</v>
      </c>
      <c r="L892" s="641" t="s">
        <v>6825</v>
      </c>
    </row>
    <row r="893" spans="1:12" s="598" customFormat="1">
      <c r="A893" s="607">
        <v>885</v>
      </c>
      <c r="B893" s="609" t="s">
        <v>5366</v>
      </c>
      <c r="C893" s="638" t="s">
        <v>5378</v>
      </c>
      <c r="D893" s="638" t="s">
        <v>6826</v>
      </c>
      <c r="E893" s="638" t="s">
        <v>5426</v>
      </c>
      <c r="F893" s="638" t="s">
        <v>6827</v>
      </c>
      <c r="G893" s="639">
        <v>237.5</v>
      </c>
      <c r="H893" s="640"/>
      <c r="I893" s="641"/>
      <c r="J893" s="642"/>
      <c r="K893" s="641" t="s">
        <v>6828</v>
      </c>
      <c r="L893" s="641" t="s">
        <v>6829</v>
      </c>
    </row>
    <row r="894" spans="1:12" s="598" customFormat="1">
      <c r="A894" s="607">
        <v>886</v>
      </c>
      <c r="B894" s="609" t="s">
        <v>5366</v>
      </c>
      <c r="C894" s="638" t="s">
        <v>6764</v>
      </c>
      <c r="D894" s="638" t="s">
        <v>6830</v>
      </c>
      <c r="E894" s="638" t="s">
        <v>5380</v>
      </c>
      <c r="F894" s="638" t="s">
        <v>6831</v>
      </c>
      <c r="G894" s="801">
        <v>1199.8</v>
      </c>
      <c r="H894" s="640"/>
      <c r="I894" s="641"/>
      <c r="J894" s="642"/>
      <c r="K894" s="798">
        <v>222936848</v>
      </c>
      <c r="L894" s="798" t="s">
        <v>6832</v>
      </c>
    </row>
    <row r="895" spans="1:12" s="598" customFormat="1">
      <c r="A895" s="607">
        <v>887</v>
      </c>
      <c r="B895" s="609" t="s">
        <v>5366</v>
      </c>
      <c r="C895" s="638" t="s">
        <v>6764</v>
      </c>
      <c r="D895" s="638" t="s">
        <v>6249</v>
      </c>
      <c r="E895" s="638" t="s">
        <v>5599</v>
      </c>
      <c r="F895" s="638" t="s">
        <v>6833</v>
      </c>
      <c r="G895" s="802"/>
      <c r="H895" s="640"/>
      <c r="I895" s="641"/>
      <c r="J895" s="642"/>
      <c r="K895" s="799"/>
      <c r="L895" s="799"/>
    </row>
    <row r="896" spans="1:12" s="598" customFormat="1">
      <c r="A896" s="607">
        <v>888</v>
      </c>
      <c r="B896" s="609" t="s">
        <v>5366</v>
      </c>
      <c r="C896" s="638" t="s">
        <v>6764</v>
      </c>
      <c r="D896" s="638" t="s">
        <v>6249</v>
      </c>
      <c r="E896" s="638" t="s">
        <v>5599</v>
      </c>
      <c r="F896" s="638" t="s">
        <v>6834</v>
      </c>
      <c r="G896" s="802"/>
      <c r="H896" s="640"/>
      <c r="I896" s="641"/>
      <c r="J896" s="642"/>
      <c r="K896" s="799"/>
      <c r="L896" s="799"/>
    </row>
    <row r="897" spans="1:12" s="598" customFormat="1">
      <c r="A897" s="607">
        <v>889</v>
      </c>
      <c r="B897" s="609" t="s">
        <v>5366</v>
      </c>
      <c r="C897" s="638" t="s">
        <v>6764</v>
      </c>
      <c r="D897" s="638" t="s">
        <v>6249</v>
      </c>
      <c r="E897" s="638" t="s">
        <v>5599</v>
      </c>
      <c r="F897" s="638" t="s">
        <v>6835</v>
      </c>
      <c r="G897" s="802"/>
      <c r="H897" s="640"/>
      <c r="I897" s="641"/>
      <c r="J897" s="642"/>
      <c r="K897" s="799"/>
      <c r="L897" s="799"/>
    </row>
    <row r="898" spans="1:12" s="598" customFormat="1">
      <c r="A898" s="607">
        <v>890</v>
      </c>
      <c r="B898" s="609" t="s">
        <v>5366</v>
      </c>
      <c r="C898" s="638" t="s">
        <v>6764</v>
      </c>
      <c r="D898" s="638" t="s">
        <v>6249</v>
      </c>
      <c r="E898" s="638" t="s">
        <v>5599</v>
      </c>
      <c r="F898" s="638" t="s">
        <v>6836</v>
      </c>
      <c r="G898" s="802"/>
      <c r="H898" s="640"/>
      <c r="I898" s="641"/>
      <c r="J898" s="642"/>
      <c r="K898" s="799"/>
      <c r="L898" s="799"/>
    </row>
    <row r="899" spans="1:12" s="598" customFormat="1">
      <c r="A899" s="607">
        <v>891</v>
      </c>
      <c r="B899" s="609" t="s">
        <v>5366</v>
      </c>
      <c r="C899" s="638" t="s">
        <v>6764</v>
      </c>
      <c r="D899" s="638" t="s">
        <v>6249</v>
      </c>
      <c r="E899" s="638" t="s">
        <v>5599</v>
      </c>
      <c r="F899" s="638" t="s">
        <v>6837</v>
      </c>
      <c r="G899" s="802"/>
      <c r="H899" s="640"/>
      <c r="I899" s="641"/>
      <c r="J899" s="642"/>
      <c r="K899" s="799"/>
      <c r="L899" s="799"/>
    </row>
    <row r="900" spans="1:12" s="598" customFormat="1">
      <c r="A900" s="607">
        <v>892</v>
      </c>
      <c r="B900" s="609" t="s">
        <v>5366</v>
      </c>
      <c r="C900" s="638" t="s">
        <v>6764</v>
      </c>
      <c r="D900" s="638" t="s">
        <v>6249</v>
      </c>
      <c r="E900" s="638" t="s">
        <v>5599</v>
      </c>
      <c r="F900" s="638" t="s">
        <v>6838</v>
      </c>
      <c r="G900" s="803"/>
      <c r="H900" s="640"/>
      <c r="I900" s="641"/>
      <c r="J900" s="642"/>
      <c r="K900" s="800"/>
      <c r="L900" s="800"/>
    </row>
    <row r="901" spans="1:12" s="598" customFormat="1">
      <c r="A901" s="607">
        <v>893</v>
      </c>
      <c r="B901" s="609" t="s">
        <v>5366</v>
      </c>
      <c r="C901" s="638" t="s">
        <v>5378</v>
      </c>
      <c r="D901" s="638" t="s">
        <v>6839</v>
      </c>
      <c r="E901" s="638" t="s">
        <v>5418</v>
      </c>
      <c r="F901" s="638" t="s">
        <v>6840</v>
      </c>
      <c r="G901" s="639">
        <v>250</v>
      </c>
      <c r="H901" s="640"/>
      <c r="I901" s="641"/>
      <c r="J901" s="642"/>
      <c r="K901" s="641" t="s">
        <v>6841</v>
      </c>
      <c r="L901" s="641" t="s">
        <v>6842</v>
      </c>
    </row>
    <row r="902" spans="1:12" s="598" customFormat="1">
      <c r="A902" s="607">
        <v>894</v>
      </c>
      <c r="B902" s="609" t="s">
        <v>5366</v>
      </c>
      <c r="C902" s="638" t="s">
        <v>5378</v>
      </c>
      <c r="D902" s="638" t="s">
        <v>5578</v>
      </c>
      <c r="E902" s="638" t="s">
        <v>5397</v>
      </c>
      <c r="F902" s="638" t="s">
        <v>6843</v>
      </c>
      <c r="G902" s="639">
        <v>312.5</v>
      </c>
      <c r="H902" s="640"/>
      <c r="I902" s="641"/>
      <c r="J902" s="642"/>
      <c r="K902" s="641" t="s">
        <v>6844</v>
      </c>
      <c r="L902" s="641" t="s">
        <v>6845</v>
      </c>
    </row>
    <row r="903" spans="1:12" s="598" customFormat="1">
      <c r="A903" s="607">
        <v>895</v>
      </c>
      <c r="B903" s="609" t="s">
        <v>5366</v>
      </c>
      <c r="C903" s="638" t="s">
        <v>5367</v>
      </c>
      <c r="D903" s="638" t="s">
        <v>6846</v>
      </c>
      <c r="E903" s="638" t="s">
        <v>5497</v>
      </c>
      <c r="F903" s="638" t="s">
        <v>6847</v>
      </c>
      <c r="G903" s="639">
        <v>125</v>
      </c>
      <c r="H903" s="641" t="s">
        <v>6848</v>
      </c>
      <c r="I903" s="641" t="s">
        <v>6849</v>
      </c>
      <c r="J903" s="642" t="s">
        <v>6850</v>
      </c>
      <c r="K903" s="641"/>
      <c r="L903" s="641"/>
    </row>
    <row r="904" spans="1:12" s="598" customFormat="1">
      <c r="A904" s="607">
        <v>896</v>
      </c>
      <c r="B904" s="609" t="s">
        <v>5366</v>
      </c>
      <c r="C904" s="638" t="s">
        <v>5378</v>
      </c>
      <c r="D904" s="638" t="s">
        <v>5506</v>
      </c>
      <c r="E904" s="638" t="s">
        <v>5392</v>
      </c>
      <c r="F904" s="638" t="s">
        <v>6851</v>
      </c>
      <c r="G904" s="639">
        <v>250</v>
      </c>
      <c r="H904" s="640"/>
      <c r="I904" s="641"/>
      <c r="J904" s="642"/>
      <c r="K904" s="641" t="s">
        <v>6852</v>
      </c>
      <c r="L904" s="641" t="s">
        <v>6853</v>
      </c>
    </row>
    <row r="905" spans="1:12" s="598" customFormat="1">
      <c r="A905" s="607">
        <v>897</v>
      </c>
      <c r="B905" s="609" t="s">
        <v>5366</v>
      </c>
      <c r="C905" s="638" t="s">
        <v>5378</v>
      </c>
      <c r="D905" s="638" t="s">
        <v>5718</v>
      </c>
      <c r="E905" s="638" t="s">
        <v>5389</v>
      </c>
      <c r="F905" s="638" t="s">
        <v>6854</v>
      </c>
      <c r="G905" s="639">
        <v>150</v>
      </c>
      <c r="H905" s="640"/>
      <c r="I905" s="641"/>
      <c r="J905" s="642"/>
      <c r="K905" s="641" t="s">
        <v>6855</v>
      </c>
      <c r="L905" s="641" t="s">
        <v>6856</v>
      </c>
    </row>
    <row r="906" spans="1:12" s="598" customFormat="1">
      <c r="A906" s="607">
        <v>898</v>
      </c>
      <c r="B906" s="609" t="s">
        <v>5366</v>
      </c>
      <c r="C906" s="638" t="s">
        <v>5378</v>
      </c>
      <c r="D906" s="638" t="s">
        <v>5541</v>
      </c>
      <c r="E906" s="638" t="s">
        <v>5487</v>
      </c>
      <c r="F906" s="638" t="s">
        <v>5488</v>
      </c>
      <c r="G906" s="639">
        <v>112.5</v>
      </c>
      <c r="H906" s="640"/>
      <c r="I906" s="641"/>
      <c r="J906" s="642"/>
      <c r="K906" s="641" t="s">
        <v>5489</v>
      </c>
      <c r="L906" s="641" t="s">
        <v>6857</v>
      </c>
    </row>
    <row r="907" spans="1:12" s="598" customFormat="1">
      <c r="A907" s="607">
        <v>899</v>
      </c>
      <c r="B907" s="609" t="s">
        <v>5366</v>
      </c>
      <c r="C907" s="638" t="s">
        <v>5378</v>
      </c>
      <c r="D907" s="638" t="s">
        <v>5718</v>
      </c>
      <c r="E907" s="638" t="s">
        <v>5392</v>
      </c>
      <c r="F907" s="638" t="s">
        <v>6858</v>
      </c>
      <c r="G907" s="639">
        <v>150</v>
      </c>
      <c r="H907" s="640"/>
      <c r="I907" s="641"/>
      <c r="J907" s="642"/>
      <c r="K907" s="641" t="s">
        <v>6859</v>
      </c>
      <c r="L907" s="641" t="s">
        <v>6860</v>
      </c>
    </row>
    <row r="908" spans="1:12" s="598" customFormat="1">
      <c r="A908" s="607">
        <v>900</v>
      </c>
      <c r="B908" s="609" t="s">
        <v>5366</v>
      </c>
      <c r="C908" s="638" t="s">
        <v>5378</v>
      </c>
      <c r="D908" s="638" t="s">
        <v>5580</v>
      </c>
      <c r="E908" s="638" t="s">
        <v>5374</v>
      </c>
      <c r="F908" s="638" t="s">
        <v>6861</v>
      </c>
      <c r="G908" s="639">
        <v>375</v>
      </c>
      <c r="H908" s="640"/>
      <c r="I908" s="641"/>
      <c r="J908" s="642"/>
      <c r="K908" s="641">
        <v>60001054665</v>
      </c>
      <c r="L908" s="641" t="s">
        <v>6862</v>
      </c>
    </row>
    <row r="909" spans="1:12" s="598" customFormat="1">
      <c r="A909" s="607">
        <v>901</v>
      </c>
      <c r="B909" s="609" t="s">
        <v>5366</v>
      </c>
      <c r="C909" s="638" t="s">
        <v>5491</v>
      </c>
      <c r="D909" s="638" t="s">
        <v>5492</v>
      </c>
      <c r="E909" s="638" t="s">
        <v>5389</v>
      </c>
      <c r="F909" s="638" t="s">
        <v>5493</v>
      </c>
      <c r="G909" s="639">
        <v>150</v>
      </c>
      <c r="H909" s="640"/>
      <c r="I909" s="641"/>
      <c r="J909" s="642"/>
      <c r="K909" s="641" t="s">
        <v>5494</v>
      </c>
      <c r="L909" s="641" t="s">
        <v>6863</v>
      </c>
    </row>
    <row r="910" spans="1:12" s="598" customFormat="1">
      <c r="A910" s="607">
        <v>902</v>
      </c>
      <c r="B910" s="609" t="s">
        <v>5366</v>
      </c>
      <c r="C910" s="638" t="s">
        <v>5491</v>
      </c>
      <c r="D910" s="638" t="s">
        <v>5476</v>
      </c>
      <c r="E910" s="638" t="s">
        <v>5507</v>
      </c>
      <c r="F910" s="638" t="s">
        <v>6864</v>
      </c>
      <c r="G910" s="639">
        <v>150</v>
      </c>
      <c r="H910" s="641" t="s">
        <v>6865</v>
      </c>
      <c r="I910" s="641" t="s">
        <v>6866</v>
      </c>
      <c r="J910" s="642" t="s">
        <v>6867</v>
      </c>
      <c r="K910" s="641"/>
      <c r="L910" s="641"/>
    </row>
    <row r="911" spans="1:12" s="598" customFormat="1">
      <c r="A911" s="607">
        <v>903</v>
      </c>
      <c r="B911" s="609" t="s">
        <v>5366</v>
      </c>
      <c r="C911" s="638" t="s">
        <v>6868</v>
      </c>
      <c r="D911" s="638" t="s">
        <v>5584</v>
      </c>
      <c r="E911" s="638" t="s">
        <v>5389</v>
      </c>
      <c r="F911" s="638" t="s">
        <v>6869</v>
      </c>
      <c r="G911" s="639">
        <v>150</v>
      </c>
      <c r="H911" s="641" t="s">
        <v>6870</v>
      </c>
      <c r="I911" s="641" t="s">
        <v>6871</v>
      </c>
      <c r="J911" s="642" t="s">
        <v>6872</v>
      </c>
      <c r="K911" s="641"/>
      <c r="L911" s="641"/>
    </row>
    <row r="912" spans="1:12" s="598" customFormat="1" ht="30">
      <c r="A912" s="607">
        <v>904</v>
      </c>
      <c r="B912" s="609" t="s">
        <v>5366</v>
      </c>
      <c r="C912" s="638" t="s">
        <v>6868</v>
      </c>
      <c r="D912" s="638" t="s">
        <v>6873</v>
      </c>
      <c r="E912" s="638" t="s">
        <v>5418</v>
      </c>
      <c r="F912" s="638" t="s">
        <v>6874</v>
      </c>
      <c r="G912" s="639">
        <v>150</v>
      </c>
      <c r="H912" s="640"/>
      <c r="I912" s="641"/>
      <c r="J912" s="642"/>
      <c r="K912" s="641" t="s">
        <v>6875</v>
      </c>
      <c r="L912" s="641" t="s">
        <v>6876</v>
      </c>
    </row>
    <row r="913" spans="1:12" s="598" customFormat="1">
      <c r="A913" s="607">
        <v>905</v>
      </c>
      <c r="B913" s="609" t="s">
        <v>5366</v>
      </c>
      <c r="C913" s="638" t="s">
        <v>6868</v>
      </c>
      <c r="D913" s="638" t="s">
        <v>6873</v>
      </c>
      <c r="E913" s="638" t="s">
        <v>5392</v>
      </c>
      <c r="F913" s="638" t="s">
        <v>6877</v>
      </c>
      <c r="G913" s="639">
        <v>150</v>
      </c>
      <c r="H913" s="640"/>
      <c r="I913" s="641"/>
      <c r="J913" s="642"/>
      <c r="K913" s="641" t="s">
        <v>6878</v>
      </c>
      <c r="L913" s="641" t="s">
        <v>6879</v>
      </c>
    </row>
    <row r="914" spans="1:12" s="598" customFormat="1">
      <c r="A914" s="607">
        <v>906</v>
      </c>
      <c r="B914" s="609" t="s">
        <v>5366</v>
      </c>
      <c r="C914" s="638" t="s">
        <v>5387</v>
      </c>
      <c r="D914" s="638" t="s">
        <v>6716</v>
      </c>
      <c r="E914" s="638" t="s">
        <v>5744</v>
      </c>
      <c r="F914" s="638" t="s">
        <v>6880</v>
      </c>
      <c r="G914" s="801">
        <v>6300</v>
      </c>
      <c r="H914" s="640"/>
      <c r="I914" s="641"/>
      <c r="J914" s="642"/>
      <c r="K914" s="798">
        <v>248431889</v>
      </c>
      <c r="L914" s="798" t="s">
        <v>6881</v>
      </c>
    </row>
    <row r="915" spans="1:12" s="598" customFormat="1">
      <c r="A915" s="607">
        <v>907</v>
      </c>
      <c r="B915" s="609" t="s">
        <v>5366</v>
      </c>
      <c r="C915" s="638" t="s">
        <v>6882</v>
      </c>
      <c r="D915" s="638" t="s">
        <v>5452</v>
      </c>
      <c r="E915" s="638" t="s">
        <v>5426</v>
      </c>
      <c r="F915" s="638" t="s">
        <v>6883</v>
      </c>
      <c r="G915" s="802"/>
      <c r="H915" s="640"/>
      <c r="I915" s="641"/>
      <c r="J915" s="642"/>
      <c r="K915" s="799"/>
      <c r="L915" s="799"/>
    </row>
    <row r="916" spans="1:12" s="598" customFormat="1">
      <c r="A916" s="607">
        <v>908</v>
      </c>
      <c r="B916" s="609" t="s">
        <v>5366</v>
      </c>
      <c r="C916" s="638" t="s">
        <v>5387</v>
      </c>
      <c r="D916" s="638" t="s">
        <v>6716</v>
      </c>
      <c r="E916" s="638" t="s">
        <v>5418</v>
      </c>
      <c r="F916" s="638" t="s">
        <v>6884</v>
      </c>
      <c r="G916" s="802"/>
      <c r="H916" s="640"/>
      <c r="I916" s="641"/>
      <c r="J916" s="642"/>
      <c r="K916" s="799"/>
      <c r="L916" s="799"/>
    </row>
    <row r="917" spans="1:12" s="598" customFormat="1">
      <c r="A917" s="607">
        <v>909</v>
      </c>
      <c r="B917" s="609" t="s">
        <v>5366</v>
      </c>
      <c r="C917" s="638" t="s">
        <v>6882</v>
      </c>
      <c r="D917" s="638" t="s">
        <v>5452</v>
      </c>
      <c r="E917" s="638" t="s">
        <v>5397</v>
      </c>
      <c r="F917" s="638" t="s">
        <v>6885</v>
      </c>
      <c r="G917" s="802"/>
      <c r="H917" s="640"/>
      <c r="I917" s="641"/>
      <c r="J917" s="642"/>
      <c r="K917" s="799"/>
      <c r="L917" s="799"/>
    </row>
    <row r="918" spans="1:12" s="598" customFormat="1">
      <c r="A918" s="607">
        <v>910</v>
      </c>
      <c r="B918" s="609" t="s">
        <v>5366</v>
      </c>
      <c r="C918" s="638" t="s">
        <v>6882</v>
      </c>
      <c r="D918" s="638" t="s">
        <v>5452</v>
      </c>
      <c r="E918" s="638" t="s">
        <v>5385</v>
      </c>
      <c r="F918" s="638" t="s">
        <v>6886</v>
      </c>
      <c r="G918" s="802"/>
      <c r="H918" s="640"/>
      <c r="I918" s="641"/>
      <c r="J918" s="642"/>
      <c r="K918" s="799"/>
      <c r="L918" s="799"/>
    </row>
    <row r="919" spans="1:12" s="598" customFormat="1">
      <c r="A919" s="607">
        <v>911</v>
      </c>
      <c r="B919" s="609" t="s">
        <v>5366</v>
      </c>
      <c r="C919" s="638" t="s">
        <v>5387</v>
      </c>
      <c r="D919" s="638" t="s">
        <v>6716</v>
      </c>
      <c r="E919" s="638" t="s">
        <v>5397</v>
      </c>
      <c r="F919" s="638" t="s">
        <v>6887</v>
      </c>
      <c r="G919" s="802"/>
      <c r="H919" s="640"/>
      <c r="I919" s="641"/>
      <c r="J919" s="642"/>
      <c r="K919" s="799"/>
      <c r="L919" s="799"/>
    </row>
    <row r="920" spans="1:12" s="598" customFormat="1">
      <c r="A920" s="607">
        <v>912</v>
      </c>
      <c r="B920" s="609" t="s">
        <v>5366</v>
      </c>
      <c r="C920" s="638" t="s">
        <v>6882</v>
      </c>
      <c r="D920" s="638" t="s">
        <v>5452</v>
      </c>
      <c r="E920" s="638" t="s">
        <v>5599</v>
      </c>
      <c r="F920" s="638" t="s">
        <v>6888</v>
      </c>
      <c r="G920" s="802"/>
      <c r="H920" s="640"/>
      <c r="I920" s="641"/>
      <c r="J920" s="642"/>
      <c r="K920" s="799"/>
      <c r="L920" s="799"/>
    </row>
    <row r="921" spans="1:12" s="598" customFormat="1">
      <c r="A921" s="607">
        <v>913</v>
      </c>
      <c r="B921" s="609" t="s">
        <v>5366</v>
      </c>
      <c r="C921" s="638" t="s">
        <v>6882</v>
      </c>
      <c r="D921" s="638" t="s">
        <v>5452</v>
      </c>
      <c r="E921" s="638" t="s">
        <v>5517</v>
      </c>
      <c r="F921" s="638" t="s">
        <v>6889</v>
      </c>
      <c r="G921" s="802"/>
      <c r="H921" s="640"/>
      <c r="I921" s="641"/>
      <c r="J921" s="642"/>
      <c r="K921" s="799"/>
      <c r="L921" s="799"/>
    </row>
    <row r="922" spans="1:12" s="598" customFormat="1">
      <c r="A922" s="607">
        <v>914</v>
      </c>
      <c r="B922" s="609" t="s">
        <v>5366</v>
      </c>
      <c r="C922" s="638" t="s">
        <v>6882</v>
      </c>
      <c r="D922" s="638" t="s">
        <v>5452</v>
      </c>
      <c r="E922" s="638" t="s">
        <v>5385</v>
      </c>
      <c r="F922" s="638" t="s">
        <v>6890</v>
      </c>
      <c r="G922" s="802"/>
      <c r="H922" s="640"/>
      <c r="I922" s="641"/>
      <c r="J922" s="642"/>
      <c r="K922" s="799"/>
      <c r="L922" s="799"/>
    </row>
    <row r="923" spans="1:12" s="598" customFormat="1">
      <c r="A923" s="607">
        <v>915</v>
      </c>
      <c r="B923" s="609" t="s">
        <v>5366</v>
      </c>
      <c r="C923" s="638" t="s">
        <v>6882</v>
      </c>
      <c r="D923" s="638" t="s">
        <v>5452</v>
      </c>
      <c r="E923" s="638" t="s">
        <v>5517</v>
      </c>
      <c r="F923" s="638" t="s">
        <v>6891</v>
      </c>
      <c r="G923" s="802"/>
      <c r="H923" s="640"/>
      <c r="I923" s="641"/>
      <c r="J923" s="642"/>
      <c r="K923" s="799"/>
      <c r="L923" s="799"/>
    </row>
    <row r="924" spans="1:12" s="598" customFormat="1">
      <c r="A924" s="607">
        <v>916</v>
      </c>
      <c r="B924" s="609" t="s">
        <v>5366</v>
      </c>
      <c r="C924" s="638" t="s">
        <v>6882</v>
      </c>
      <c r="D924" s="638" t="s">
        <v>5452</v>
      </c>
      <c r="E924" s="638" t="s">
        <v>5411</v>
      </c>
      <c r="F924" s="638" t="s">
        <v>6892</v>
      </c>
      <c r="G924" s="802"/>
      <c r="H924" s="640"/>
      <c r="I924" s="641"/>
      <c r="J924" s="642"/>
      <c r="K924" s="799"/>
      <c r="L924" s="799"/>
    </row>
    <row r="925" spans="1:12" s="598" customFormat="1">
      <c r="A925" s="607">
        <v>917</v>
      </c>
      <c r="B925" s="609" t="s">
        <v>5366</v>
      </c>
      <c r="C925" s="638" t="s">
        <v>5387</v>
      </c>
      <c r="D925" s="638" t="s">
        <v>6716</v>
      </c>
      <c r="E925" s="638" t="s">
        <v>5374</v>
      </c>
      <c r="F925" s="638" t="s">
        <v>6893</v>
      </c>
      <c r="G925" s="802"/>
      <c r="H925" s="640"/>
      <c r="I925" s="641"/>
      <c r="J925" s="642"/>
      <c r="K925" s="799"/>
      <c r="L925" s="799"/>
    </row>
    <row r="926" spans="1:12" s="598" customFormat="1">
      <c r="A926" s="607">
        <v>918</v>
      </c>
      <c r="B926" s="609" t="s">
        <v>5366</v>
      </c>
      <c r="C926" s="638" t="s">
        <v>5387</v>
      </c>
      <c r="D926" s="638" t="s">
        <v>6716</v>
      </c>
      <c r="E926" s="638" t="s">
        <v>5392</v>
      </c>
      <c r="F926" s="638" t="s">
        <v>6894</v>
      </c>
      <c r="G926" s="802"/>
      <c r="H926" s="640"/>
      <c r="I926" s="641"/>
      <c r="J926" s="642"/>
      <c r="K926" s="799"/>
      <c r="L926" s="799"/>
    </row>
    <row r="927" spans="1:12" s="598" customFormat="1">
      <c r="A927" s="607">
        <v>919</v>
      </c>
      <c r="B927" s="609" t="s">
        <v>5366</v>
      </c>
      <c r="C927" s="638" t="s">
        <v>6882</v>
      </c>
      <c r="D927" s="638" t="s">
        <v>5452</v>
      </c>
      <c r="E927" s="638" t="s">
        <v>5397</v>
      </c>
      <c r="F927" s="638" t="s">
        <v>6895</v>
      </c>
      <c r="G927" s="802"/>
      <c r="H927" s="640"/>
      <c r="I927" s="641"/>
      <c r="J927" s="642"/>
      <c r="K927" s="799"/>
      <c r="L927" s="799"/>
    </row>
    <row r="928" spans="1:12" s="598" customFormat="1">
      <c r="A928" s="607">
        <v>920</v>
      </c>
      <c r="B928" s="609" t="s">
        <v>5366</v>
      </c>
      <c r="C928" s="638" t="s">
        <v>6882</v>
      </c>
      <c r="D928" s="638" t="s">
        <v>5452</v>
      </c>
      <c r="E928" s="638" t="s">
        <v>5426</v>
      </c>
      <c r="F928" s="638" t="s">
        <v>6896</v>
      </c>
      <c r="G928" s="802"/>
      <c r="H928" s="640"/>
      <c r="I928" s="641"/>
      <c r="J928" s="642"/>
      <c r="K928" s="799"/>
      <c r="L928" s="799"/>
    </row>
    <row r="929" spans="1:12" s="598" customFormat="1">
      <c r="A929" s="607">
        <v>921</v>
      </c>
      <c r="B929" s="609" t="s">
        <v>5366</v>
      </c>
      <c r="C929" s="638" t="s">
        <v>5387</v>
      </c>
      <c r="D929" s="638" t="s">
        <v>6716</v>
      </c>
      <c r="E929" s="638" t="s">
        <v>5487</v>
      </c>
      <c r="F929" s="638" t="s">
        <v>6897</v>
      </c>
      <c r="G929" s="802"/>
      <c r="H929" s="640"/>
      <c r="I929" s="641"/>
      <c r="J929" s="642"/>
      <c r="K929" s="799"/>
      <c r="L929" s="799"/>
    </row>
    <row r="930" spans="1:12" s="598" customFormat="1">
      <c r="A930" s="607">
        <v>922</v>
      </c>
      <c r="B930" s="609" t="s">
        <v>5366</v>
      </c>
      <c r="C930" s="638" t="s">
        <v>5387</v>
      </c>
      <c r="D930" s="638" t="s">
        <v>6716</v>
      </c>
      <c r="E930" s="638" t="s">
        <v>5403</v>
      </c>
      <c r="F930" s="638" t="s">
        <v>6898</v>
      </c>
      <c r="G930" s="802"/>
      <c r="H930" s="640"/>
      <c r="I930" s="641"/>
      <c r="J930" s="642"/>
      <c r="K930" s="799"/>
      <c r="L930" s="799"/>
    </row>
    <row r="931" spans="1:12" s="598" customFormat="1">
      <c r="A931" s="607">
        <v>923</v>
      </c>
      <c r="B931" s="609" t="s">
        <v>5366</v>
      </c>
      <c r="C931" s="638" t="s">
        <v>5387</v>
      </c>
      <c r="D931" s="638" t="s">
        <v>6716</v>
      </c>
      <c r="E931" s="638" t="s">
        <v>5507</v>
      </c>
      <c r="F931" s="638" t="s">
        <v>6899</v>
      </c>
      <c r="G931" s="802"/>
      <c r="H931" s="640"/>
      <c r="I931" s="641"/>
      <c r="J931" s="642"/>
      <c r="K931" s="799"/>
      <c r="L931" s="799"/>
    </row>
    <row r="932" spans="1:12" s="598" customFormat="1">
      <c r="A932" s="607">
        <v>924</v>
      </c>
      <c r="B932" s="609" t="s">
        <v>5366</v>
      </c>
      <c r="C932" s="638" t="s">
        <v>6900</v>
      </c>
      <c r="D932" s="638" t="s">
        <v>6716</v>
      </c>
      <c r="E932" s="638" t="s">
        <v>5392</v>
      </c>
      <c r="F932" s="638" t="s">
        <v>6901</v>
      </c>
      <c r="G932" s="802"/>
      <c r="H932" s="640"/>
      <c r="I932" s="641"/>
      <c r="J932" s="642"/>
      <c r="K932" s="799"/>
      <c r="L932" s="799"/>
    </row>
    <row r="933" spans="1:12" s="598" customFormat="1">
      <c r="A933" s="607">
        <v>925</v>
      </c>
      <c r="B933" s="609" t="s">
        <v>5366</v>
      </c>
      <c r="C933" s="638" t="s">
        <v>5387</v>
      </c>
      <c r="D933" s="638" t="s">
        <v>6716</v>
      </c>
      <c r="E933" s="638" t="s">
        <v>5389</v>
      </c>
      <c r="F933" s="638" t="s">
        <v>6902</v>
      </c>
      <c r="G933" s="802"/>
      <c r="H933" s="640"/>
      <c r="I933" s="641"/>
      <c r="J933" s="642"/>
      <c r="K933" s="799"/>
      <c r="L933" s="799"/>
    </row>
    <row r="934" spans="1:12" s="598" customFormat="1">
      <c r="A934" s="607">
        <v>926</v>
      </c>
      <c r="B934" s="609" t="s">
        <v>5366</v>
      </c>
      <c r="C934" s="638" t="s">
        <v>5387</v>
      </c>
      <c r="D934" s="638" t="s">
        <v>6716</v>
      </c>
      <c r="E934" s="638" t="s">
        <v>5389</v>
      </c>
      <c r="F934" s="638" t="s">
        <v>6903</v>
      </c>
      <c r="G934" s="802"/>
      <c r="H934" s="640"/>
      <c r="I934" s="641"/>
      <c r="J934" s="642"/>
      <c r="K934" s="799"/>
      <c r="L934" s="799"/>
    </row>
    <row r="935" spans="1:12" s="598" customFormat="1">
      <c r="A935" s="607">
        <v>927</v>
      </c>
      <c r="B935" s="609" t="s">
        <v>5366</v>
      </c>
      <c r="C935" s="638" t="s">
        <v>6882</v>
      </c>
      <c r="D935" s="638" t="s">
        <v>5452</v>
      </c>
      <c r="E935" s="638" t="s">
        <v>5389</v>
      </c>
      <c r="F935" s="638" t="s">
        <v>6904</v>
      </c>
      <c r="G935" s="802"/>
      <c r="H935" s="640"/>
      <c r="I935" s="641"/>
      <c r="J935" s="642"/>
      <c r="K935" s="799"/>
      <c r="L935" s="799"/>
    </row>
    <row r="936" spans="1:12" s="598" customFormat="1">
      <c r="A936" s="607">
        <v>928</v>
      </c>
      <c r="B936" s="609" t="s">
        <v>5366</v>
      </c>
      <c r="C936" s="638" t="s">
        <v>5387</v>
      </c>
      <c r="D936" s="638" t="s">
        <v>6716</v>
      </c>
      <c r="E936" s="638" t="s">
        <v>5418</v>
      </c>
      <c r="F936" s="638" t="s">
        <v>6905</v>
      </c>
      <c r="G936" s="802"/>
      <c r="H936" s="640"/>
      <c r="I936" s="641"/>
      <c r="J936" s="642"/>
      <c r="K936" s="799"/>
      <c r="L936" s="799"/>
    </row>
    <row r="937" spans="1:12" s="598" customFormat="1">
      <c r="A937" s="607">
        <v>929</v>
      </c>
      <c r="B937" s="609" t="s">
        <v>5366</v>
      </c>
      <c r="C937" s="638" t="s">
        <v>5387</v>
      </c>
      <c r="D937" s="638" t="s">
        <v>6716</v>
      </c>
      <c r="E937" s="638" t="s">
        <v>5392</v>
      </c>
      <c r="F937" s="638" t="s">
        <v>6906</v>
      </c>
      <c r="G937" s="802"/>
      <c r="H937" s="640"/>
      <c r="I937" s="641"/>
      <c r="J937" s="642"/>
      <c r="K937" s="799"/>
      <c r="L937" s="799"/>
    </row>
    <row r="938" spans="1:12" s="598" customFormat="1">
      <c r="A938" s="607">
        <v>930</v>
      </c>
      <c r="B938" s="609" t="s">
        <v>5366</v>
      </c>
      <c r="C938" s="638" t="s">
        <v>5387</v>
      </c>
      <c r="D938" s="638" t="s">
        <v>6716</v>
      </c>
      <c r="E938" s="638" t="s">
        <v>5385</v>
      </c>
      <c r="F938" s="638" t="s">
        <v>6907</v>
      </c>
      <c r="G938" s="802"/>
      <c r="H938" s="640"/>
      <c r="I938" s="641"/>
      <c r="J938" s="642"/>
      <c r="K938" s="799"/>
      <c r="L938" s="799"/>
    </row>
    <row r="939" spans="1:12" s="598" customFormat="1">
      <c r="A939" s="607">
        <v>931</v>
      </c>
      <c r="B939" s="609" t="s">
        <v>5366</v>
      </c>
      <c r="C939" s="638" t="s">
        <v>5387</v>
      </c>
      <c r="D939" s="638" t="s">
        <v>6716</v>
      </c>
      <c r="E939" s="638" t="s">
        <v>5517</v>
      </c>
      <c r="F939" s="638" t="s">
        <v>6908</v>
      </c>
      <c r="G939" s="802"/>
      <c r="H939" s="640"/>
      <c r="I939" s="641"/>
      <c r="J939" s="642"/>
      <c r="K939" s="799"/>
      <c r="L939" s="799"/>
    </row>
    <row r="940" spans="1:12" s="598" customFormat="1">
      <c r="A940" s="607">
        <v>932</v>
      </c>
      <c r="B940" s="609" t="s">
        <v>5366</v>
      </c>
      <c r="C940" s="638" t="s">
        <v>5387</v>
      </c>
      <c r="D940" s="638" t="s">
        <v>6716</v>
      </c>
      <c r="E940" s="638" t="s">
        <v>5487</v>
      </c>
      <c r="F940" s="638" t="s">
        <v>6909</v>
      </c>
      <c r="G940" s="802"/>
      <c r="H940" s="640"/>
      <c r="I940" s="641"/>
      <c r="J940" s="642"/>
      <c r="K940" s="799"/>
      <c r="L940" s="799"/>
    </row>
    <row r="941" spans="1:12" s="598" customFormat="1">
      <c r="A941" s="607">
        <v>933</v>
      </c>
      <c r="B941" s="609" t="s">
        <v>5366</v>
      </c>
      <c r="C941" s="638" t="s">
        <v>5387</v>
      </c>
      <c r="D941" s="638" t="s">
        <v>6716</v>
      </c>
      <c r="E941" s="638" t="s">
        <v>5418</v>
      </c>
      <c r="F941" s="638" t="s">
        <v>6910</v>
      </c>
      <c r="G941" s="802"/>
      <c r="H941" s="640"/>
      <c r="I941" s="641"/>
      <c r="J941" s="642"/>
      <c r="K941" s="799"/>
      <c r="L941" s="799"/>
    </row>
    <row r="942" spans="1:12" s="598" customFormat="1">
      <c r="A942" s="607">
        <v>934</v>
      </c>
      <c r="B942" s="609" t="s">
        <v>5366</v>
      </c>
      <c r="C942" s="638" t="s">
        <v>5387</v>
      </c>
      <c r="D942" s="638" t="s">
        <v>6716</v>
      </c>
      <c r="E942" s="638" t="s">
        <v>5581</v>
      </c>
      <c r="F942" s="638" t="s">
        <v>6911</v>
      </c>
      <c r="G942" s="802"/>
      <c r="H942" s="640"/>
      <c r="I942" s="641"/>
      <c r="J942" s="642"/>
      <c r="K942" s="799"/>
      <c r="L942" s="799"/>
    </row>
    <row r="943" spans="1:12" s="598" customFormat="1">
      <c r="A943" s="607">
        <v>935</v>
      </c>
      <c r="B943" s="609" t="s">
        <v>5366</v>
      </c>
      <c r="C943" s="638" t="s">
        <v>5387</v>
      </c>
      <c r="D943" s="638" t="s">
        <v>6716</v>
      </c>
      <c r="E943" s="638" t="s">
        <v>5392</v>
      </c>
      <c r="F943" s="638" t="s">
        <v>6912</v>
      </c>
      <c r="G943" s="802"/>
      <c r="H943" s="640"/>
      <c r="I943" s="641"/>
      <c r="J943" s="642"/>
      <c r="K943" s="799"/>
      <c r="L943" s="799"/>
    </row>
    <row r="944" spans="1:12" s="598" customFormat="1">
      <c r="A944" s="607">
        <v>936</v>
      </c>
      <c r="B944" s="609" t="s">
        <v>5366</v>
      </c>
      <c r="C944" s="638" t="s">
        <v>5387</v>
      </c>
      <c r="D944" s="638" t="s">
        <v>6716</v>
      </c>
      <c r="E944" s="638" t="s">
        <v>5487</v>
      </c>
      <c r="F944" s="638" t="s">
        <v>6913</v>
      </c>
      <c r="G944" s="802"/>
      <c r="H944" s="640"/>
      <c r="I944" s="641"/>
      <c r="J944" s="642"/>
      <c r="K944" s="799"/>
      <c r="L944" s="799"/>
    </row>
    <row r="945" spans="1:12" s="598" customFormat="1">
      <c r="A945" s="607">
        <v>937</v>
      </c>
      <c r="B945" s="609" t="s">
        <v>5366</v>
      </c>
      <c r="C945" s="638" t="s">
        <v>5387</v>
      </c>
      <c r="D945" s="638" t="s">
        <v>6716</v>
      </c>
      <c r="E945" s="638" t="s">
        <v>5418</v>
      </c>
      <c r="F945" s="638" t="s">
        <v>6914</v>
      </c>
      <c r="G945" s="802"/>
      <c r="H945" s="640"/>
      <c r="I945" s="641"/>
      <c r="J945" s="642"/>
      <c r="K945" s="799"/>
      <c r="L945" s="799"/>
    </row>
    <row r="946" spans="1:12" s="598" customFormat="1">
      <c r="A946" s="607">
        <v>938</v>
      </c>
      <c r="B946" s="609" t="s">
        <v>5366</v>
      </c>
      <c r="C946" s="638" t="s">
        <v>6882</v>
      </c>
      <c r="D946" s="638" t="s">
        <v>5452</v>
      </c>
      <c r="E946" s="638" t="s">
        <v>5385</v>
      </c>
      <c r="F946" s="638" t="s">
        <v>6915</v>
      </c>
      <c r="G946" s="802"/>
      <c r="H946" s="640"/>
      <c r="I946" s="641"/>
      <c r="J946" s="642"/>
      <c r="K946" s="799"/>
      <c r="L946" s="799"/>
    </row>
    <row r="947" spans="1:12" s="598" customFormat="1">
      <c r="A947" s="607">
        <v>939</v>
      </c>
      <c r="B947" s="609" t="s">
        <v>5366</v>
      </c>
      <c r="C947" s="638" t="s">
        <v>6882</v>
      </c>
      <c r="D947" s="638" t="s">
        <v>5452</v>
      </c>
      <c r="E947" s="638" t="s">
        <v>5517</v>
      </c>
      <c r="F947" s="638" t="s">
        <v>6916</v>
      </c>
      <c r="G947" s="802"/>
      <c r="H947" s="640"/>
      <c r="I947" s="641"/>
      <c r="J947" s="642"/>
      <c r="K947" s="799"/>
      <c r="L947" s="799"/>
    </row>
    <row r="948" spans="1:12" s="598" customFormat="1">
      <c r="A948" s="607">
        <v>940</v>
      </c>
      <c r="B948" s="609" t="s">
        <v>5366</v>
      </c>
      <c r="C948" s="638" t="s">
        <v>6882</v>
      </c>
      <c r="D948" s="638" t="s">
        <v>5452</v>
      </c>
      <c r="E948" s="638" t="s">
        <v>5411</v>
      </c>
      <c r="F948" s="638" t="s">
        <v>6917</v>
      </c>
      <c r="G948" s="802"/>
      <c r="H948" s="640"/>
      <c r="I948" s="641"/>
      <c r="J948" s="642"/>
      <c r="K948" s="799"/>
      <c r="L948" s="799"/>
    </row>
    <row r="949" spans="1:12" s="598" customFormat="1">
      <c r="A949" s="607">
        <v>941</v>
      </c>
      <c r="B949" s="609" t="s">
        <v>5366</v>
      </c>
      <c r="C949" s="638" t="s">
        <v>5387</v>
      </c>
      <c r="D949" s="638" t="s">
        <v>6716</v>
      </c>
      <c r="E949" s="638" t="s">
        <v>5411</v>
      </c>
      <c r="F949" s="638" t="s">
        <v>6918</v>
      </c>
      <c r="G949" s="802"/>
      <c r="H949" s="640"/>
      <c r="I949" s="641"/>
      <c r="J949" s="642"/>
      <c r="K949" s="799"/>
      <c r="L949" s="799"/>
    </row>
    <row r="950" spans="1:12" s="598" customFormat="1">
      <c r="A950" s="607">
        <v>942</v>
      </c>
      <c r="B950" s="609" t="s">
        <v>5366</v>
      </c>
      <c r="C950" s="638" t="s">
        <v>5527</v>
      </c>
      <c r="D950" s="638" t="s">
        <v>5452</v>
      </c>
      <c r="E950" s="638" t="s">
        <v>5426</v>
      </c>
      <c r="F950" s="638" t="s">
        <v>6919</v>
      </c>
      <c r="G950" s="802"/>
      <c r="H950" s="640"/>
      <c r="I950" s="641"/>
      <c r="J950" s="642"/>
      <c r="K950" s="799"/>
      <c r="L950" s="799"/>
    </row>
    <row r="951" spans="1:12" s="598" customFormat="1">
      <c r="A951" s="607">
        <v>943</v>
      </c>
      <c r="B951" s="609" t="s">
        <v>5366</v>
      </c>
      <c r="C951" s="638" t="s">
        <v>5387</v>
      </c>
      <c r="D951" s="638" t="s">
        <v>6716</v>
      </c>
      <c r="E951" s="638" t="s">
        <v>6609</v>
      </c>
      <c r="F951" s="638" t="s">
        <v>6920</v>
      </c>
      <c r="G951" s="802"/>
      <c r="H951" s="640"/>
      <c r="I951" s="641"/>
      <c r="J951" s="642"/>
      <c r="K951" s="799"/>
      <c r="L951" s="799"/>
    </row>
    <row r="952" spans="1:12" s="598" customFormat="1">
      <c r="A952" s="607">
        <v>944</v>
      </c>
      <c r="B952" s="609" t="s">
        <v>5366</v>
      </c>
      <c r="C952" s="638" t="s">
        <v>6921</v>
      </c>
      <c r="D952" s="638" t="s">
        <v>5437</v>
      </c>
      <c r="E952" s="638" t="s">
        <v>5517</v>
      </c>
      <c r="F952" s="638" t="s">
        <v>6922</v>
      </c>
      <c r="G952" s="802"/>
      <c r="H952" s="640"/>
      <c r="I952" s="641"/>
      <c r="J952" s="642"/>
      <c r="K952" s="799"/>
      <c r="L952" s="799"/>
    </row>
    <row r="953" spans="1:12" s="598" customFormat="1">
      <c r="A953" s="607">
        <v>945</v>
      </c>
      <c r="B953" s="609" t="s">
        <v>5366</v>
      </c>
      <c r="C953" s="638" t="s">
        <v>5387</v>
      </c>
      <c r="D953" s="638" t="s">
        <v>6716</v>
      </c>
      <c r="E953" s="638" t="s">
        <v>5418</v>
      </c>
      <c r="F953" s="638" t="s">
        <v>6923</v>
      </c>
      <c r="G953" s="802"/>
      <c r="H953" s="640"/>
      <c r="I953" s="641"/>
      <c r="J953" s="642"/>
      <c r="K953" s="799"/>
      <c r="L953" s="799"/>
    </row>
    <row r="954" spans="1:12" s="598" customFormat="1">
      <c r="A954" s="607">
        <v>946</v>
      </c>
      <c r="B954" s="609" t="s">
        <v>5366</v>
      </c>
      <c r="C954" s="638" t="s">
        <v>5387</v>
      </c>
      <c r="D954" s="638" t="s">
        <v>6716</v>
      </c>
      <c r="E954" s="638" t="s">
        <v>5507</v>
      </c>
      <c r="F954" s="638" t="s">
        <v>6924</v>
      </c>
      <c r="G954" s="802"/>
      <c r="H954" s="640"/>
      <c r="I954" s="641"/>
      <c r="J954" s="642"/>
      <c r="K954" s="799"/>
      <c r="L954" s="799"/>
    </row>
    <row r="955" spans="1:12" s="598" customFormat="1">
      <c r="A955" s="607">
        <v>947</v>
      </c>
      <c r="B955" s="609" t="s">
        <v>5366</v>
      </c>
      <c r="C955" s="638" t="s">
        <v>5387</v>
      </c>
      <c r="D955" s="638" t="s">
        <v>6716</v>
      </c>
      <c r="E955" s="638" t="s">
        <v>5385</v>
      </c>
      <c r="F955" s="638" t="s">
        <v>6925</v>
      </c>
      <c r="G955" s="802"/>
      <c r="H955" s="640"/>
      <c r="I955" s="641"/>
      <c r="J955" s="642"/>
      <c r="K955" s="799"/>
      <c r="L955" s="799"/>
    </row>
    <row r="956" spans="1:12" s="598" customFormat="1">
      <c r="A956" s="607">
        <v>948</v>
      </c>
      <c r="B956" s="609" t="s">
        <v>5366</v>
      </c>
      <c r="C956" s="638" t="s">
        <v>5387</v>
      </c>
      <c r="D956" s="638" t="s">
        <v>6716</v>
      </c>
      <c r="E956" s="638" t="s">
        <v>5487</v>
      </c>
      <c r="F956" s="638" t="s">
        <v>6926</v>
      </c>
      <c r="G956" s="802"/>
      <c r="H956" s="640"/>
      <c r="I956" s="641"/>
      <c r="J956" s="642"/>
      <c r="K956" s="799"/>
      <c r="L956" s="799"/>
    </row>
    <row r="957" spans="1:12" s="598" customFormat="1">
      <c r="A957" s="607">
        <v>949</v>
      </c>
      <c r="B957" s="609" t="s">
        <v>5366</v>
      </c>
      <c r="C957" s="638" t="s">
        <v>6882</v>
      </c>
      <c r="D957" s="638" t="s">
        <v>5452</v>
      </c>
      <c r="E957" s="638" t="s">
        <v>5517</v>
      </c>
      <c r="F957" s="638" t="s">
        <v>6927</v>
      </c>
      <c r="G957" s="802"/>
      <c r="H957" s="640"/>
      <c r="I957" s="641"/>
      <c r="J957" s="642"/>
      <c r="K957" s="799"/>
      <c r="L957" s="799"/>
    </row>
    <row r="958" spans="1:12" s="598" customFormat="1">
      <c r="A958" s="607">
        <v>950</v>
      </c>
      <c r="B958" s="609" t="s">
        <v>5366</v>
      </c>
      <c r="C958" s="638" t="s">
        <v>5387</v>
      </c>
      <c r="D958" s="638" t="s">
        <v>6716</v>
      </c>
      <c r="E958" s="638" t="s">
        <v>5392</v>
      </c>
      <c r="F958" s="638" t="s">
        <v>6928</v>
      </c>
      <c r="G958" s="802"/>
      <c r="H958" s="640"/>
      <c r="I958" s="641"/>
      <c r="J958" s="642"/>
      <c r="K958" s="799"/>
      <c r="L958" s="799"/>
    </row>
    <row r="959" spans="1:12" s="598" customFormat="1">
      <c r="A959" s="607">
        <v>951</v>
      </c>
      <c r="B959" s="609" t="s">
        <v>5366</v>
      </c>
      <c r="C959" s="638" t="s">
        <v>5387</v>
      </c>
      <c r="D959" s="638" t="s">
        <v>6716</v>
      </c>
      <c r="E959" s="638" t="s">
        <v>5418</v>
      </c>
      <c r="F959" s="638" t="s">
        <v>6929</v>
      </c>
      <c r="G959" s="802"/>
      <c r="H959" s="640"/>
      <c r="I959" s="641"/>
      <c r="J959" s="642"/>
      <c r="K959" s="799"/>
      <c r="L959" s="799"/>
    </row>
    <row r="960" spans="1:12" s="598" customFormat="1">
      <c r="A960" s="607">
        <v>952</v>
      </c>
      <c r="B960" s="609" t="s">
        <v>5366</v>
      </c>
      <c r="C960" s="638" t="s">
        <v>5387</v>
      </c>
      <c r="D960" s="638" t="s">
        <v>6716</v>
      </c>
      <c r="E960" s="638" t="s">
        <v>5831</v>
      </c>
      <c r="F960" s="638" t="s">
        <v>6930</v>
      </c>
      <c r="G960" s="802"/>
      <c r="H960" s="640"/>
      <c r="I960" s="641"/>
      <c r="J960" s="642"/>
      <c r="K960" s="799"/>
      <c r="L960" s="799"/>
    </row>
    <row r="961" spans="1:12" s="598" customFormat="1">
      <c r="A961" s="607">
        <v>953</v>
      </c>
      <c r="B961" s="609" t="s">
        <v>5366</v>
      </c>
      <c r="C961" s="638" t="s">
        <v>5387</v>
      </c>
      <c r="D961" s="638" t="s">
        <v>6716</v>
      </c>
      <c r="E961" s="638" t="s">
        <v>5507</v>
      </c>
      <c r="F961" s="638" t="s">
        <v>6931</v>
      </c>
      <c r="G961" s="802"/>
      <c r="H961" s="640"/>
      <c r="I961" s="641"/>
      <c r="J961" s="642"/>
      <c r="K961" s="799"/>
      <c r="L961" s="799"/>
    </row>
    <row r="962" spans="1:12" s="598" customFormat="1">
      <c r="A962" s="607">
        <v>954</v>
      </c>
      <c r="B962" s="609" t="s">
        <v>5366</v>
      </c>
      <c r="C962" s="638" t="s">
        <v>5387</v>
      </c>
      <c r="D962" s="638" t="s">
        <v>6716</v>
      </c>
      <c r="E962" s="638" t="s">
        <v>5389</v>
      </c>
      <c r="F962" s="638" t="s">
        <v>6932</v>
      </c>
      <c r="G962" s="802"/>
      <c r="H962" s="640"/>
      <c r="I962" s="641"/>
      <c r="J962" s="642"/>
      <c r="K962" s="799"/>
      <c r="L962" s="799"/>
    </row>
    <row r="963" spans="1:12" s="598" customFormat="1">
      <c r="A963" s="607">
        <v>955</v>
      </c>
      <c r="B963" s="609" t="s">
        <v>5366</v>
      </c>
      <c r="C963" s="638" t="s">
        <v>5387</v>
      </c>
      <c r="D963" s="638" t="s">
        <v>6716</v>
      </c>
      <c r="E963" s="638" t="s">
        <v>5374</v>
      </c>
      <c r="F963" s="638" t="s">
        <v>6933</v>
      </c>
      <c r="G963" s="802"/>
      <c r="H963" s="640"/>
      <c r="I963" s="641"/>
      <c r="J963" s="642"/>
      <c r="K963" s="799"/>
      <c r="L963" s="799"/>
    </row>
    <row r="964" spans="1:12" s="598" customFormat="1">
      <c r="A964" s="607">
        <v>956</v>
      </c>
      <c r="B964" s="609" t="s">
        <v>5366</v>
      </c>
      <c r="C964" s="638" t="s">
        <v>5527</v>
      </c>
      <c r="D964" s="638" t="s">
        <v>5452</v>
      </c>
      <c r="E964" s="638">
        <v>2005</v>
      </c>
      <c r="F964" s="638" t="s">
        <v>6934</v>
      </c>
      <c r="G964" s="802"/>
      <c r="H964" s="640"/>
      <c r="I964" s="641"/>
      <c r="J964" s="642"/>
      <c r="K964" s="799"/>
      <c r="L964" s="799"/>
    </row>
    <row r="965" spans="1:12" s="598" customFormat="1">
      <c r="A965" s="607">
        <v>957</v>
      </c>
      <c r="B965" s="609" t="s">
        <v>5366</v>
      </c>
      <c r="C965" s="638" t="s">
        <v>5387</v>
      </c>
      <c r="D965" s="638" t="s">
        <v>6716</v>
      </c>
      <c r="E965" s="638">
        <v>1997</v>
      </c>
      <c r="F965" s="638" t="s">
        <v>6935</v>
      </c>
      <c r="G965" s="802"/>
      <c r="H965" s="640"/>
      <c r="I965" s="641"/>
      <c r="J965" s="642"/>
      <c r="K965" s="799"/>
      <c r="L965" s="799"/>
    </row>
    <row r="966" spans="1:12" s="598" customFormat="1">
      <c r="A966" s="607">
        <v>958</v>
      </c>
      <c r="B966" s="609" t="s">
        <v>5366</v>
      </c>
      <c r="C966" s="638" t="s">
        <v>5387</v>
      </c>
      <c r="D966" s="638" t="s">
        <v>6716</v>
      </c>
      <c r="E966" s="638">
        <v>1995</v>
      </c>
      <c r="F966" s="638" t="s">
        <v>6936</v>
      </c>
      <c r="G966" s="802"/>
      <c r="H966" s="640"/>
      <c r="I966" s="641"/>
      <c r="J966" s="642"/>
      <c r="K966" s="799"/>
      <c r="L966" s="799"/>
    </row>
    <row r="967" spans="1:12" s="598" customFormat="1">
      <c r="A967" s="607">
        <v>959</v>
      </c>
      <c r="B967" s="609" t="s">
        <v>5366</v>
      </c>
      <c r="C967" s="638" t="s">
        <v>5387</v>
      </c>
      <c r="D967" s="638" t="s">
        <v>6716</v>
      </c>
      <c r="E967" s="638">
        <v>1997</v>
      </c>
      <c r="F967" s="638" t="s">
        <v>6937</v>
      </c>
      <c r="G967" s="802"/>
      <c r="H967" s="640"/>
      <c r="I967" s="641"/>
      <c r="J967" s="642"/>
      <c r="K967" s="799"/>
      <c r="L967" s="799"/>
    </row>
    <row r="968" spans="1:12" s="598" customFormat="1">
      <c r="A968" s="607">
        <v>960</v>
      </c>
      <c r="B968" s="609" t="s">
        <v>5366</v>
      </c>
      <c r="C968" s="638" t="s">
        <v>6882</v>
      </c>
      <c r="D968" s="638" t="s">
        <v>5452</v>
      </c>
      <c r="E968" s="638">
        <v>1997</v>
      </c>
      <c r="F968" s="638" t="s">
        <v>6938</v>
      </c>
      <c r="G968" s="802"/>
      <c r="H968" s="640"/>
      <c r="I968" s="641"/>
      <c r="J968" s="642"/>
      <c r="K968" s="799"/>
      <c r="L968" s="799"/>
    </row>
    <row r="969" spans="1:12" s="598" customFormat="1">
      <c r="A969" s="607">
        <v>961</v>
      </c>
      <c r="B969" s="609" t="s">
        <v>5366</v>
      </c>
      <c r="C969" s="638" t="s">
        <v>5387</v>
      </c>
      <c r="D969" s="638" t="s">
        <v>6716</v>
      </c>
      <c r="E969" s="638">
        <v>1997</v>
      </c>
      <c r="F969" s="638" t="s">
        <v>6939</v>
      </c>
      <c r="G969" s="802"/>
      <c r="H969" s="640"/>
      <c r="I969" s="641"/>
      <c r="J969" s="642"/>
      <c r="K969" s="799"/>
      <c r="L969" s="799"/>
    </row>
    <row r="970" spans="1:12" s="598" customFormat="1">
      <c r="A970" s="607">
        <v>962</v>
      </c>
      <c r="B970" s="609" t="s">
        <v>5366</v>
      </c>
      <c r="C970" s="638" t="s">
        <v>6882</v>
      </c>
      <c r="D970" s="638" t="s">
        <v>5452</v>
      </c>
      <c r="E970" s="638">
        <v>2000</v>
      </c>
      <c r="F970" s="638" t="s">
        <v>6940</v>
      </c>
      <c r="G970" s="802"/>
      <c r="H970" s="640"/>
      <c r="I970" s="641"/>
      <c r="J970" s="642"/>
      <c r="K970" s="799"/>
      <c r="L970" s="799"/>
    </row>
    <row r="971" spans="1:12" s="598" customFormat="1">
      <c r="A971" s="607">
        <v>963</v>
      </c>
      <c r="B971" s="609" t="s">
        <v>5366</v>
      </c>
      <c r="C971" s="638" t="s">
        <v>5387</v>
      </c>
      <c r="D971" s="638" t="s">
        <v>6716</v>
      </c>
      <c r="E971" s="638">
        <v>1997</v>
      </c>
      <c r="F971" s="638" t="s">
        <v>6941</v>
      </c>
      <c r="G971" s="802"/>
      <c r="H971" s="640"/>
      <c r="I971" s="641"/>
      <c r="J971" s="642"/>
      <c r="K971" s="799"/>
      <c r="L971" s="799"/>
    </row>
    <row r="972" spans="1:12" s="598" customFormat="1">
      <c r="A972" s="607">
        <v>964</v>
      </c>
      <c r="B972" s="609" t="s">
        <v>5366</v>
      </c>
      <c r="C972" s="638" t="s">
        <v>6882</v>
      </c>
      <c r="D972" s="638" t="s">
        <v>5452</v>
      </c>
      <c r="E972" s="638">
        <v>1997</v>
      </c>
      <c r="F972" s="638" t="s">
        <v>6942</v>
      </c>
      <c r="G972" s="802"/>
      <c r="H972" s="640"/>
      <c r="I972" s="641"/>
      <c r="J972" s="642"/>
      <c r="K972" s="799"/>
      <c r="L972" s="799"/>
    </row>
    <row r="973" spans="1:12" s="598" customFormat="1">
      <c r="A973" s="607">
        <v>965</v>
      </c>
      <c r="B973" s="609" t="s">
        <v>5366</v>
      </c>
      <c r="C973" s="638" t="s">
        <v>5387</v>
      </c>
      <c r="D973" s="638" t="s">
        <v>6716</v>
      </c>
      <c r="E973" s="638">
        <v>2002</v>
      </c>
      <c r="F973" s="638" t="s">
        <v>6943</v>
      </c>
      <c r="G973" s="802"/>
      <c r="H973" s="640"/>
      <c r="I973" s="641"/>
      <c r="J973" s="642"/>
      <c r="K973" s="799"/>
      <c r="L973" s="799"/>
    </row>
    <row r="974" spans="1:12" s="598" customFormat="1">
      <c r="A974" s="607">
        <v>966</v>
      </c>
      <c r="B974" s="609" t="s">
        <v>5366</v>
      </c>
      <c r="C974" s="638" t="s">
        <v>5387</v>
      </c>
      <c r="D974" s="638" t="s">
        <v>6716</v>
      </c>
      <c r="E974" s="638">
        <v>1994</v>
      </c>
      <c r="F974" s="638" t="s">
        <v>6944</v>
      </c>
      <c r="G974" s="802"/>
      <c r="H974" s="640"/>
      <c r="I974" s="641"/>
      <c r="J974" s="642"/>
      <c r="K974" s="799"/>
      <c r="L974" s="799"/>
    </row>
    <row r="975" spans="1:12" s="598" customFormat="1">
      <c r="A975" s="607">
        <v>967</v>
      </c>
      <c r="B975" s="609" t="s">
        <v>5366</v>
      </c>
      <c r="C975" s="638" t="s">
        <v>6882</v>
      </c>
      <c r="D975" s="638" t="s">
        <v>6945</v>
      </c>
      <c r="E975" s="638">
        <v>2008</v>
      </c>
      <c r="F975" s="638" t="s">
        <v>6946</v>
      </c>
      <c r="G975" s="802"/>
      <c r="H975" s="640"/>
      <c r="I975" s="641"/>
      <c r="J975" s="642"/>
      <c r="K975" s="799"/>
      <c r="L975" s="799"/>
    </row>
    <row r="976" spans="1:12" s="598" customFormat="1">
      <c r="A976" s="607">
        <v>968</v>
      </c>
      <c r="B976" s="609" t="s">
        <v>5366</v>
      </c>
      <c r="C976" s="638" t="s">
        <v>6882</v>
      </c>
      <c r="D976" s="638" t="s">
        <v>5452</v>
      </c>
      <c r="E976" s="638">
        <v>2002</v>
      </c>
      <c r="F976" s="638" t="s">
        <v>6947</v>
      </c>
      <c r="G976" s="802"/>
      <c r="H976" s="640"/>
      <c r="I976" s="641"/>
      <c r="J976" s="642"/>
      <c r="K976" s="799"/>
      <c r="L976" s="799"/>
    </row>
    <row r="977" spans="1:12" s="598" customFormat="1">
      <c r="A977" s="607">
        <v>969</v>
      </c>
      <c r="B977" s="609" t="s">
        <v>5366</v>
      </c>
      <c r="C977" s="638" t="s">
        <v>6882</v>
      </c>
      <c r="D977" s="638" t="s">
        <v>5452</v>
      </c>
      <c r="E977" s="638">
        <v>1997</v>
      </c>
      <c r="F977" s="638" t="s">
        <v>6948</v>
      </c>
      <c r="G977" s="802"/>
      <c r="H977" s="640"/>
      <c r="I977" s="641"/>
      <c r="J977" s="642"/>
      <c r="K977" s="799"/>
      <c r="L977" s="799"/>
    </row>
    <row r="978" spans="1:12" s="598" customFormat="1">
      <c r="A978" s="607">
        <v>970</v>
      </c>
      <c r="B978" s="609" t="s">
        <v>5366</v>
      </c>
      <c r="C978" s="638" t="s">
        <v>6882</v>
      </c>
      <c r="D978" s="638" t="s">
        <v>5452</v>
      </c>
      <c r="E978" s="638">
        <v>1998</v>
      </c>
      <c r="F978" s="638" t="s">
        <v>6949</v>
      </c>
      <c r="G978" s="802"/>
      <c r="H978" s="640"/>
      <c r="I978" s="641"/>
      <c r="J978" s="642"/>
      <c r="K978" s="799"/>
      <c r="L978" s="799"/>
    </row>
    <row r="979" spans="1:12" s="598" customFormat="1">
      <c r="A979" s="607">
        <v>971</v>
      </c>
      <c r="B979" s="609" t="s">
        <v>5366</v>
      </c>
      <c r="C979" s="638" t="s">
        <v>5387</v>
      </c>
      <c r="D979" s="638" t="s">
        <v>6716</v>
      </c>
      <c r="E979" s="638">
        <v>1994</v>
      </c>
      <c r="F979" s="638" t="s">
        <v>6950</v>
      </c>
      <c r="G979" s="802"/>
      <c r="H979" s="640"/>
      <c r="I979" s="641"/>
      <c r="J979" s="642"/>
      <c r="K979" s="799"/>
      <c r="L979" s="799"/>
    </row>
    <row r="980" spans="1:12" s="598" customFormat="1">
      <c r="A980" s="607">
        <v>972</v>
      </c>
      <c r="B980" s="609" t="s">
        <v>5366</v>
      </c>
      <c r="C980" s="638" t="s">
        <v>6882</v>
      </c>
      <c r="D980" s="638" t="s">
        <v>5452</v>
      </c>
      <c r="E980" s="638">
        <v>2001</v>
      </c>
      <c r="F980" s="638" t="s">
        <v>6951</v>
      </c>
      <c r="G980" s="802"/>
      <c r="H980" s="640"/>
      <c r="I980" s="641"/>
      <c r="J980" s="642"/>
      <c r="K980" s="799"/>
      <c r="L980" s="799"/>
    </row>
    <row r="981" spans="1:12" s="598" customFormat="1">
      <c r="A981" s="607">
        <v>973</v>
      </c>
      <c r="B981" s="609" t="s">
        <v>5366</v>
      </c>
      <c r="C981" s="638" t="s">
        <v>5387</v>
      </c>
      <c r="D981" s="638" t="s">
        <v>6716</v>
      </c>
      <c r="E981" s="638">
        <v>1999</v>
      </c>
      <c r="F981" s="638" t="s">
        <v>6952</v>
      </c>
      <c r="G981" s="802"/>
      <c r="H981" s="640"/>
      <c r="I981" s="641"/>
      <c r="J981" s="642"/>
      <c r="K981" s="799"/>
      <c r="L981" s="799"/>
    </row>
    <row r="982" spans="1:12" s="598" customFormat="1">
      <c r="A982" s="607">
        <v>974</v>
      </c>
      <c r="B982" s="609" t="s">
        <v>5366</v>
      </c>
      <c r="C982" s="638" t="s">
        <v>5387</v>
      </c>
      <c r="D982" s="638" t="s">
        <v>6716</v>
      </c>
      <c r="E982" s="638">
        <v>1997</v>
      </c>
      <c r="F982" s="638" t="s">
        <v>6953</v>
      </c>
      <c r="G982" s="802"/>
      <c r="H982" s="640"/>
      <c r="I982" s="641"/>
      <c r="J982" s="642"/>
      <c r="K982" s="799"/>
      <c r="L982" s="799"/>
    </row>
    <row r="983" spans="1:12" s="598" customFormat="1">
      <c r="A983" s="607">
        <v>975</v>
      </c>
      <c r="B983" s="609" t="s">
        <v>5366</v>
      </c>
      <c r="C983" s="638" t="s">
        <v>5387</v>
      </c>
      <c r="D983" s="638" t="s">
        <v>6716</v>
      </c>
      <c r="E983" s="638">
        <v>1998</v>
      </c>
      <c r="F983" s="638" t="s">
        <v>6954</v>
      </c>
      <c r="G983" s="802"/>
      <c r="H983" s="640"/>
      <c r="I983" s="641"/>
      <c r="J983" s="642"/>
      <c r="K983" s="799"/>
      <c r="L983" s="799"/>
    </row>
    <row r="984" spans="1:12" s="598" customFormat="1">
      <c r="A984" s="607">
        <v>976</v>
      </c>
      <c r="B984" s="609" t="s">
        <v>5366</v>
      </c>
      <c r="C984" s="638" t="s">
        <v>6921</v>
      </c>
      <c r="D984" s="638" t="s">
        <v>6955</v>
      </c>
      <c r="E984" s="638">
        <v>2000</v>
      </c>
      <c r="F984" s="638" t="s">
        <v>6956</v>
      </c>
      <c r="G984" s="802"/>
      <c r="H984" s="640"/>
      <c r="I984" s="641"/>
      <c r="J984" s="642"/>
      <c r="K984" s="799"/>
      <c r="L984" s="799"/>
    </row>
    <row r="985" spans="1:12" s="598" customFormat="1">
      <c r="A985" s="607">
        <v>977</v>
      </c>
      <c r="B985" s="609" t="s">
        <v>5366</v>
      </c>
      <c r="C985" s="638" t="s">
        <v>5387</v>
      </c>
      <c r="D985" s="638" t="s">
        <v>6716</v>
      </c>
      <c r="E985" s="638">
        <v>1990</v>
      </c>
      <c r="F985" s="638" t="s">
        <v>6957</v>
      </c>
      <c r="G985" s="802"/>
      <c r="H985" s="640"/>
      <c r="I985" s="641"/>
      <c r="J985" s="642"/>
      <c r="K985" s="799"/>
      <c r="L985" s="799"/>
    </row>
    <row r="986" spans="1:12" s="598" customFormat="1">
      <c r="A986" s="607">
        <v>978</v>
      </c>
      <c r="B986" s="609" t="s">
        <v>5366</v>
      </c>
      <c r="C986" s="638" t="s">
        <v>6958</v>
      </c>
      <c r="D986" s="638" t="s">
        <v>6959</v>
      </c>
      <c r="E986" s="638">
        <v>2001</v>
      </c>
      <c r="F986" s="638" t="s">
        <v>6960</v>
      </c>
      <c r="G986" s="802"/>
      <c r="H986" s="640"/>
      <c r="I986" s="641"/>
      <c r="J986" s="642"/>
      <c r="K986" s="799"/>
      <c r="L986" s="799"/>
    </row>
    <row r="987" spans="1:12" s="598" customFormat="1">
      <c r="A987" s="607">
        <v>979</v>
      </c>
      <c r="B987" s="609" t="s">
        <v>5366</v>
      </c>
      <c r="C987" s="638" t="s">
        <v>5387</v>
      </c>
      <c r="D987" s="638" t="s">
        <v>6716</v>
      </c>
      <c r="E987" s="638">
        <v>1994</v>
      </c>
      <c r="F987" s="638" t="s">
        <v>6961</v>
      </c>
      <c r="G987" s="802"/>
      <c r="H987" s="640"/>
      <c r="I987" s="641"/>
      <c r="J987" s="642"/>
      <c r="K987" s="799"/>
      <c r="L987" s="799"/>
    </row>
    <row r="988" spans="1:12" s="598" customFormat="1">
      <c r="A988" s="607">
        <v>980</v>
      </c>
      <c r="B988" s="609" t="s">
        <v>5366</v>
      </c>
      <c r="C988" s="638" t="s">
        <v>6882</v>
      </c>
      <c r="D988" s="638" t="s">
        <v>5452</v>
      </c>
      <c r="E988" s="638">
        <v>2001</v>
      </c>
      <c r="F988" s="638" t="s">
        <v>6962</v>
      </c>
      <c r="G988" s="802"/>
      <c r="H988" s="640"/>
      <c r="I988" s="641"/>
      <c r="J988" s="642"/>
      <c r="K988" s="799"/>
      <c r="L988" s="799"/>
    </row>
    <row r="989" spans="1:12" s="598" customFormat="1">
      <c r="A989" s="607">
        <v>981</v>
      </c>
      <c r="B989" s="609" t="s">
        <v>5366</v>
      </c>
      <c r="C989" s="638" t="s">
        <v>6882</v>
      </c>
      <c r="D989" s="638" t="s">
        <v>5452</v>
      </c>
      <c r="E989" s="638">
        <v>2000</v>
      </c>
      <c r="F989" s="638" t="s">
        <v>6963</v>
      </c>
      <c r="G989" s="802"/>
      <c r="H989" s="640"/>
      <c r="I989" s="641"/>
      <c r="J989" s="642"/>
      <c r="K989" s="799"/>
      <c r="L989" s="799"/>
    </row>
    <row r="990" spans="1:12" s="598" customFormat="1">
      <c r="A990" s="607">
        <v>982</v>
      </c>
      <c r="B990" s="609" t="s">
        <v>5366</v>
      </c>
      <c r="C990" s="638" t="s">
        <v>5387</v>
      </c>
      <c r="D990" s="638" t="s">
        <v>6716</v>
      </c>
      <c r="E990" s="638">
        <v>1995</v>
      </c>
      <c r="F990" s="638" t="s">
        <v>6964</v>
      </c>
      <c r="G990" s="802"/>
      <c r="H990" s="640"/>
      <c r="I990" s="641"/>
      <c r="J990" s="642"/>
      <c r="K990" s="799"/>
      <c r="L990" s="799"/>
    </row>
    <row r="991" spans="1:12" s="598" customFormat="1">
      <c r="A991" s="607">
        <v>983</v>
      </c>
      <c r="B991" s="609" t="s">
        <v>5366</v>
      </c>
      <c r="C991" s="638" t="s">
        <v>6921</v>
      </c>
      <c r="D991" s="638" t="s">
        <v>5437</v>
      </c>
      <c r="E991" s="638">
        <v>1999</v>
      </c>
      <c r="F991" s="638" t="s">
        <v>6965</v>
      </c>
      <c r="G991" s="802"/>
      <c r="H991" s="640"/>
      <c r="I991" s="641"/>
      <c r="J991" s="642"/>
      <c r="K991" s="799"/>
      <c r="L991" s="799"/>
    </row>
    <row r="992" spans="1:12" s="598" customFormat="1">
      <c r="A992" s="607">
        <v>984</v>
      </c>
      <c r="B992" s="609" t="s">
        <v>5366</v>
      </c>
      <c r="C992" s="638" t="s">
        <v>5387</v>
      </c>
      <c r="D992" s="638" t="s">
        <v>6716</v>
      </c>
      <c r="E992" s="638">
        <v>1997</v>
      </c>
      <c r="F992" s="638" t="s">
        <v>6966</v>
      </c>
      <c r="G992" s="802"/>
      <c r="H992" s="640"/>
      <c r="I992" s="641"/>
      <c r="J992" s="642"/>
      <c r="K992" s="799"/>
      <c r="L992" s="799"/>
    </row>
    <row r="993" spans="1:12" s="598" customFormat="1">
      <c r="A993" s="607">
        <v>985</v>
      </c>
      <c r="B993" s="609" t="s">
        <v>5366</v>
      </c>
      <c r="C993" s="638" t="s">
        <v>5387</v>
      </c>
      <c r="D993" s="638" t="s">
        <v>6716</v>
      </c>
      <c r="E993" s="638">
        <v>1996</v>
      </c>
      <c r="F993" s="638" t="s">
        <v>6967</v>
      </c>
      <c r="G993" s="803"/>
      <c r="H993" s="640"/>
      <c r="I993" s="641"/>
      <c r="J993" s="642"/>
      <c r="K993" s="800"/>
      <c r="L993" s="800"/>
    </row>
    <row r="994" spans="1:12" s="598" customFormat="1">
      <c r="A994" s="607">
        <v>986</v>
      </c>
      <c r="B994" s="609" t="s">
        <v>5366</v>
      </c>
      <c r="C994" s="638" t="s">
        <v>5367</v>
      </c>
      <c r="D994" s="638" t="s">
        <v>6968</v>
      </c>
      <c r="E994" s="638" t="s">
        <v>5385</v>
      </c>
      <c r="F994" s="638" t="s">
        <v>6969</v>
      </c>
      <c r="G994" s="801">
        <v>4200</v>
      </c>
      <c r="H994" s="640"/>
      <c r="I994" s="641"/>
      <c r="J994" s="642"/>
      <c r="K994" s="798">
        <v>246754150</v>
      </c>
      <c r="L994" s="798" t="s">
        <v>6970</v>
      </c>
    </row>
    <row r="995" spans="1:12" s="598" customFormat="1">
      <c r="A995" s="607">
        <v>987</v>
      </c>
      <c r="B995" s="609" t="s">
        <v>5366</v>
      </c>
      <c r="C995" s="638" t="s">
        <v>5378</v>
      </c>
      <c r="D995" s="638" t="s">
        <v>5452</v>
      </c>
      <c r="E995" s="638" t="s">
        <v>5385</v>
      </c>
      <c r="F995" s="638" t="s">
        <v>6971</v>
      </c>
      <c r="G995" s="802"/>
      <c r="H995" s="640"/>
      <c r="I995" s="641"/>
      <c r="J995" s="642"/>
      <c r="K995" s="799"/>
      <c r="L995" s="799"/>
    </row>
    <row r="996" spans="1:12" s="598" customFormat="1">
      <c r="A996" s="607">
        <v>988</v>
      </c>
      <c r="B996" s="609" t="s">
        <v>5366</v>
      </c>
      <c r="C996" s="638" t="s">
        <v>5378</v>
      </c>
      <c r="D996" s="638" t="s">
        <v>5452</v>
      </c>
      <c r="E996" s="638" t="s">
        <v>5397</v>
      </c>
      <c r="F996" s="638" t="s">
        <v>6972</v>
      </c>
      <c r="G996" s="802"/>
      <c r="H996" s="640"/>
      <c r="I996" s="641"/>
      <c r="J996" s="642"/>
      <c r="K996" s="799"/>
      <c r="L996" s="799"/>
    </row>
    <row r="997" spans="1:12" s="598" customFormat="1">
      <c r="A997" s="607">
        <v>989</v>
      </c>
      <c r="B997" s="609" t="s">
        <v>5366</v>
      </c>
      <c r="C997" s="638" t="s">
        <v>5367</v>
      </c>
      <c r="D997" s="638" t="s">
        <v>6968</v>
      </c>
      <c r="E997" s="638" t="s">
        <v>5418</v>
      </c>
      <c r="F997" s="638" t="s">
        <v>6973</v>
      </c>
      <c r="G997" s="802"/>
      <c r="H997" s="640"/>
      <c r="I997" s="641"/>
      <c r="J997" s="642"/>
      <c r="K997" s="799"/>
      <c r="L997" s="799"/>
    </row>
    <row r="998" spans="1:12" s="598" customFormat="1">
      <c r="A998" s="607">
        <v>990</v>
      </c>
      <c r="B998" s="609" t="s">
        <v>5366</v>
      </c>
      <c r="C998" s="638" t="s">
        <v>5367</v>
      </c>
      <c r="D998" s="638" t="s">
        <v>6968</v>
      </c>
      <c r="E998" s="638" t="s">
        <v>5418</v>
      </c>
      <c r="F998" s="638" t="s">
        <v>6974</v>
      </c>
      <c r="G998" s="802"/>
      <c r="H998" s="640"/>
      <c r="I998" s="641"/>
      <c r="J998" s="642"/>
      <c r="K998" s="799"/>
      <c r="L998" s="799"/>
    </row>
    <row r="999" spans="1:12" s="598" customFormat="1">
      <c r="A999" s="607">
        <v>991</v>
      </c>
      <c r="B999" s="609" t="s">
        <v>5366</v>
      </c>
      <c r="C999" s="638" t="s">
        <v>5367</v>
      </c>
      <c r="D999" s="638" t="s">
        <v>6968</v>
      </c>
      <c r="E999" s="638" t="s">
        <v>5517</v>
      </c>
      <c r="F999" s="638" t="s">
        <v>6975</v>
      </c>
      <c r="G999" s="802"/>
      <c r="H999" s="640"/>
      <c r="I999" s="641"/>
      <c r="J999" s="642"/>
      <c r="K999" s="799"/>
      <c r="L999" s="799"/>
    </row>
    <row r="1000" spans="1:12" s="598" customFormat="1">
      <c r="A1000" s="607">
        <v>992</v>
      </c>
      <c r="B1000" s="609" t="s">
        <v>5366</v>
      </c>
      <c r="C1000" s="638" t="s">
        <v>5378</v>
      </c>
      <c r="D1000" s="638" t="s">
        <v>5452</v>
      </c>
      <c r="E1000" s="638" t="s">
        <v>5507</v>
      </c>
      <c r="F1000" s="638" t="s">
        <v>6976</v>
      </c>
      <c r="G1000" s="802"/>
      <c r="H1000" s="640"/>
      <c r="I1000" s="641"/>
      <c r="J1000" s="642"/>
      <c r="K1000" s="799"/>
      <c r="L1000" s="799"/>
    </row>
    <row r="1001" spans="1:12" s="598" customFormat="1">
      <c r="A1001" s="607">
        <v>993</v>
      </c>
      <c r="B1001" s="609" t="s">
        <v>5366</v>
      </c>
      <c r="C1001" s="638" t="s">
        <v>5378</v>
      </c>
      <c r="D1001" s="638" t="s">
        <v>5452</v>
      </c>
      <c r="E1001" s="638" t="s">
        <v>5411</v>
      </c>
      <c r="F1001" s="638" t="s">
        <v>6977</v>
      </c>
      <c r="G1001" s="802"/>
      <c r="H1001" s="640"/>
      <c r="I1001" s="641"/>
      <c r="J1001" s="642"/>
      <c r="K1001" s="799"/>
      <c r="L1001" s="799"/>
    </row>
    <row r="1002" spans="1:12" s="598" customFormat="1">
      <c r="A1002" s="607">
        <v>994</v>
      </c>
      <c r="B1002" s="609" t="s">
        <v>5366</v>
      </c>
      <c r="C1002" s="638" t="s">
        <v>5378</v>
      </c>
      <c r="D1002" s="638" t="s">
        <v>5452</v>
      </c>
      <c r="E1002" s="638" t="s">
        <v>5507</v>
      </c>
      <c r="F1002" s="638" t="s">
        <v>6978</v>
      </c>
      <c r="G1002" s="802"/>
      <c r="H1002" s="640"/>
      <c r="I1002" s="641"/>
      <c r="J1002" s="642"/>
      <c r="K1002" s="799"/>
      <c r="L1002" s="799"/>
    </row>
    <row r="1003" spans="1:12" s="598" customFormat="1">
      <c r="A1003" s="607">
        <v>995</v>
      </c>
      <c r="B1003" s="609" t="s">
        <v>5366</v>
      </c>
      <c r="C1003" s="638" t="s">
        <v>5378</v>
      </c>
      <c r="D1003" s="638" t="s">
        <v>5452</v>
      </c>
      <c r="E1003" s="638" t="s">
        <v>5418</v>
      </c>
      <c r="F1003" s="638" t="s">
        <v>6979</v>
      </c>
      <c r="G1003" s="802"/>
      <c r="H1003" s="640"/>
      <c r="I1003" s="641"/>
      <c r="J1003" s="642"/>
      <c r="K1003" s="799"/>
      <c r="L1003" s="799"/>
    </row>
    <row r="1004" spans="1:12" s="598" customFormat="1">
      <c r="A1004" s="607">
        <v>996</v>
      </c>
      <c r="B1004" s="609" t="s">
        <v>5366</v>
      </c>
      <c r="C1004" s="638" t="s">
        <v>5378</v>
      </c>
      <c r="D1004" s="638" t="s">
        <v>5452</v>
      </c>
      <c r="E1004" s="638" t="s">
        <v>5392</v>
      </c>
      <c r="F1004" s="638" t="s">
        <v>6980</v>
      </c>
      <c r="G1004" s="802"/>
      <c r="H1004" s="640"/>
      <c r="I1004" s="641"/>
      <c r="J1004" s="642"/>
      <c r="K1004" s="799"/>
      <c r="L1004" s="799"/>
    </row>
    <row r="1005" spans="1:12" s="598" customFormat="1">
      <c r="A1005" s="607">
        <v>997</v>
      </c>
      <c r="B1005" s="609" t="s">
        <v>5366</v>
      </c>
      <c r="C1005" s="638" t="s">
        <v>5367</v>
      </c>
      <c r="D1005" s="638" t="s">
        <v>6968</v>
      </c>
      <c r="E1005" s="638" t="s">
        <v>5389</v>
      </c>
      <c r="F1005" s="638" t="s">
        <v>6981</v>
      </c>
      <c r="G1005" s="802"/>
      <c r="H1005" s="640"/>
      <c r="I1005" s="641"/>
      <c r="J1005" s="642"/>
      <c r="K1005" s="799"/>
      <c r="L1005" s="799"/>
    </row>
    <row r="1006" spans="1:12" s="598" customFormat="1">
      <c r="A1006" s="607">
        <v>998</v>
      </c>
      <c r="B1006" s="609" t="s">
        <v>5366</v>
      </c>
      <c r="C1006" s="638" t="s">
        <v>5367</v>
      </c>
      <c r="D1006" s="638" t="s">
        <v>6968</v>
      </c>
      <c r="E1006" s="638" t="s">
        <v>5385</v>
      </c>
      <c r="F1006" s="638" t="s">
        <v>6982</v>
      </c>
      <c r="G1006" s="802"/>
      <c r="H1006" s="640"/>
      <c r="I1006" s="641"/>
      <c r="J1006" s="642"/>
      <c r="K1006" s="799"/>
      <c r="L1006" s="799"/>
    </row>
    <row r="1007" spans="1:12" s="598" customFormat="1">
      <c r="A1007" s="607">
        <v>999</v>
      </c>
      <c r="B1007" s="609" t="s">
        <v>5366</v>
      </c>
      <c r="C1007" s="638" t="s">
        <v>5378</v>
      </c>
      <c r="D1007" s="638" t="s">
        <v>5452</v>
      </c>
      <c r="E1007" s="638" t="s">
        <v>5392</v>
      </c>
      <c r="F1007" s="638" t="s">
        <v>6983</v>
      </c>
      <c r="G1007" s="802"/>
      <c r="H1007" s="640"/>
      <c r="I1007" s="641"/>
      <c r="J1007" s="642"/>
      <c r="K1007" s="799"/>
      <c r="L1007" s="799"/>
    </row>
    <row r="1008" spans="1:12" s="598" customFormat="1">
      <c r="A1008" s="607">
        <v>1000</v>
      </c>
      <c r="B1008" s="609" t="s">
        <v>5366</v>
      </c>
      <c r="C1008" s="638" t="s">
        <v>5387</v>
      </c>
      <c r="D1008" s="638" t="s">
        <v>6716</v>
      </c>
      <c r="E1008" s="638" t="s">
        <v>5374</v>
      </c>
      <c r="F1008" s="638" t="s">
        <v>6984</v>
      </c>
      <c r="G1008" s="802"/>
      <c r="H1008" s="640"/>
      <c r="I1008" s="641"/>
      <c r="J1008" s="642"/>
      <c r="K1008" s="799"/>
      <c r="L1008" s="799"/>
    </row>
    <row r="1009" spans="1:12" s="598" customFormat="1">
      <c r="A1009" s="607">
        <v>1001</v>
      </c>
      <c r="B1009" s="609" t="s">
        <v>5366</v>
      </c>
      <c r="C1009" s="638" t="s">
        <v>5378</v>
      </c>
      <c r="D1009" s="638" t="s">
        <v>5452</v>
      </c>
      <c r="E1009" s="638" t="s">
        <v>5389</v>
      </c>
      <c r="F1009" s="638" t="s">
        <v>6985</v>
      </c>
      <c r="G1009" s="802"/>
      <c r="H1009" s="640"/>
      <c r="I1009" s="641"/>
      <c r="J1009" s="642"/>
      <c r="K1009" s="799"/>
      <c r="L1009" s="799"/>
    </row>
    <row r="1010" spans="1:12" s="598" customFormat="1">
      <c r="A1010" s="607">
        <v>1002</v>
      </c>
      <c r="B1010" s="609" t="s">
        <v>5366</v>
      </c>
      <c r="C1010" s="638" t="s">
        <v>5367</v>
      </c>
      <c r="D1010" s="638" t="s">
        <v>6968</v>
      </c>
      <c r="E1010" s="638" t="s">
        <v>5418</v>
      </c>
      <c r="F1010" s="638" t="s">
        <v>6986</v>
      </c>
      <c r="G1010" s="802"/>
      <c r="H1010" s="640"/>
      <c r="I1010" s="641"/>
      <c r="J1010" s="642"/>
      <c r="K1010" s="799"/>
      <c r="L1010" s="799"/>
    </row>
    <row r="1011" spans="1:12" s="598" customFormat="1">
      <c r="A1011" s="607">
        <v>1003</v>
      </c>
      <c r="B1011" s="609" t="s">
        <v>5366</v>
      </c>
      <c r="C1011" s="638" t="s">
        <v>5378</v>
      </c>
      <c r="D1011" s="638" t="s">
        <v>5452</v>
      </c>
      <c r="E1011" s="638" t="s">
        <v>5389</v>
      </c>
      <c r="F1011" s="638" t="s">
        <v>6987</v>
      </c>
      <c r="G1011" s="802"/>
      <c r="H1011" s="640"/>
      <c r="I1011" s="641"/>
      <c r="J1011" s="642"/>
      <c r="K1011" s="799"/>
      <c r="L1011" s="799"/>
    </row>
    <row r="1012" spans="1:12" s="598" customFormat="1">
      <c r="A1012" s="607">
        <v>1004</v>
      </c>
      <c r="B1012" s="609" t="s">
        <v>5366</v>
      </c>
      <c r="C1012" s="638" t="s">
        <v>5387</v>
      </c>
      <c r="D1012" s="638" t="s">
        <v>6716</v>
      </c>
      <c r="E1012" s="638" t="s">
        <v>5757</v>
      </c>
      <c r="F1012" s="638" t="s">
        <v>6988</v>
      </c>
      <c r="G1012" s="802"/>
      <c r="H1012" s="640"/>
      <c r="I1012" s="641"/>
      <c r="J1012" s="642"/>
      <c r="K1012" s="799"/>
      <c r="L1012" s="799"/>
    </row>
    <row r="1013" spans="1:12" s="598" customFormat="1">
      <c r="A1013" s="607">
        <v>1005</v>
      </c>
      <c r="B1013" s="609" t="s">
        <v>5366</v>
      </c>
      <c r="C1013" s="638" t="s">
        <v>6989</v>
      </c>
      <c r="D1013" s="638" t="s">
        <v>5452</v>
      </c>
      <c r="E1013" s="638" t="s">
        <v>5529</v>
      </c>
      <c r="F1013" s="638" t="s">
        <v>6990</v>
      </c>
      <c r="G1013" s="802"/>
      <c r="H1013" s="640"/>
      <c r="I1013" s="641"/>
      <c r="J1013" s="642"/>
      <c r="K1013" s="799"/>
      <c r="L1013" s="799"/>
    </row>
    <row r="1014" spans="1:12" s="598" customFormat="1">
      <c r="A1014" s="607">
        <v>1006</v>
      </c>
      <c r="B1014" s="609" t="s">
        <v>5366</v>
      </c>
      <c r="C1014" s="638" t="s">
        <v>5387</v>
      </c>
      <c r="D1014" s="638" t="s">
        <v>6716</v>
      </c>
      <c r="E1014" s="638" t="s">
        <v>5487</v>
      </c>
      <c r="F1014" s="638" t="s">
        <v>6991</v>
      </c>
      <c r="G1014" s="802"/>
      <c r="H1014" s="640"/>
      <c r="I1014" s="641"/>
      <c r="J1014" s="642"/>
      <c r="K1014" s="799"/>
      <c r="L1014" s="799"/>
    </row>
    <row r="1015" spans="1:12" s="598" customFormat="1">
      <c r="A1015" s="607">
        <v>1007</v>
      </c>
      <c r="B1015" s="609" t="s">
        <v>5366</v>
      </c>
      <c r="C1015" s="638" t="s">
        <v>5378</v>
      </c>
      <c r="D1015" s="638" t="s">
        <v>5452</v>
      </c>
      <c r="E1015" s="638" t="s">
        <v>5403</v>
      </c>
      <c r="F1015" s="638" t="s">
        <v>6992</v>
      </c>
      <c r="G1015" s="802"/>
      <c r="H1015" s="640"/>
      <c r="I1015" s="641"/>
      <c r="J1015" s="642"/>
      <c r="K1015" s="799"/>
      <c r="L1015" s="799"/>
    </row>
    <row r="1016" spans="1:12" s="598" customFormat="1">
      <c r="A1016" s="607">
        <v>1008</v>
      </c>
      <c r="B1016" s="609" t="s">
        <v>5366</v>
      </c>
      <c r="C1016" s="638" t="s">
        <v>5387</v>
      </c>
      <c r="D1016" s="638" t="s">
        <v>6716</v>
      </c>
      <c r="E1016" s="638" t="s">
        <v>5418</v>
      </c>
      <c r="F1016" s="638" t="s">
        <v>6993</v>
      </c>
      <c r="G1016" s="802"/>
      <c r="H1016" s="640"/>
      <c r="I1016" s="641"/>
      <c r="J1016" s="642"/>
      <c r="K1016" s="799"/>
      <c r="L1016" s="799"/>
    </row>
    <row r="1017" spans="1:12" s="598" customFormat="1">
      <c r="A1017" s="607">
        <v>1009</v>
      </c>
      <c r="B1017" s="609" t="s">
        <v>5366</v>
      </c>
      <c r="C1017" s="638" t="s">
        <v>5387</v>
      </c>
      <c r="D1017" s="638" t="s">
        <v>6716</v>
      </c>
      <c r="E1017" s="638" t="s">
        <v>5418</v>
      </c>
      <c r="F1017" s="638" t="s">
        <v>6994</v>
      </c>
      <c r="G1017" s="802"/>
      <c r="H1017" s="640"/>
      <c r="I1017" s="641"/>
      <c r="J1017" s="642"/>
      <c r="K1017" s="799"/>
      <c r="L1017" s="799"/>
    </row>
    <row r="1018" spans="1:12" s="598" customFormat="1">
      <c r="A1018" s="607">
        <v>1010</v>
      </c>
      <c r="B1018" s="609" t="s">
        <v>5366</v>
      </c>
      <c r="C1018" s="638" t="s">
        <v>5387</v>
      </c>
      <c r="D1018" s="638" t="s">
        <v>6716</v>
      </c>
      <c r="E1018" s="638" t="s">
        <v>5760</v>
      </c>
      <c r="F1018" s="638" t="s">
        <v>6995</v>
      </c>
      <c r="G1018" s="802"/>
      <c r="H1018" s="640"/>
      <c r="I1018" s="641"/>
      <c r="J1018" s="642"/>
      <c r="K1018" s="799"/>
      <c r="L1018" s="799"/>
    </row>
    <row r="1019" spans="1:12" s="598" customFormat="1">
      <c r="A1019" s="607">
        <v>1011</v>
      </c>
      <c r="B1019" s="609" t="s">
        <v>5366</v>
      </c>
      <c r="C1019" s="638" t="s">
        <v>5387</v>
      </c>
      <c r="D1019" s="638" t="s">
        <v>6716</v>
      </c>
      <c r="E1019" s="638" t="s">
        <v>5760</v>
      </c>
      <c r="F1019" s="638" t="s">
        <v>6996</v>
      </c>
      <c r="G1019" s="802"/>
      <c r="H1019" s="640"/>
      <c r="I1019" s="641"/>
      <c r="J1019" s="642"/>
      <c r="K1019" s="799"/>
      <c r="L1019" s="799"/>
    </row>
    <row r="1020" spans="1:12" s="598" customFormat="1">
      <c r="A1020" s="607">
        <v>1012</v>
      </c>
      <c r="B1020" s="609" t="s">
        <v>5366</v>
      </c>
      <c r="C1020" s="638" t="s">
        <v>5387</v>
      </c>
      <c r="D1020" s="638" t="s">
        <v>6716</v>
      </c>
      <c r="E1020" s="638" t="s">
        <v>5757</v>
      </c>
      <c r="F1020" s="638" t="s">
        <v>6997</v>
      </c>
      <c r="G1020" s="802"/>
      <c r="H1020" s="640"/>
      <c r="I1020" s="641"/>
      <c r="J1020" s="642"/>
      <c r="K1020" s="799"/>
      <c r="L1020" s="799"/>
    </row>
    <row r="1021" spans="1:12" s="598" customFormat="1">
      <c r="A1021" s="607">
        <v>1013</v>
      </c>
      <c r="B1021" s="609" t="s">
        <v>5366</v>
      </c>
      <c r="C1021" s="638" t="s">
        <v>5387</v>
      </c>
      <c r="D1021" s="638" t="s">
        <v>6716</v>
      </c>
      <c r="E1021" s="638" t="s">
        <v>5733</v>
      </c>
      <c r="F1021" s="638" t="s">
        <v>6998</v>
      </c>
      <c r="G1021" s="803"/>
      <c r="H1021" s="640"/>
      <c r="I1021" s="641"/>
      <c r="J1021" s="642"/>
      <c r="K1021" s="800"/>
      <c r="L1021" s="800"/>
    </row>
    <row r="1022" spans="1:12" s="598" customFormat="1">
      <c r="A1022" s="607">
        <v>1014</v>
      </c>
      <c r="B1022" s="609" t="s">
        <v>5366</v>
      </c>
      <c r="C1022" s="638" t="s">
        <v>5378</v>
      </c>
      <c r="D1022" s="638" t="s">
        <v>6999</v>
      </c>
      <c r="E1022" s="638" t="s">
        <v>5487</v>
      </c>
      <c r="F1022" s="638" t="s">
        <v>7000</v>
      </c>
      <c r="G1022" s="801">
        <v>2350</v>
      </c>
      <c r="H1022" s="640"/>
      <c r="I1022" s="641"/>
      <c r="J1022" s="642"/>
      <c r="K1022" s="798">
        <v>246954247</v>
      </c>
      <c r="L1022" s="798" t="s">
        <v>5445</v>
      </c>
    </row>
    <row r="1023" spans="1:12" s="598" customFormat="1">
      <c r="A1023" s="607">
        <v>1015</v>
      </c>
      <c r="B1023" s="609" t="s">
        <v>5366</v>
      </c>
      <c r="C1023" s="638" t="s">
        <v>5378</v>
      </c>
      <c r="D1023" s="638" t="s">
        <v>7001</v>
      </c>
      <c r="E1023" s="638" t="s">
        <v>5507</v>
      </c>
      <c r="F1023" s="638" t="s">
        <v>7002</v>
      </c>
      <c r="G1023" s="802"/>
      <c r="H1023" s="640"/>
      <c r="I1023" s="641"/>
      <c r="J1023" s="642"/>
      <c r="K1023" s="799"/>
      <c r="L1023" s="799"/>
    </row>
    <row r="1024" spans="1:12" s="598" customFormat="1">
      <c r="A1024" s="607">
        <v>1016</v>
      </c>
      <c r="B1024" s="609" t="s">
        <v>5366</v>
      </c>
      <c r="C1024" s="638" t="s">
        <v>5378</v>
      </c>
      <c r="D1024" s="638" t="s">
        <v>5506</v>
      </c>
      <c r="E1024" s="638" t="s">
        <v>5374</v>
      </c>
      <c r="F1024" s="638" t="s">
        <v>7003</v>
      </c>
      <c r="G1024" s="802"/>
      <c r="H1024" s="640"/>
      <c r="I1024" s="641"/>
      <c r="J1024" s="642"/>
      <c r="K1024" s="799"/>
      <c r="L1024" s="799"/>
    </row>
    <row r="1025" spans="1:12" s="598" customFormat="1">
      <c r="A1025" s="607">
        <v>1017</v>
      </c>
      <c r="B1025" s="609" t="s">
        <v>5366</v>
      </c>
      <c r="C1025" s="638" t="s">
        <v>5378</v>
      </c>
      <c r="D1025" s="638" t="s">
        <v>7004</v>
      </c>
      <c r="E1025" s="638" t="s">
        <v>5418</v>
      </c>
      <c r="F1025" s="638" t="s">
        <v>7005</v>
      </c>
      <c r="G1025" s="802"/>
      <c r="H1025" s="640"/>
      <c r="I1025" s="641"/>
      <c r="J1025" s="642"/>
      <c r="K1025" s="799"/>
      <c r="L1025" s="799"/>
    </row>
    <row r="1026" spans="1:12" s="598" customFormat="1">
      <c r="A1026" s="607">
        <v>1018</v>
      </c>
      <c r="B1026" s="609" t="s">
        <v>5366</v>
      </c>
      <c r="C1026" s="638" t="s">
        <v>5378</v>
      </c>
      <c r="D1026" s="638" t="s">
        <v>5476</v>
      </c>
      <c r="E1026" s="638" t="s">
        <v>5418</v>
      </c>
      <c r="F1026" s="638" t="s">
        <v>7006</v>
      </c>
      <c r="G1026" s="802"/>
      <c r="H1026" s="640"/>
      <c r="I1026" s="641"/>
      <c r="J1026" s="642"/>
      <c r="K1026" s="799"/>
      <c r="L1026" s="799"/>
    </row>
    <row r="1027" spans="1:12" s="598" customFormat="1">
      <c r="A1027" s="607">
        <v>1019</v>
      </c>
      <c r="B1027" s="609" t="s">
        <v>5366</v>
      </c>
      <c r="C1027" s="638" t="s">
        <v>5367</v>
      </c>
      <c r="D1027" s="638" t="s">
        <v>7007</v>
      </c>
      <c r="E1027" s="638" t="s">
        <v>5418</v>
      </c>
      <c r="F1027" s="638" t="s">
        <v>7008</v>
      </c>
      <c r="G1027" s="802"/>
      <c r="H1027" s="640"/>
      <c r="I1027" s="641"/>
      <c r="J1027" s="642"/>
      <c r="K1027" s="799"/>
      <c r="L1027" s="799"/>
    </row>
    <row r="1028" spans="1:12" s="598" customFormat="1">
      <c r="A1028" s="607">
        <v>1020</v>
      </c>
      <c r="B1028" s="609" t="s">
        <v>5366</v>
      </c>
      <c r="C1028" s="638" t="s">
        <v>5378</v>
      </c>
      <c r="D1028" s="638" t="s">
        <v>7009</v>
      </c>
      <c r="E1028" s="638" t="s">
        <v>5507</v>
      </c>
      <c r="F1028" s="638" t="s">
        <v>7010</v>
      </c>
      <c r="G1028" s="802"/>
      <c r="H1028" s="640"/>
      <c r="I1028" s="641"/>
      <c r="J1028" s="642"/>
      <c r="K1028" s="799"/>
      <c r="L1028" s="799"/>
    </row>
    <row r="1029" spans="1:12" s="598" customFormat="1">
      <c r="A1029" s="607">
        <v>1021</v>
      </c>
      <c r="B1029" s="609" t="s">
        <v>5366</v>
      </c>
      <c r="C1029" s="638" t="s">
        <v>5387</v>
      </c>
      <c r="D1029" s="638" t="s">
        <v>7011</v>
      </c>
      <c r="E1029" s="638" t="s">
        <v>5418</v>
      </c>
      <c r="F1029" s="638" t="s">
        <v>7012</v>
      </c>
      <c r="G1029" s="802"/>
      <c r="H1029" s="640"/>
      <c r="I1029" s="641"/>
      <c r="J1029" s="642"/>
      <c r="K1029" s="799"/>
      <c r="L1029" s="799"/>
    </row>
    <row r="1030" spans="1:12" s="598" customFormat="1">
      <c r="A1030" s="607">
        <v>1022</v>
      </c>
      <c r="B1030" s="609" t="s">
        <v>5366</v>
      </c>
      <c r="C1030" s="638" t="s">
        <v>5378</v>
      </c>
      <c r="D1030" s="638" t="s">
        <v>5697</v>
      </c>
      <c r="E1030" s="638" t="s">
        <v>5507</v>
      </c>
      <c r="F1030" s="638" t="s">
        <v>7013</v>
      </c>
      <c r="G1030" s="802"/>
      <c r="H1030" s="640"/>
      <c r="I1030" s="641"/>
      <c r="J1030" s="642"/>
      <c r="K1030" s="799"/>
      <c r="L1030" s="799"/>
    </row>
    <row r="1031" spans="1:12" s="598" customFormat="1">
      <c r="A1031" s="607">
        <v>1023</v>
      </c>
      <c r="B1031" s="609" t="s">
        <v>5366</v>
      </c>
      <c r="C1031" s="638" t="s">
        <v>5387</v>
      </c>
      <c r="D1031" s="638" t="s">
        <v>5373</v>
      </c>
      <c r="E1031" s="638" t="s">
        <v>5517</v>
      </c>
      <c r="F1031" s="638" t="s">
        <v>7014</v>
      </c>
      <c r="G1031" s="802"/>
      <c r="H1031" s="640"/>
      <c r="I1031" s="641"/>
      <c r="J1031" s="642"/>
      <c r="K1031" s="799"/>
      <c r="L1031" s="799"/>
    </row>
    <row r="1032" spans="1:12" s="598" customFormat="1">
      <c r="A1032" s="607">
        <v>1024</v>
      </c>
      <c r="B1032" s="609" t="s">
        <v>5366</v>
      </c>
      <c r="C1032" s="638" t="s">
        <v>5378</v>
      </c>
      <c r="D1032" s="638" t="s">
        <v>5580</v>
      </c>
      <c r="E1032" s="638" t="s">
        <v>5392</v>
      </c>
      <c r="F1032" s="638" t="s">
        <v>7015</v>
      </c>
      <c r="G1032" s="802"/>
      <c r="H1032" s="640"/>
      <c r="I1032" s="641"/>
      <c r="J1032" s="642"/>
      <c r="K1032" s="799"/>
      <c r="L1032" s="799"/>
    </row>
    <row r="1033" spans="1:12" s="598" customFormat="1">
      <c r="A1033" s="607">
        <v>1025</v>
      </c>
      <c r="B1033" s="609" t="s">
        <v>5366</v>
      </c>
      <c r="C1033" s="638" t="s">
        <v>5378</v>
      </c>
      <c r="D1033" s="638" t="s">
        <v>5452</v>
      </c>
      <c r="E1033" s="638" t="s">
        <v>5517</v>
      </c>
      <c r="F1033" s="638" t="s">
        <v>7016</v>
      </c>
      <c r="G1033" s="802"/>
      <c r="H1033" s="640"/>
      <c r="I1033" s="641"/>
      <c r="J1033" s="642"/>
      <c r="K1033" s="799"/>
      <c r="L1033" s="799"/>
    </row>
    <row r="1034" spans="1:12" s="598" customFormat="1">
      <c r="A1034" s="607">
        <v>1026</v>
      </c>
      <c r="B1034" s="609" t="s">
        <v>5366</v>
      </c>
      <c r="C1034" s="638" t="s">
        <v>5387</v>
      </c>
      <c r="D1034" s="638" t="s">
        <v>5627</v>
      </c>
      <c r="E1034" s="638" t="s">
        <v>5389</v>
      </c>
      <c r="F1034" s="638" t="s">
        <v>7017</v>
      </c>
      <c r="G1034" s="802"/>
      <c r="H1034" s="640"/>
      <c r="I1034" s="641"/>
      <c r="J1034" s="642"/>
      <c r="K1034" s="799"/>
      <c r="L1034" s="799"/>
    </row>
    <row r="1035" spans="1:12" s="598" customFormat="1">
      <c r="A1035" s="607">
        <v>1027</v>
      </c>
      <c r="B1035" s="609" t="s">
        <v>5366</v>
      </c>
      <c r="C1035" s="638" t="s">
        <v>5387</v>
      </c>
      <c r="D1035" s="638" t="s">
        <v>6348</v>
      </c>
      <c r="E1035" s="638" t="s">
        <v>5733</v>
      </c>
      <c r="F1035" s="638" t="s">
        <v>7018</v>
      </c>
      <c r="G1035" s="802"/>
      <c r="H1035" s="640"/>
      <c r="I1035" s="641"/>
      <c r="J1035" s="642"/>
      <c r="K1035" s="799"/>
      <c r="L1035" s="799"/>
    </row>
    <row r="1036" spans="1:12" s="598" customFormat="1">
      <c r="A1036" s="607">
        <v>1028</v>
      </c>
      <c r="B1036" s="609" t="s">
        <v>5366</v>
      </c>
      <c r="C1036" s="638" t="s">
        <v>5387</v>
      </c>
      <c r="D1036" s="638" t="s">
        <v>6574</v>
      </c>
      <c r="E1036" s="638" t="s">
        <v>5487</v>
      </c>
      <c r="F1036" s="638" t="s">
        <v>7019</v>
      </c>
      <c r="G1036" s="802"/>
      <c r="H1036" s="640"/>
      <c r="I1036" s="641"/>
      <c r="J1036" s="642"/>
      <c r="K1036" s="799"/>
      <c r="L1036" s="799"/>
    </row>
    <row r="1037" spans="1:12" s="598" customFormat="1">
      <c r="A1037" s="607">
        <v>1029</v>
      </c>
      <c r="B1037" s="609" t="s">
        <v>5366</v>
      </c>
      <c r="C1037" s="638" t="s">
        <v>5378</v>
      </c>
      <c r="D1037" s="638" t="s">
        <v>5442</v>
      </c>
      <c r="E1037" s="638" t="s">
        <v>5392</v>
      </c>
      <c r="F1037" s="638" t="s">
        <v>5443</v>
      </c>
      <c r="G1037" s="802"/>
      <c r="H1037" s="640"/>
      <c r="I1037" s="641"/>
      <c r="J1037" s="642"/>
      <c r="K1037" s="799"/>
      <c r="L1037" s="799"/>
    </row>
    <row r="1038" spans="1:12" s="598" customFormat="1">
      <c r="A1038" s="607">
        <v>1030</v>
      </c>
      <c r="B1038" s="609" t="s">
        <v>5366</v>
      </c>
      <c r="C1038" s="638" t="s">
        <v>5378</v>
      </c>
      <c r="D1038" s="638" t="s">
        <v>5580</v>
      </c>
      <c r="E1038" s="638" t="s">
        <v>5392</v>
      </c>
      <c r="F1038" s="638" t="s">
        <v>7020</v>
      </c>
      <c r="G1038" s="802"/>
      <c r="H1038" s="640"/>
      <c r="I1038" s="641"/>
      <c r="J1038" s="642"/>
      <c r="K1038" s="799"/>
      <c r="L1038" s="799"/>
    </row>
    <row r="1039" spans="1:12" s="598" customFormat="1">
      <c r="A1039" s="607">
        <v>1031</v>
      </c>
      <c r="B1039" s="609" t="s">
        <v>5366</v>
      </c>
      <c r="C1039" s="638" t="s">
        <v>5387</v>
      </c>
      <c r="D1039" s="638" t="s">
        <v>7021</v>
      </c>
      <c r="E1039" s="638" t="s">
        <v>5487</v>
      </c>
      <c r="F1039" s="638" t="s">
        <v>7022</v>
      </c>
      <c r="G1039" s="802"/>
      <c r="H1039" s="640"/>
      <c r="I1039" s="641"/>
      <c r="J1039" s="642"/>
      <c r="K1039" s="799"/>
      <c r="L1039" s="799"/>
    </row>
    <row r="1040" spans="1:12" s="598" customFormat="1">
      <c r="A1040" s="607">
        <v>1032</v>
      </c>
      <c r="B1040" s="609" t="s">
        <v>5366</v>
      </c>
      <c r="C1040" s="638" t="s">
        <v>5387</v>
      </c>
      <c r="D1040" s="638" t="s">
        <v>5627</v>
      </c>
      <c r="E1040" s="638" t="s">
        <v>5389</v>
      </c>
      <c r="F1040" s="638" t="s">
        <v>7023</v>
      </c>
      <c r="G1040" s="802"/>
      <c r="H1040" s="640"/>
      <c r="I1040" s="641"/>
      <c r="J1040" s="642"/>
      <c r="K1040" s="799"/>
      <c r="L1040" s="799"/>
    </row>
    <row r="1041" spans="1:12" s="598" customFormat="1">
      <c r="A1041" s="607">
        <v>1033</v>
      </c>
      <c r="B1041" s="609" t="s">
        <v>5366</v>
      </c>
      <c r="C1041" s="638" t="s">
        <v>5387</v>
      </c>
      <c r="D1041" s="638" t="s">
        <v>5627</v>
      </c>
      <c r="E1041" s="638" t="s">
        <v>5487</v>
      </c>
      <c r="F1041" s="638" t="s">
        <v>7024</v>
      </c>
      <c r="G1041" s="802"/>
      <c r="H1041" s="640"/>
      <c r="I1041" s="641"/>
      <c r="J1041" s="642"/>
      <c r="K1041" s="799"/>
      <c r="L1041" s="799"/>
    </row>
    <row r="1042" spans="1:12" s="598" customFormat="1">
      <c r="A1042" s="607">
        <v>1034</v>
      </c>
      <c r="B1042" s="609" t="s">
        <v>5366</v>
      </c>
      <c r="C1042" s="638" t="s">
        <v>5387</v>
      </c>
      <c r="D1042" s="638" t="s">
        <v>5373</v>
      </c>
      <c r="E1042" s="638" t="s">
        <v>5397</v>
      </c>
      <c r="F1042" s="638" t="s">
        <v>7025</v>
      </c>
      <c r="G1042" s="803"/>
      <c r="H1042" s="640"/>
      <c r="I1042" s="641"/>
      <c r="J1042" s="642"/>
      <c r="K1042" s="800"/>
      <c r="L1042" s="800"/>
    </row>
    <row r="1043" spans="1:12" s="598" customFormat="1">
      <c r="A1043" s="607">
        <v>1035</v>
      </c>
      <c r="B1043" s="609" t="s">
        <v>5366</v>
      </c>
      <c r="C1043" s="638" t="s">
        <v>5387</v>
      </c>
      <c r="D1043" s="638" t="s">
        <v>5609</v>
      </c>
      <c r="E1043" s="638" t="s">
        <v>5487</v>
      </c>
      <c r="F1043" s="638" t="s">
        <v>7026</v>
      </c>
      <c r="G1043" s="639">
        <v>175</v>
      </c>
      <c r="H1043" s="640"/>
      <c r="I1043" s="641"/>
      <c r="J1043" s="642"/>
      <c r="K1043" s="643" t="s">
        <v>7027</v>
      </c>
      <c r="L1043" s="641" t="s">
        <v>7028</v>
      </c>
    </row>
    <row r="1044" spans="1:12" s="598" customFormat="1">
      <c r="A1044" s="607">
        <v>1036</v>
      </c>
      <c r="B1044" s="609" t="s">
        <v>5366</v>
      </c>
      <c r="C1044" s="638" t="s">
        <v>5387</v>
      </c>
      <c r="D1044" s="638" t="s">
        <v>6027</v>
      </c>
      <c r="E1044" s="638" t="s">
        <v>5403</v>
      </c>
      <c r="F1044" s="638" t="s">
        <v>7029</v>
      </c>
      <c r="G1044" s="639">
        <v>175</v>
      </c>
      <c r="H1044" s="640"/>
      <c r="I1044" s="641"/>
      <c r="J1044" s="642"/>
      <c r="K1044" s="643" t="s">
        <v>7030</v>
      </c>
      <c r="L1044" s="641" t="s">
        <v>7031</v>
      </c>
    </row>
    <row r="1045" spans="1:12" s="598" customFormat="1">
      <c r="A1045" s="607">
        <v>1037</v>
      </c>
      <c r="B1045" s="609" t="s">
        <v>5366</v>
      </c>
      <c r="C1045" s="638" t="s">
        <v>5387</v>
      </c>
      <c r="D1045" s="638" t="s">
        <v>6027</v>
      </c>
      <c r="E1045" s="638" t="s">
        <v>5507</v>
      </c>
      <c r="F1045" s="638" t="s">
        <v>7032</v>
      </c>
      <c r="G1045" s="639">
        <v>175</v>
      </c>
      <c r="H1045" s="640" t="s">
        <v>7033</v>
      </c>
      <c r="I1045" s="641" t="s">
        <v>7034</v>
      </c>
      <c r="J1045" s="642" t="s">
        <v>7035</v>
      </c>
      <c r="K1045" s="643"/>
      <c r="L1045" s="641"/>
    </row>
    <row r="1046" spans="1:12" s="598" customFormat="1">
      <c r="A1046" s="607">
        <v>1038</v>
      </c>
      <c r="B1046" s="609" t="s">
        <v>5366</v>
      </c>
      <c r="C1046" s="638" t="s">
        <v>5387</v>
      </c>
      <c r="D1046" s="638" t="s">
        <v>7011</v>
      </c>
      <c r="E1046" s="638" t="s">
        <v>5581</v>
      </c>
      <c r="F1046" s="638" t="s">
        <v>7036</v>
      </c>
      <c r="G1046" s="639">
        <v>212.5</v>
      </c>
      <c r="H1046" s="640"/>
      <c r="I1046" s="641"/>
      <c r="J1046" s="642"/>
      <c r="K1046" s="643" t="s">
        <v>7037</v>
      </c>
      <c r="L1046" s="641" t="s">
        <v>7038</v>
      </c>
    </row>
    <row r="1047" spans="1:12" s="598" customFormat="1">
      <c r="A1047" s="607">
        <v>1039</v>
      </c>
      <c r="B1047" s="609" t="s">
        <v>5366</v>
      </c>
      <c r="C1047" s="638" t="s">
        <v>5387</v>
      </c>
      <c r="D1047" s="638" t="s">
        <v>5373</v>
      </c>
      <c r="E1047" s="638" t="s">
        <v>5426</v>
      </c>
      <c r="F1047" s="638" t="s">
        <v>7039</v>
      </c>
      <c r="G1047" s="639">
        <v>212.5</v>
      </c>
      <c r="H1047" s="640" t="s">
        <v>7040</v>
      </c>
      <c r="I1047" s="641" t="s">
        <v>7041</v>
      </c>
      <c r="J1047" s="642" t="s">
        <v>7042</v>
      </c>
      <c r="K1047" s="643"/>
      <c r="L1047" s="641"/>
    </row>
    <row r="1048" spans="1:12" s="598" customFormat="1">
      <c r="A1048" s="607">
        <v>1040</v>
      </c>
      <c r="B1048" s="609" t="s">
        <v>5366</v>
      </c>
      <c r="C1048" s="638" t="s">
        <v>5387</v>
      </c>
      <c r="D1048" s="638" t="s">
        <v>6427</v>
      </c>
      <c r="E1048" s="638" t="s">
        <v>5581</v>
      </c>
      <c r="F1048" s="638" t="s">
        <v>7043</v>
      </c>
      <c r="G1048" s="639">
        <v>175</v>
      </c>
      <c r="H1048" s="640" t="s">
        <v>7044</v>
      </c>
      <c r="I1048" s="641" t="s">
        <v>3913</v>
      </c>
      <c r="J1048" s="642" t="s">
        <v>7045</v>
      </c>
      <c r="K1048" s="643"/>
      <c r="L1048" s="641"/>
    </row>
    <row r="1049" spans="1:12" s="598" customFormat="1">
      <c r="A1049" s="607">
        <v>1041</v>
      </c>
      <c r="B1049" s="609" t="s">
        <v>5366</v>
      </c>
      <c r="C1049" s="638" t="s">
        <v>5387</v>
      </c>
      <c r="D1049" s="638" t="s">
        <v>6027</v>
      </c>
      <c r="E1049" s="638" t="s">
        <v>5418</v>
      </c>
      <c r="F1049" s="638" t="s">
        <v>7046</v>
      </c>
      <c r="G1049" s="639">
        <v>175</v>
      </c>
      <c r="H1049" s="640" t="s">
        <v>7047</v>
      </c>
      <c r="I1049" s="641" t="s">
        <v>7048</v>
      </c>
      <c r="J1049" s="642" t="s">
        <v>7049</v>
      </c>
      <c r="K1049" s="643"/>
      <c r="L1049" s="641"/>
    </row>
    <row r="1050" spans="1:12" s="598" customFormat="1">
      <c r="A1050" s="607">
        <v>1042</v>
      </c>
      <c r="B1050" s="609" t="s">
        <v>5366</v>
      </c>
      <c r="C1050" s="638" t="s">
        <v>5387</v>
      </c>
      <c r="D1050" s="638" t="s">
        <v>6348</v>
      </c>
      <c r="E1050" s="638" t="s">
        <v>5403</v>
      </c>
      <c r="F1050" s="638" t="s">
        <v>7050</v>
      </c>
      <c r="G1050" s="639">
        <v>175</v>
      </c>
      <c r="H1050" s="640" t="s">
        <v>7051</v>
      </c>
      <c r="I1050" s="641" t="s">
        <v>6085</v>
      </c>
      <c r="J1050" s="642" t="s">
        <v>6086</v>
      </c>
      <c r="K1050" s="643"/>
      <c r="L1050" s="641"/>
    </row>
    <row r="1051" spans="1:12" s="598" customFormat="1">
      <c r="A1051" s="607">
        <v>1043</v>
      </c>
      <c r="B1051" s="609" t="s">
        <v>5366</v>
      </c>
      <c r="C1051" s="638" t="s">
        <v>5387</v>
      </c>
      <c r="D1051" s="638" t="s">
        <v>5611</v>
      </c>
      <c r="E1051" s="638" t="s">
        <v>5487</v>
      </c>
      <c r="F1051" s="638" t="s">
        <v>7052</v>
      </c>
      <c r="G1051" s="639">
        <v>175</v>
      </c>
      <c r="H1051" s="640"/>
      <c r="I1051" s="641"/>
      <c r="J1051" s="642"/>
      <c r="K1051" s="643" t="s">
        <v>7053</v>
      </c>
      <c r="L1051" s="641" t="s">
        <v>7054</v>
      </c>
    </row>
    <row r="1052" spans="1:12" s="598" customFormat="1">
      <c r="A1052" s="607">
        <v>1044</v>
      </c>
      <c r="B1052" s="609" t="s">
        <v>5366</v>
      </c>
      <c r="C1052" s="638" t="s">
        <v>5387</v>
      </c>
      <c r="D1052" s="638" t="s">
        <v>6348</v>
      </c>
      <c r="E1052" s="638" t="s">
        <v>5403</v>
      </c>
      <c r="F1052" s="638" t="s">
        <v>7055</v>
      </c>
      <c r="G1052" s="639">
        <v>175</v>
      </c>
      <c r="H1052" s="640"/>
      <c r="I1052" s="641"/>
      <c r="J1052" s="642"/>
      <c r="K1052" s="643" t="s">
        <v>7056</v>
      </c>
      <c r="L1052" s="641" t="s">
        <v>7057</v>
      </c>
    </row>
    <row r="1053" spans="1:12" s="598" customFormat="1">
      <c r="A1053" s="607">
        <v>1045</v>
      </c>
      <c r="B1053" s="609" t="s">
        <v>5366</v>
      </c>
      <c r="C1053" s="638" t="s">
        <v>5505</v>
      </c>
      <c r="D1053" s="638" t="s">
        <v>7058</v>
      </c>
      <c r="E1053" s="638" t="s">
        <v>5385</v>
      </c>
      <c r="F1053" s="638" t="s">
        <v>7059</v>
      </c>
      <c r="G1053" s="639">
        <v>240</v>
      </c>
      <c r="H1053" s="640" t="s">
        <v>7060</v>
      </c>
      <c r="I1053" s="641" t="s">
        <v>7041</v>
      </c>
      <c r="J1053" s="642" t="s">
        <v>5553</v>
      </c>
      <c r="K1053" s="643"/>
      <c r="L1053" s="641"/>
    </row>
    <row r="1054" spans="1:12" s="598" customFormat="1">
      <c r="A1054" s="607">
        <v>1046</v>
      </c>
      <c r="B1054" s="609" t="s">
        <v>5366</v>
      </c>
      <c r="C1054" s="638" t="s">
        <v>5372</v>
      </c>
      <c r="D1054" s="638" t="s">
        <v>7061</v>
      </c>
      <c r="E1054" s="638" t="s">
        <v>5374</v>
      </c>
      <c r="F1054" s="638" t="s">
        <v>5546</v>
      </c>
      <c r="G1054" s="639">
        <v>280</v>
      </c>
      <c r="H1054" s="640"/>
      <c r="I1054" s="641"/>
      <c r="J1054" s="642"/>
      <c r="K1054" s="643" t="s">
        <v>5547</v>
      </c>
      <c r="L1054" s="641" t="s">
        <v>7062</v>
      </c>
    </row>
    <row r="1055" spans="1:12" s="598" customFormat="1">
      <c r="A1055" s="607">
        <v>1047</v>
      </c>
      <c r="B1055" s="609" t="s">
        <v>5366</v>
      </c>
      <c r="C1055" s="638" t="s">
        <v>5372</v>
      </c>
      <c r="D1055" s="638" t="s">
        <v>6027</v>
      </c>
      <c r="E1055" s="638" t="s">
        <v>5487</v>
      </c>
      <c r="F1055" s="638" t="s">
        <v>7063</v>
      </c>
      <c r="G1055" s="639">
        <v>200</v>
      </c>
      <c r="H1055" s="640"/>
      <c r="I1055" s="641"/>
      <c r="J1055" s="642"/>
      <c r="K1055" s="643" t="s">
        <v>7064</v>
      </c>
      <c r="L1055" s="641" t="s">
        <v>7065</v>
      </c>
    </row>
    <row r="1056" spans="1:12" s="598" customFormat="1">
      <c r="A1056" s="607">
        <v>1048</v>
      </c>
      <c r="B1056" s="609" t="s">
        <v>5366</v>
      </c>
      <c r="C1056" s="638" t="s">
        <v>5505</v>
      </c>
      <c r="D1056" s="638" t="s">
        <v>6379</v>
      </c>
      <c r="E1056" s="638" t="s">
        <v>5389</v>
      </c>
      <c r="F1056" s="638" t="s">
        <v>7066</v>
      </c>
      <c r="G1056" s="639">
        <v>300</v>
      </c>
      <c r="H1056" s="640"/>
      <c r="I1056" s="641"/>
      <c r="J1056" s="642"/>
      <c r="K1056" s="643" t="s">
        <v>7067</v>
      </c>
      <c r="L1056" s="641" t="s">
        <v>7068</v>
      </c>
    </row>
    <row r="1057" spans="1:12" s="598" customFormat="1">
      <c r="A1057" s="607">
        <v>1049</v>
      </c>
      <c r="B1057" s="609" t="s">
        <v>5366</v>
      </c>
      <c r="C1057" s="638" t="s">
        <v>7069</v>
      </c>
      <c r="D1057" s="638" t="s">
        <v>5516</v>
      </c>
      <c r="E1057" s="638" t="s">
        <v>5385</v>
      </c>
      <c r="F1057" s="638" t="s">
        <v>7070</v>
      </c>
      <c r="G1057" s="801">
        <v>6720</v>
      </c>
      <c r="H1057" s="640"/>
      <c r="I1057" s="641"/>
      <c r="J1057" s="642"/>
      <c r="K1057" s="798">
        <v>445409932</v>
      </c>
      <c r="L1057" s="798" t="s">
        <v>7071</v>
      </c>
    </row>
    <row r="1058" spans="1:12" s="598" customFormat="1">
      <c r="A1058" s="607">
        <v>1050</v>
      </c>
      <c r="B1058" s="609" t="s">
        <v>5366</v>
      </c>
      <c r="C1058" s="638" t="s">
        <v>7072</v>
      </c>
      <c r="D1058" s="638" t="s">
        <v>5732</v>
      </c>
      <c r="E1058" s="638" t="s">
        <v>5487</v>
      </c>
      <c r="F1058" s="638" t="s">
        <v>7073</v>
      </c>
      <c r="G1058" s="802"/>
      <c r="H1058" s="640"/>
      <c r="I1058" s="641"/>
      <c r="J1058" s="642"/>
      <c r="K1058" s="799"/>
      <c r="L1058" s="799"/>
    </row>
    <row r="1059" spans="1:12" s="598" customFormat="1">
      <c r="A1059" s="607">
        <v>1051</v>
      </c>
      <c r="B1059" s="609" t="s">
        <v>5366</v>
      </c>
      <c r="C1059" s="638" t="s">
        <v>7072</v>
      </c>
      <c r="D1059" s="638" t="s">
        <v>7074</v>
      </c>
      <c r="E1059" s="638" t="s">
        <v>5418</v>
      </c>
      <c r="F1059" s="638" t="s">
        <v>7075</v>
      </c>
      <c r="G1059" s="802"/>
      <c r="H1059" s="640"/>
      <c r="I1059" s="641"/>
      <c r="J1059" s="642"/>
      <c r="K1059" s="799"/>
      <c r="L1059" s="799"/>
    </row>
    <row r="1060" spans="1:12" s="598" customFormat="1">
      <c r="A1060" s="607">
        <v>1052</v>
      </c>
      <c r="B1060" s="609" t="s">
        <v>5366</v>
      </c>
      <c r="C1060" s="638" t="s">
        <v>7072</v>
      </c>
      <c r="D1060" s="638" t="s">
        <v>5732</v>
      </c>
      <c r="E1060" s="638" t="s">
        <v>5529</v>
      </c>
      <c r="F1060" s="638" t="s">
        <v>7076</v>
      </c>
      <c r="G1060" s="802"/>
      <c r="H1060" s="640"/>
      <c r="I1060" s="641"/>
      <c r="J1060" s="642"/>
      <c r="K1060" s="799"/>
      <c r="L1060" s="799"/>
    </row>
    <row r="1061" spans="1:12" s="598" customFormat="1">
      <c r="A1061" s="607">
        <v>1053</v>
      </c>
      <c r="B1061" s="609" t="s">
        <v>5366</v>
      </c>
      <c r="C1061" s="638" t="s">
        <v>7072</v>
      </c>
      <c r="D1061" s="638" t="s">
        <v>7077</v>
      </c>
      <c r="E1061" s="638" t="s">
        <v>5487</v>
      </c>
      <c r="F1061" s="638" t="s">
        <v>7078</v>
      </c>
      <c r="G1061" s="802"/>
      <c r="H1061" s="640"/>
      <c r="I1061" s="641"/>
      <c r="J1061" s="642"/>
      <c r="K1061" s="799"/>
      <c r="L1061" s="799"/>
    </row>
    <row r="1062" spans="1:12" s="598" customFormat="1">
      <c r="A1062" s="607">
        <v>1054</v>
      </c>
      <c r="B1062" s="609" t="s">
        <v>5366</v>
      </c>
      <c r="C1062" s="638" t="s">
        <v>7069</v>
      </c>
      <c r="D1062" s="638" t="s">
        <v>7079</v>
      </c>
      <c r="E1062" s="638" t="s">
        <v>5517</v>
      </c>
      <c r="F1062" s="638" t="s">
        <v>7080</v>
      </c>
      <c r="G1062" s="802"/>
      <c r="H1062" s="640"/>
      <c r="I1062" s="641"/>
      <c r="J1062" s="642"/>
      <c r="K1062" s="799"/>
      <c r="L1062" s="799"/>
    </row>
    <row r="1063" spans="1:12" s="598" customFormat="1">
      <c r="A1063" s="607">
        <v>1055</v>
      </c>
      <c r="B1063" s="609" t="s">
        <v>5366</v>
      </c>
      <c r="C1063" s="638" t="s">
        <v>7069</v>
      </c>
      <c r="D1063" s="638" t="s">
        <v>5410</v>
      </c>
      <c r="E1063" s="638" t="s">
        <v>5517</v>
      </c>
      <c r="F1063" s="638" t="s">
        <v>7081</v>
      </c>
      <c r="G1063" s="802"/>
      <c r="H1063" s="640"/>
      <c r="I1063" s="641"/>
      <c r="J1063" s="642"/>
      <c r="K1063" s="799"/>
      <c r="L1063" s="799"/>
    </row>
    <row r="1064" spans="1:12" s="598" customFormat="1">
      <c r="A1064" s="607">
        <v>1056</v>
      </c>
      <c r="B1064" s="609" t="s">
        <v>5366</v>
      </c>
      <c r="C1064" s="638" t="s">
        <v>7072</v>
      </c>
      <c r="D1064" s="638" t="s">
        <v>7082</v>
      </c>
      <c r="E1064" s="638" t="s">
        <v>5418</v>
      </c>
      <c r="F1064" s="638" t="s">
        <v>7083</v>
      </c>
      <c r="G1064" s="802"/>
      <c r="H1064" s="640"/>
      <c r="I1064" s="641"/>
      <c r="J1064" s="642"/>
      <c r="K1064" s="799"/>
      <c r="L1064" s="799"/>
    </row>
    <row r="1065" spans="1:12" s="598" customFormat="1">
      <c r="A1065" s="607">
        <v>1057</v>
      </c>
      <c r="B1065" s="609" t="s">
        <v>5366</v>
      </c>
      <c r="C1065" s="638" t="s">
        <v>7072</v>
      </c>
      <c r="D1065" s="638" t="s">
        <v>7084</v>
      </c>
      <c r="E1065" s="638" t="s">
        <v>5418</v>
      </c>
      <c r="F1065" s="638" t="s">
        <v>7085</v>
      </c>
      <c r="G1065" s="802"/>
      <c r="H1065" s="640"/>
      <c r="I1065" s="641"/>
      <c r="J1065" s="642"/>
      <c r="K1065" s="799"/>
      <c r="L1065" s="799"/>
    </row>
    <row r="1066" spans="1:12" s="598" customFormat="1">
      <c r="A1066" s="607">
        <v>1058</v>
      </c>
      <c r="B1066" s="609" t="s">
        <v>5366</v>
      </c>
      <c r="C1066" s="638" t="s">
        <v>5436</v>
      </c>
      <c r="D1066" s="638" t="s">
        <v>5437</v>
      </c>
      <c r="E1066" s="638" t="s">
        <v>5517</v>
      </c>
      <c r="F1066" s="638" t="s">
        <v>7086</v>
      </c>
      <c r="G1066" s="802"/>
      <c r="H1066" s="640"/>
      <c r="I1066" s="641"/>
      <c r="J1066" s="642"/>
      <c r="K1066" s="799"/>
      <c r="L1066" s="799"/>
    </row>
    <row r="1067" spans="1:12" s="598" customFormat="1">
      <c r="A1067" s="607">
        <v>1059</v>
      </c>
      <c r="B1067" s="609" t="s">
        <v>5366</v>
      </c>
      <c r="C1067" s="638" t="s">
        <v>7072</v>
      </c>
      <c r="D1067" s="638" t="s">
        <v>5732</v>
      </c>
      <c r="E1067" s="638" t="s">
        <v>5507</v>
      </c>
      <c r="F1067" s="638" t="s">
        <v>7087</v>
      </c>
      <c r="G1067" s="802"/>
      <c r="H1067" s="640"/>
      <c r="I1067" s="641"/>
      <c r="J1067" s="642"/>
      <c r="K1067" s="799"/>
      <c r="L1067" s="799"/>
    </row>
    <row r="1068" spans="1:12" s="598" customFormat="1">
      <c r="A1068" s="607">
        <v>1060</v>
      </c>
      <c r="B1068" s="609" t="s">
        <v>5366</v>
      </c>
      <c r="C1068" s="638" t="s">
        <v>7072</v>
      </c>
      <c r="D1068" s="638" t="s">
        <v>7088</v>
      </c>
      <c r="E1068" s="638" t="s">
        <v>5418</v>
      </c>
      <c r="F1068" s="638" t="s">
        <v>7087</v>
      </c>
      <c r="G1068" s="802"/>
      <c r="H1068" s="640"/>
      <c r="I1068" s="641"/>
      <c r="J1068" s="642"/>
      <c r="K1068" s="799"/>
      <c r="L1068" s="799"/>
    </row>
    <row r="1069" spans="1:12" s="598" customFormat="1">
      <c r="A1069" s="607">
        <v>1061</v>
      </c>
      <c r="B1069" s="609" t="s">
        <v>5366</v>
      </c>
      <c r="C1069" s="638" t="s">
        <v>7072</v>
      </c>
      <c r="D1069" s="638" t="s">
        <v>7089</v>
      </c>
      <c r="E1069" s="638" t="s">
        <v>5418</v>
      </c>
      <c r="F1069" s="638" t="s">
        <v>7090</v>
      </c>
      <c r="G1069" s="802"/>
      <c r="H1069" s="640"/>
      <c r="I1069" s="641"/>
      <c r="J1069" s="642"/>
      <c r="K1069" s="799"/>
      <c r="L1069" s="799"/>
    </row>
    <row r="1070" spans="1:12" s="598" customFormat="1">
      <c r="A1070" s="607">
        <v>1062</v>
      </c>
      <c r="B1070" s="609" t="s">
        <v>5366</v>
      </c>
      <c r="C1070" s="638" t="s">
        <v>7072</v>
      </c>
      <c r="D1070" s="638" t="s">
        <v>7089</v>
      </c>
      <c r="E1070" s="638" t="s">
        <v>5418</v>
      </c>
      <c r="F1070" s="638" t="s">
        <v>7091</v>
      </c>
      <c r="G1070" s="802"/>
      <c r="H1070" s="640"/>
      <c r="I1070" s="641"/>
      <c r="J1070" s="642"/>
      <c r="K1070" s="799"/>
      <c r="L1070" s="799"/>
    </row>
    <row r="1071" spans="1:12" s="598" customFormat="1">
      <c r="A1071" s="607">
        <v>1063</v>
      </c>
      <c r="B1071" s="609" t="s">
        <v>5366</v>
      </c>
      <c r="C1071" s="638" t="s">
        <v>7072</v>
      </c>
      <c r="D1071" s="638" t="s">
        <v>7089</v>
      </c>
      <c r="E1071" s="638" t="s">
        <v>5392</v>
      </c>
      <c r="F1071" s="638" t="s">
        <v>7092</v>
      </c>
      <c r="G1071" s="802"/>
      <c r="H1071" s="640"/>
      <c r="I1071" s="641"/>
      <c r="J1071" s="642"/>
      <c r="K1071" s="799"/>
      <c r="L1071" s="799"/>
    </row>
    <row r="1072" spans="1:12" s="598" customFormat="1">
      <c r="A1072" s="607">
        <v>1064</v>
      </c>
      <c r="B1072" s="609" t="s">
        <v>5366</v>
      </c>
      <c r="C1072" s="638" t="s">
        <v>7072</v>
      </c>
      <c r="D1072" s="638" t="s">
        <v>7088</v>
      </c>
      <c r="E1072" s="638" t="s">
        <v>5581</v>
      </c>
      <c r="F1072" s="638" t="s">
        <v>7093</v>
      </c>
      <c r="G1072" s="802"/>
      <c r="H1072" s="640"/>
      <c r="I1072" s="641"/>
      <c r="J1072" s="642"/>
      <c r="K1072" s="799"/>
      <c r="L1072" s="799"/>
    </row>
    <row r="1073" spans="1:12" s="598" customFormat="1">
      <c r="A1073" s="607">
        <v>1065</v>
      </c>
      <c r="B1073" s="609" t="s">
        <v>5366</v>
      </c>
      <c r="C1073" s="638" t="s">
        <v>7072</v>
      </c>
      <c r="D1073" s="638" t="s">
        <v>5732</v>
      </c>
      <c r="E1073" s="638" t="s">
        <v>5487</v>
      </c>
      <c r="F1073" s="638" t="s">
        <v>7094</v>
      </c>
      <c r="G1073" s="802"/>
      <c r="H1073" s="640"/>
      <c r="I1073" s="641"/>
      <c r="J1073" s="642"/>
      <c r="K1073" s="799"/>
      <c r="L1073" s="799"/>
    </row>
    <row r="1074" spans="1:12" s="598" customFormat="1">
      <c r="A1074" s="607">
        <v>1066</v>
      </c>
      <c r="B1074" s="609" t="s">
        <v>5366</v>
      </c>
      <c r="C1074" s="638" t="s">
        <v>7072</v>
      </c>
      <c r="D1074" s="638" t="s">
        <v>7095</v>
      </c>
      <c r="E1074" s="638" t="s">
        <v>5507</v>
      </c>
      <c r="F1074" s="638" t="s">
        <v>7096</v>
      </c>
      <c r="G1074" s="802"/>
      <c r="H1074" s="640"/>
      <c r="I1074" s="641"/>
      <c r="J1074" s="642"/>
      <c r="K1074" s="799"/>
      <c r="L1074" s="799"/>
    </row>
    <row r="1075" spans="1:12" s="598" customFormat="1">
      <c r="A1075" s="607">
        <v>1067</v>
      </c>
      <c r="B1075" s="609" t="s">
        <v>5366</v>
      </c>
      <c r="C1075" s="638" t="s">
        <v>7072</v>
      </c>
      <c r="D1075" s="638" t="s">
        <v>7097</v>
      </c>
      <c r="E1075" s="638" t="s">
        <v>5507</v>
      </c>
      <c r="F1075" s="638" t="s">
        <v>7098</v>
      </c>
      <c r="G1075" s="802"/>
      <c r="H1075" s="640"/>
      <c r="I1075" s="641"/>
      <c r="J1075" s="642"/>
      <c r="K1075" s="799"/>
      <c r="L1075" s="799"/>
    </row>
    <row r="1076" spans="1:12" s="598" customFormat="1">
      <c r="A1076" s="607">
        <v>1068</v>
      </c>
      <c r="B1076" s="609" t="s">
        <v>5366</v>
      </c>
      <c r="C1076" s="638" t="s">
        <v>7072</v>
      </c>
      <c r="D1076" s="638" t="s">
        <v>5732</v>
      </c>
      <c r="E1076" s="638" t="s">
        <v>5581</v>
      </c>
      <c r="F1076" s="638" t="s">
        <v>7099</v>
      </c>
      <c r="G1076" s="802"/>
      <c r="H1076" s="640"/>
      <c r="I1076" s="641"/>
      <c r="J1076" s="642"/>
      <c r="K1076" s="799"/>
      <c r="L1076" s="799"/>
    </row>
    <row r="1077" spans="1:12" s="598" customFormat="1">
      <c r="A1077" s="607">
        <v>1069</v>
      </c>
      <c r="B1077" s="609" t="s">
        <v>5366</v>
      </c>
      <c r="C1077" s="638" t="s">
        <v>5436</v>
      </c>
      <c r="D1077" s="638" t="s">
        <v>5437</v>
      </c>
      <c r="E1077" s="638" t="s">
        <v>5385</v>
      </c>
      <c r="F1077" s="638" t="s">
        <v>7100</v>
      </c>
      <c r="G1077" s="802"/>
      <c r="H1077" s="640"/>
      <c r="I1077" s="641"/>
      <c r="J1077" s="642"/>
      <c r="K1077" s="799"/>
      <c r="L1077" s="799"/>
    </row>
    <row r="1078" spans="1:12" s="598" customFormat="1">
      <c r="A1078" s="607">
        <v>1070</v>
      </c>
      <c r="B1078" s="609" t="s">
        <v>5366</v>
      </c>
      <c r="C1078" s="638" t="s">
        <v>7072</v>
      </c>
      <c r="D1078" s="638" t="s">
        <v>5732</v>
      </c>
      <c r="E1078" s="638" t="s">
        <v>5426</v>
      </c>
      <c r="F1078" s="638" t="s">
        <v>7101</v>
      </c>
      <c r="G1078" s="802"/>
      <c r="H1078" s="640"/>
      <c r="I1078" s="641"/>
      <c r="J1078" s="642"/>
      <c r="K1078" s="799"/>
      <c r="L1078" s="799"/>
    </row>
    <row r="1079" spans="1:12" s="598" customFormat="1">
      <c r="A1079" s="607">
        <v>1071</v>
      </c>
      <c r="B1079" s="609" t="s">
        <v>5366</v>
      </c>
      <c r="C1079" s="638" t="s">
        <v>7072</v>
      </c>
      <c r="D1079" s="638" t="s">
        <v>5732</v>
      </c>
      <c r="E1079" s="638" t="s">
        <v>5426</v>
      </c>
      <c r="F1079" s="638" t="s">
        <v>7102</v>
      </c>
      <c r="G1079" s="802"/>
      <c r="H1079" s="640"/>
      <c r="I1079" s="641"/>
      <c r="J1079" s="642"/>
      <c r="K1079" s="799"/>
      <c r="L1079" s="799"/>
    </row>
    <row r="1080" spans="1:12" s="598" customFormat="1">
      <c r="A1080" s="607">
        <v>1072</v>
      </c>
      <c r="B1080" s="609" t="s">
        <v>5366</v>
      </c>
      <c r="C1080" s="638" t="s">
        <v>7072</v>
      </c>
      <c r="D1080" s="638" t="s">
        <v>5732</v>
      </c>
      <c r="E1080" s="638" t="s">
        <v>5517</v>
      </c>
      <c r="F1080" s="638" t="s">
        <v>7103</v>
      </c>
      <c r="G1080" s="802"/>
      <c r="H1080" s="640"/>
      <c r="I1080" s="641"/>
      <c r="J1080" s="642"/>
      <c r="K1080" s="799"/>
      <c r="L1080" s="799"/>
    </row>
    <row r="1081" spans="1:12" s="598" customFormat="1">
      <c r="A1081" s="607">
        <v>1073</v>
      </c>
      <c r="B1081" s="609" t="s">
        <v>5366</v>
      </c>
      <c r="C1081" s="638" t="s">
        <v>7072</v>
      </c>
      <c r="D1081" s="638" t="s">
        <v>7104</v>
      </c>
      <c r="E1081" s="638" t="s">
        <v>5517</v>
      </c>
      <c r="F1081" s="638" t="s">
        <v>7105</v>
      </c>
      <c r="G1081" s="802"/>
      <c r="H1081" s="640"/>
      <c r="I1081" s="641"/>
      <c r="J1081" s="642"/>
      <c r="K1081" s="799"/>
      <c r="L1081" s="799"/>
    </row>
    <row r="1082" spans="1:12" s="598" customFormat="1">
      <c r="A1082" s="607">
        <v>1074</v>
      </c>
      <c r="B1082" s="609" t="s">
        <v>5366</v>
      </c>
      <c r="C1082" s="638" t="s">
        <v>7069</v>
      </c>
      <c r="D1082" s="638" t="s">
        <v>7106</v>
      </c>
      <c r="E1082" s="638" t="s">
        <v>5418</v>
      </c>
      <c r="F1082" s="638" t="s">
        <v>7107</v>
      </c>
      <c r="G1082" s="802"/>
      <c r="H1082" s="640"/>
      <c r="I1082" s="641"/>
      <c r="J1082" s="642"/>
      <c r="K1082" s="799"/>
      <c r="L1082" s="799"/>
    </row>
    <row r="1083" spans="1:12" s="598" customFormat="1">
      <c r="A1083" s="607">
        <v>1075</v>
      </c>
      <c r="B1083" s="609" t="s">
        <v>5366</v>
      </c>
      <c r="C1083" s="638" t="s">
        <v>7069</v>
      </c>
      <c r="D1083" s="638" t="s">
        <v>7106</v>
      </c>
      <c r="E1083" s="638" t="s">
        <v>5385</v>
      </c>
      <c r="F1083" s="638" t="s">
        <v>7108</v>
      </c>
      <c r="G1083" s="802"/>
      <c r="H1083" s="640"/>
      <c r="I1083" s="641"/>
      <c r="J1083" s="642"/>
      <c r="K1083" s="799"/>
      <c r="L1083" s="799"/>
    </row>
    <row r="1084" spans="1:12" s="598" customFormat="1">
      <c r="A1084" s="607">
        <v>1076</v>
      </c>
      <c r="B1084" s="609" t="s">
        <v>5366</v>
      </c>
      <c r="C1084" s="638" t="s">
        <v>7109</v>
      </c>
      <c r="D1084" s="638" t="s">
        <v>7110</v>
      </c>
      <c r="E1084" s="638" t="s">
        <v>5411</v>
      </c>
      <c r="F1084" s="638" t="s">
        <v>7111</v>
      </c>
      <c r="G1084" s="802"/>
      <c r="H1084" s="640"/>
      <c r="I1084" s="641"/>
      <c r="J1084" s="642"/>
      <c r="K1084" s="799"/>
      <c r="L1084" s="799"/>
    </row>
    <row r="1085" spans="1:12" s="598" customFormat="1">
      <c r="A1085" s="607">
        <v>1077</v>
      </c>
      <c r="B1085" s="609" t="s">
        <v>5366</v>
      </c>
      <c r="C1085" s="638" t="s">
        <v>7069</v>
      </c>
      <c r="D1085" s="638" t="s">
        <v>5742</v>
      </c>
      <c r="E1085" s="638" t="s">
        <v>5385</v>
      </c>
      <c r="F1085" s="638" t="s">
        <v>7112</v>
      </c>
      <c r="G1085" s="802"/>
      <c r="H1085" s="640"/>
      <c r="I1085" s="641"/>
      <c r="J1085" s="642"/>
      <c r="K1085" s="799"/>
      <c r="L1085" s="799"/>
    </row>
    <row r="1086" spans="1:12" s="598" customFormat="1">
      <c r="A1086" s="607">
        <v>1078</v>
      </c>
      <c r="B1086" s="609" t="s">
        <v>5366</v>
      </c>
      <c r="C1086" s="638" t="s">
        <v>7069</v>
      </c>
      <c r="D1086" s="638" t="s">
        <v>7113</v>
      </c>
      <c r="E1086" s="638" t="s">
        <v>5426</v>
      </c>
      <c r="F1086" s="638" t="s">
        <v>7114</v>
      </c>
      <c r="G1086" s="802"/>
      <c r="H1086" s="640"/>
      <c r="I1086" s="641"/>
      <c r="J1086" s="642"/>
      <c r="K1086" s="799"/>
      <c r="L1086" s="799"/>
    </row>
    <row r="1087" spans="1:12" s="598" customFormat="1">
      <c r="A1087" s="607">
        <v>1079</v>
      </c>
      <c r="B1087" s="609" t="s">
        <v>5366</v>
      </c>
      <c r="C1087" s="638" t="s">
        <v>7115</v>
      </c>
      <c r="D1087" s="638" t="s">
        <v>7116</v>
      </c>
      <c r="E1087" s="638" t="s">
        <v>5599</v>
      </c>
      <c r="F1087" s="638" t="s">
        <v>7117</v>
      </c>
      <c r="G1087" s="802"/>
      <c r="H1087" s="640"/>
      <c r="I1087" s="641"/>
      <c r="J1087" s="642"/>
      <c r="K1087" s="799"/>
      <c r="L1087" s="799"/>
    </row>
    <row r="1088" spans="1:12" s="598" customFormat="1">
      <c r="A1088" s="607">
        <v>1080</v>
      </c>
      <c r="B1088" s="609" t="s">
        <v>5366</v>
      </c>
      <c r="C1088" s="638" t="s">
        <v>7069</v>
      </c>
      <c r="D1088" s="638" t="s">
        <v>7118</v>
      </c>
      <c r="E1088" s="638" t="s">
        <v>5385</v>
      </c>
      <c r="F1088" s="638" t="s">
        <v>7119</v>
      </c>
      <c r="G1088" s="802"/>
      <c r="H1088" s="640"/>
      <c r="I1088" s="641"/>
      <c r="J1088" s="642"/>
      <c r="K1088" s="799"/>
      <c r="L1088" s="799"/>
    </row>
    <row r="1089" spans="1:12" s="598" customFormat="1">
      <c r="A1089" s="607">
        <v>1081</v>
      </c>
      <c r="B1089" s="609" t="s">
        <v>5366</v>
      </c>
      <c r="C1089" s="638" t="s">
        <v>7072</v>
      </c>
      <c r="D1089" s="638" t="s">
        <v>7084</v>
      </c>
      <c r="E1089" s="638" t="s">
        <v>5507</v>
      </c>
      <c r="F1089" s="638" t="s">
        <v>7120</v>
      </c>
      <c r="G1089" s="802"/>
      <c r="H1089" s="640"/>
      <c r="I1089" s="641"/>
      <c r="J1089" s="642"/>
      <c r="K1089" s="799"/>
      <c r="L1089" s="799"/>
    </row>
    <row r="1090" spans="1:12" s="598" customFormat="1">
      <c r="A1090" s="607">
        <v>1082</v>
      </c>
      <c r="B1090" s="609" t="s">
        <v>5366</v>
      </c>
      <c r="C1090" s="638" t="s">
        <v>7072</v>
      </c>
      <c r="D1090" s="638" t="s">
        <v>7121</v>
      </c>
      <c r="E1090" s="638" t="s">
        <v>5392</v>
      </c>
      <c r="F1090" s="638" t="s">
        <v>7122</v>
      </c>
      <c r="G1090" s="802"/>
      <c r="H1090" s="640"/>
      <c r="I1090" s="641"/>
      <c r="J1090" s="642"/>
      <c r="K1090" s="799"/>
      <c r="L1090" s="799"/>
    </row>
    <row r="1091" spans="1:12" s="598" customFormat="1">
      <c r="A1091" s="607">
        <v>1083</v>
      </c>
      <c r="B1091" s="609" t="s">
        <v>5366</v>
      </c>
      <c r="C1091" s="638" t="s">
        <v>7069</v>
      </c>
      <c r="D1091" s="638" t="s">
        <v>5452</v>
      </c>
      <c r="E1091" s="638" t="s">
        <v>5389</v>
      </c>
      <c r="F1091" s="638" t="s">
        <v>7123</v>
      </c>
      <c r="G1091" s="802"/>
      <c r="H1091" s="640"/>
      <c r="I1091" s="641"/>
      <c r="J1091" s="642"/>
      <c r="K1091" s="799"/>
      <c r="L1091" s="799"/>
    </row>
    <row r="1092" spans="1:12" s="598" customFormat="1">
      <c r="A1092" s="607">
        <v>1084</v>
      </c>
      <c r="B1092" s="609" t="s">
        <v>5366</v>
      </c>
      <c r="C1092" s="638" t="s">
        <v>7069</v>
      </c>
      <c r="D1092" s="638" t="s">
        <v>7113</v>
      </c>
      <c r="E1092" s="638" t="s">
        <v>5426</v>
      </c>
      <c r="F1092" s="638" t="s">
        <v>7124</v>
      </c>
      <c r="G1092" s="802"/>
      <c r="H1092" s="640"/>
      <c r="I1092" s="641"/>
      <c r="J1092" s="642"/>
      <c r="K1092" s="799"/>
      <c r="L1092" s="799"/>
    </row>
    <row r="1093" spans="1:12" s="598" customFormat="1">
      <c r="A1093" s="607">
        <v>1085</v>
      </c>
      <c r="B1093" s="609" t="s">
        <v>5366</v>
      </c>
      <c r="C1093" s="638" t="s">
        <v>7072</v>
      </c>
      <c r="D1093" s="638" t="s">
        <v>7088</v>
      </c>
      <c r="E1093" s="638" t="s">
        <v>5385</v>
      </c>
      <c r="F1093" s="638" t="s">
        <v>7125</v>
      </c>
      <c r="G1093" s="802"/>
      <c r="H1093" s="640"/>
      <c r="I1093" s="641"/>
      <c r="J1093" s="642"/>
      <c r="K1093" s="799"/>
      <c r="L1093" s="799"/>
    </row>
    <row r="1094" spans="1:12" s="598" customFormat="1">
      <c r="A1094" s="607">
        <v>1086</v>
      </c>
      <c r="B1094" s="609" t="s">
        <v>5366</v>
      </c>
      <c r="C1094" s="638" t="s">
        <v>7072</v>
      </c>
      <c r="D1094" s="638" t="s">
        <v>7121</v>
      </c>
      <c r="E1094" s="638" t="s">
        <v>5389</v>
      </c>
      <c r="F1094" s="638" t="s">
        <v>7126</v>
      </c>
      <c r="G1094" s="802"/>
      <c r="H1094" s="640"/>
      <c r="I1094" s="641"/>
      <c r="J1094" s="642"/>
      <c r="K1094" s="799"/>
      <c r="L1094" s="799"/>
    </row>
    <row r="1095" spans="1:12" s="598" customFormat="1">
      <c r="A1095" s="607">
        <v>1087</v>
      </c>
      <c r="B1095" s="609" t="s">
        <v>5366</v>
      </c>
      <c r="C1095" s="638" t="s">
        <v>7072</v>
      </c>
      <c r="D1095" s="638" t="s">
        <v>7074</v>
      </c>
      <c r="E1095" s="638" t="s">
        <v>5389</v>
      </c>
      <c r="F1095" s="638" t="s">
        <v>7127</v>
      </c>
      <c r="G1095" s="802"/>
      <c r="H1095" s="640"/>
      <c r="I1095" s="641"/>
      <c r="J1095" s="642"/>
      <c r="K1095" s="799"/>
      <c r="L1095" s="799"/>
    </row>
    <row r="1096" spans="1:12" s="598" customFormat="1">
      <c r="A1096" s="607">
        <v>1088</v>
      </c>
      <c r="B1096" s="609" t="s">
        <v>5366</v>
      </c>
      <c r="C1096" s="638" t="s">
        <v>7069</v>
      </c>
      <c r="D1096" s="638" t="s">
        <v>6060</v>
      </c>
      <c r="E1096" s="638" t="s">
        <v>5397</v>
      </c>
      <c r="F1096" s="638" t="s">
        <v>7128</v>
      </c>
      <c r="G1096" s="802"/>
      <c r="H1096" s="640"/>
      <c r="I1096" s="641"/>
      <c r="J1096" s="642"/>
      <c r="K1096" s="799"/>
      <c r="L1096" s="799"/>
    </row>
    <row r="1097" spans="1:12" s="598" customFormat="1">
      <c r="A1097" s="607">
        <v>1089</v>
      </c>
      <c r="B1097" s="609" t="s">
        <v>5366</v>
      </c>
      <c r="C1097" s="638" t="s">
        <v>7069</v>
      </c>
      <c r="D1097" s="638" t="s">
        <v>7129</v>
      </c>
      <c r="E1097" s="638" t="s">
        <v>5507</v>
      </c>
      <c r="F1097" s="638" t="s">
        <v>7130</v>
      </c>
      <c r="G1097" s="802"/>
      <c r="H1097" s="640"/>
      <c r="I1097" s="641"/>
      <c r="J1097" s="642"/>
      <c r="K1097" s="799"/>
      <c r="L1097" s="799"/>
    </row>
    <row r="1098" spans="1:12" s="598" customFormat="1">
      <c r="A1098" s="607">
        <v>1090</v>
      </c>
      <c r="B1098" s="609" t="s">
        <v>5366</v>
      </c>
      <c r="C1098" s="638" t="s">
        <v>7069</v>
      </c>
      <c r="D1098" s="638" t="s">
        <v>7129</v>
      </c>
      <c r="E1098" s="638" t="s">
        <v>5507</v>
      </c>
      <c r="F1098" s="638" t="s">
        <v>7131</v>
      </c>
      <c r="G1098" s="802"/>
      <c r="H1098" s="640"/>
      <c r="I1098" s="641"/>
      <c r="J1098" s="642"/>
      <c r="K1098" s="799"/>
      <c r="L1098" s="799"/>
    </row>
    <row r="1099" spans="1:12" s="598" customFormat="1">
      <c r="A1099" s="607">
        <v>1091</v>
      </c>
      <c r="B1099" s="609" t="s">
        <v>5366</v>
      </c>
      <c r="C1099" s="638" t="s">
        <v>7072</v>
      </c>
      <c r="D1099" s="638" t="s">
        <v>7088</v>
      </c>
      <c r="E1099" s="638" t="s">
        <v>5507</v>
      </c>
      <c r="F1099" s="638" t="s">
        <v>7132</v>
      </c>
      <c r="G1099" s="802"/>
      <c r="H1099" s="640"/>
      <c r="I1099" s="641"/>
      <c r="J1099" s="642"/>
      <c r="K1099" s="799"/>
      <c r="L1099" s="799"/>
    </row>
    <row r="1100" spans="1:12" s="598" customFormat="1">
      <c r="A1100" s="607">
        <v>1092</v>
      </c>
      <c r="B1100" s="609" t="s">
        <v>5366</v>
      </c>
      <c r="C1100" s="638" t="s">
        <v>7069</v>
      </c>
      <c r="D1100" s="638" t="s">
        <v>7133</v>
      </c>
      <c r="E1100" s="638" t="s">
        <v>5385</v>
      </c>
      <c r="F1100" s="638" t="s">
        <v>7134</v>
      </c>
      <c r="G1100" s="802"/>
      <c r="H1100" s="640"/>
      <c r="I1100" s="641"/>
      <c r="J1100" s="642"/>
      <c r="K1100" s="799"/>
      <c r="L1100" s="799"/>
    </row>
    <row r="1101" spans="1:12" s="598" customFormat="1">
      <c r="A1101" s="607">
        <v>1093</v>
      </c>
      <c r="B1101" s="609" t="s">
        <v>5366</v>
      </c>
      <c r="C1101" s="638" t="s">
        <v>7069</v>
      </c>
      <c r="D1101" s="638" t="s">
        <v>7135</v>
      </c>
      <c r="E1101" s="638" t="s">
        <v>5507</v>
      </c>
      <c r="F1101" s="638" t="s">
        <v>7136</v>
      </c>
      <c r="G1101" s="802"/>
      <c r="H1101" s="640"/>
      <c r="I1101" s="641"/>
      <c r="J1101" s="642"/>
      <c r="K1101" s="799"/>
      <c r="L1101" s="799"/>
    </row>
    <row r="1102" spans="1:12" s="598" customFormat="1">
      <c r="A1102" s="607">
        <v>1094</v>
      </c>
      <c r="B1102" s="609" t="s">
        <v>5366</v>
      </c>
      <c r="C1102" s="638" t="s">
        <v>7072</v>
      </c>
      <c r="D1102" s="638" t="s">
        <v>5732</v>
      </c>
      <c r="E1102" s="638" t="s">
        <v>5385</v>
      </c>
      <c r="F1102" s="638" t="s">
        <v>7137</v>
      </c>
      <c r="G1102" s="802"/>
      <c r="H1102" s="640"/>
      <c r="I1102" s="641"/>
      <c r="J1102" s="642"/>
      <c r="K1102" s="799"/>
      <c r="L1102" s="799"/>
    </row>
    <row r="1103" spans="1:12" s="598" customFormat="1">
      <c r="A1103" s="607">
        <v>1095</v>
      </c>
      <c r="B1103" s="609" t="s">
        <v>5366</v>
      </c>
      <c r="C1103" s="638" t="s">
        <v>7072</v>
      </c>
      <c r="D1103" s="638" t="s">
        <v>7077</v>
      </c>
      <c r="E1103" s="638" t="s">
        <v>5389</v>
      </c>
      <c r="F1103" s="638" t="s">
        <v>7138</v>
      </c>
      <c r="G1103" s="802"/>
      <c r="H1103" s="640"/>
      <c r="I1103" s="641"/>
      <c r="J1103" s="642"/>
      <c r="K1103" s="799"/>
      <c r="L1103" s="799"/>
    </row>
    <row r="1104" spans="1:12" s="598" customFormat="1">
      <c r="A1104" s="607">
        <v>1096</v>
      </c>
      <c r="B1104" s="609" t="s">
        <v>5366</v>
      </c>
      <c r="C1104" s="638" t="s">
        <v>7072</v>
      </c>
      <c r="D1104" s="638" t="s">
        <v>5732</v>
      </c>
      <c r="E1104" s="638" t="s">
        <v>5392</v>
      </c>
      <c r="F1104" s="638" t="s">
        <v>7139</v>
      </c>
      <c r="G1104" s="802"/>
      <c r="H1104" s="640"/>
      <c r="I1104" s="641"/>
      <c r="J1104" s="642"/>
      <c r="K1104" s="799"/>
      <c r="L1104" s="799"/>
    </row>
    <row r="1105" spans="1:12" s="598" customFormat="1">
      <c r="A1105" s="607">
        <v>1097</v>
      </c>
      <c r="B1105" s="609" t="s">
        <v>5366</v>
      </c>
      <c r="C1105" s="638" t="s">
        <v>7069</v>
      </c>
      <c r="D1105" s="638" t="s">
        <v>6060</v>
      </c>
      <c r="E1105" s="638" t="s">
        <v>5397</v>
      </c>
      <c r="F1105" s="638" t="s">
        <v>7140</v>
      </c>
      <c r="G1105" s="802"/>
      <c r="H1105" s="640"/>
      <c r="I1105" s="641"/>
      <c r="J1105" s="642"/>
      <c r="K1105" s="799"/>
      <c r="L1105" s="799"/>
    </row>
    <row r="1106" spans="1:12" s="598" customFormat="1">
      <c r="A1106" s="607">
        <v>1098</v>
      </c>
      <c r="B1106" s="609" t="s">
        <v>5366</v>
      </c>
      <c r="C1106" s="638" t="s">
        <v>7072</v>
      </c>
      <c r="D1106" s="638" t="s">
        <v>5732</v>
      </c>
      <c r="E1106" s="638" t="s">
        <v>5418</v>
      </c>
      <c r="F1106" s="638" t="s">
        <v>7141</v>
      </c>
      <c r="G1106" s="802"/>
      <c r="H1106" s="640"/>
      <c r="I1106" s="641"/>
      <c r="J1106" s="642"/>
      <c r="K1106" s="799"/>
      <c r="L1106" s="799"/>
    </row>
    <row r="1107" spans="1:12" s="598" customFormat="1">
      <c r="A1107" s="607">
        <v>1099</v>
      </c>
      <c r="B1107" s="609" t="s">
        <v>5366</v>
      </c>
      <c r="C1107" s="638" t="s">
        <v>7072</v>
      </c>
      <c r="D1107" s="638" t="s">
        <v>5732</v>
      </c>
      <c r="E1107" s="638">
        <v>2002</v>
      </c>
      <c r="F1107" s="638" t="s">
        <v>7142</v>
      </c>
      <c r="G1107" s="802"/>
      <c r="H1107" s="640"/>
      <c r="I1107" s="641"/>
      <c r="J1107" s="642"/>
      <c r="K1107" s="799"/>
      <c r="L1107" s="799"/>
    </row>
    <row r="1108" spans="1:12" s="598" customFormat="1">
      <c r="A1108" s="607">
        <v>1100</v>
      </c>
      <c r="B1108" s="609" t="s">
        <v>5366</v>
      </c>
      <c r="C1108" s="638" t="s">
        <v>7072</v>
      </c>
      <c r="D1108" s="638" t="s">
        <v>5732</v>
      </c>
      <c r="E1108" s="638">
        <v>1995</v>
      </c>
      <c r="F1108" s="638" t="s">
        <v>7143</v>
      </c>
      <c r="G1108" s="802"/>
      <c r="H1108" s="640"/>
      <c r="I1108" s="641"/>
      <c r="J1108" s="642"/>
      <c r="K1108" s="799"/>
      <c r="L1108" s="799"/>
    </row>
    <row r="1109" spans="1:12" s="598" customFormat="1">
      <c r="A1109" s="607">
        <v>1101</v>
      </c>
      <c r="B1109" s="609" t="s">
        <v>5366</v>
      </c>
      <c r="C1109" s="638" t="s">
        <v>7069</v>
      </c>
      <c r="D1109" s="638" t="s">
        <v>6060</v>
      </c>
      <c r="E1109" s="638">
        <v>2001</v>
      </c>
      <c r="F1109" s="638" t="s">
        <v>7144</v>
      </c>
      <c r="G1109" s="802"/>
      <c r="H1109" s="640"/>
      <c r="I1109" s="641"/>
      <c r="J1109" s="642"/>
      <c r="K1109" s="799"/>
      <c r="L1109" s="799"/>
    </row>
    <row r="1110" spans="1:12" s="598" customFormat="1">
      <c r="A1110" s="607">
        <v>1102</v>
      </c>
      <c r="B1110" s="609" t="s">
        <v>5366</v>
      </c>
      <c r="C1110" s="638" t="s">
        <v>7072</v>
      </c>
      <c r="D1110" s="638" t="s">
        <v>5732</v>
      </c>
      <c r="E1110" s="638">
        <v>1996</v>
      </c>
      <c r="F1110" s="638" t="s">
        <v>7145</v>
      </c>
      <c r="G1110" s="802"/>
      <c r="H1110" s="640"/>
      <c r="I1110" s="641"/>
      <c r="J1110" s="642"/>
      <c r="K1110" s="799"/>
      <c r="L1110" s="799"/>
    </row>
    <row r="1111" spans="1:12" s="598" customFormat="1">
      <c r="A1111" s="607">
        <v>1103</v>
      </c>
      <c r="B1111" s="609" t="s">
        <v>5366</v>
      </c>
      <c r="C1111" s="638" t="s">
        <v>7069</v>
      </c>
      <c r="D1111" s="638" t="s">
        <v>6060</v>
      </c>
      <c r="E1111" s="638">
        <v>1999</v>
      </c>
      <c r="F1111" s="638" t="s">
        <v>7146</v>
      </c>
      <c r="G1111" s="802"/>
      <c r="H1111" s="640"/>
      <c r="I1111" s="641"/>
      <c r="J1111" s="642"/>
      <c r="K1111" s="799"/>
      <c r="L1111" s="799"/>
    </row>
    <row r="1112" spans="1:12" s="598" customFormat="1">
      <c r="A1112" s="607">
        <v>1104</v>
      </c>
      <c r="B1112" s="609" t="s">
        <v>5366</v>
      </c>
      <c r="C1112" s="638" t="s">
        <v>7072</v>
      </c>
      <c r="D1112" s="638" t="s">
        <v>5732</v>
      </c>
      <c r="E1112" s="638">
        <v>1995</v>
      </c>
      <c r="F1112" s="638" t="s">
        <v>7147</v>
      </c>
      <c r="G1112" s="802"/>
      <c r="H1112" s="640"/>
      <c r="I1112" s="641"/>
      <c r="J1112" s="642"/>
      <c r="K1112" s="799"/>
      <c r="L1112" s="799"/>
    </row>
    <row r="1113" spans="1:12" s="598" customFormat="1">
      <c r="A1113" s="607">
        <v>1105</v>
      </c>
      <c r="B1113" s="609" t="s">
        <v>5366</v>
      </c>
      <c r="C1113" s="638" t="s">
        <v>7072</v>
      </c>
      <c r="D1113" s="638" t="s">
        <v>5732</v>
      </c>
      <c r="E1113" s="638">
        <v>2001</v>
      </c>
      <c r="F1113" s="638" t="s">
        <v>7148</v>
      </c>
      <c r="G1113" s="802"/>
      <c r="H1113" s="640"/>
      <c r="I1113" s="641"/>
      <c r="J1113" s="642"/>
      <c r="K1113" s="799"/>
      <c r="L1113" s="799"/>
    </row>
    <row r="1114" spans="1:12" s="598" customFormat="1">
      <c r="A1114" s="607">
        <v>1106</v>
      </c>
      <c r="B1114" s="609" t="s">
        <v>5366</v>
      </c>
      <c r="C1114" s="638" t="s">
        <v>7072</v>
      </c>
      <c r="D1114" s="638" t="s">
        <v>5732</v>
      </c>
      <c r="E1114" s="638">
        <v>1996</v>
      </c>
      <c r="F1114" s="638" t="s">
        <v>7149</v>
      </c>
      <c r="G1114" s="802"/>
      <c r="H1114" s="640"/>
      <c r="I1114" s="641"/>
      <c r="J1114" s="642"/>
      <c r="K1114" s="799"/>
      <c r="L1114" s="799"/>
    </row>
    <row r="1115" spans="1:12" s="598" customFormat="1">
      <c r="A1115" s="607">
        <v>1107</v>
      </c>
      <c r="B1115" s="609" t="s">
        <v>5366</v>
      </c>
      <c r="C1115" s="638" t="s">
        <v>7072</v>
      </c>
      <c r="D1115" s="638" t="s">
        <v>7077</v>
      </c>
      <c r="E1115" s="638">
        <v>1998</v>
      </c>
      <c r="F1115" s="638" t="s">
        <v>7150</v>
      </c>
      <c r="G1115" s="802"/>
      <c r="H1115" s="640"/>
      <c r="I1115" s="641"/>
      <c r="J1115" s="642"/>
      <c r="K1115" s="799"/>
      <c r="L1115" s="799"/>
    </row>
    <row r="1116" spans="1:12" s="598" customFormat="1">
      <c r="A1116" s="607">
        <v>1108</v>
      </c>
      <c r="B1116" s="609" t="s">
        <v>5366</v>
      </c>
      <c r="C1116" s="638" t="s">
        <v>5436</v>
      </c>
      <c r="D1116" s="638" t="s">
        <v>5437</v>
      </c>
      <c r="E1116" s="638">
        <v>2001</v>
      </c>
      <c r="F1116" s="638" t="s">
        <v>7151</v>
      </c>
      <c r="G1116" s="802"/>
      <c r="H1116" s="640"/>
      <c r="I1116" s="641"/>
      <c r="J1116" s="642"/>
      <c r="K1116" s="799"/>
      <c r="L1116" s="799"/>
    </row>
    <row r="1117" spans="1:12" s="598" customFormat="1">
      <c r="A1117" s="607">
        <v>1109</v>
      </c>
      <c r="B1117" s="609" t="s">
        <v>5366</v>
      </c>
      <c r="C1117" s="638" t="s">
        <v>7072</v>
      </c>
      <c r="D1117" s="638" t="s">
        <v>5732</v>
      </c>
      <c r="E1117" s="638">
        <v>1998</v>
      </c>
      <c r="F1117" s="638" t="s">
        <v>7152</v>
      </c>
      <c r="G1117" s="802"/>
      <c r="H1117" s="640"/>
      <c r="I1117" s="641"/>
      <c r="J1117" s="642"/>
      <c r="K1117" s="799"/>
      <c r="L1117" s="799"/>
    </row>
    <row r="1118" spans="1:12" s="598" customFormat="1">
      <c r="A1118" s="607">
        <v>1110</v>
      </c>
      <c r="B1118" s="609" t="s">
        <v>5366</v>
      </c>
      <c r="C1118" s="638" t="s">
        <v>7072</v>
      </c>
      <c r="D1118" s="638" t="s">
        <v>5732</v>
      </c>
      <c r="E1118" s="638">
        <v>1999</v>
      </c>
      <c r="F1118" s="638"/>
      <c r="G1118" s="802"/>
      <c r="H1118" s="640"/>
      <c r="I1118" s="641"/>
      <c r="J1118" s="642"/>
      <c r="K1118" s="799"/>
      <c r="L1118" s="799"/>
    </row>
    <row r="1119" spans="1:12" s="598" customFormat="1">
      <c r="A1119" s="607">
        <v>1111</v>
      </c>
      <c r="B1119" s="609" t="s">
        <v>5366</v>
      </c>
      <c r="C1119" s="638" t="s">
        <v>7072</v>
      </c>
      <c r="D1119" s="638" t="s">
        <v>5732</v>
      </c>
      <c r="E1119" s="638">
        <v>1996</v>
      </c>
      <c r="F1119" s="638" t="s">
        <v>7153</v>
      </c>
      <c r="G1119" s="802"/>
      <c r="H1119" s="640"/>
      <c r="I1119" s="641"/>
      <c r="J1119" s="642"/>
      <c r="K1119" s="799"/>
      <c r="L1119" s="799"/>
    </row>
    <row r="1120" spans="1:12" s="598" customFormat="1">
      <c r="A1120" s="607">
        <v>1112</v>
      </c>
      <c r="B1120" s="609" t="s">
        <v>5366</v>
      </c>
      <c r="C1120" s="638" t="s">
        <v>7072</v>
      </c>
      <c r="D1120" s="638" t="s">
        <v>5732</v>
      </c>
      <c r="E1120" s="638">
        <v>1999</v>
      </c>
      <c r="F1120" s="638" t="s">
        <v>7154</v>
      </c>
      <c r="G1120" s="802"/>
      <c r="H1120" s="640"/>
      <c r="I1120" s="641"/>
      <c r="J1120" s="642"/>
      <c r="K1120" s="799"/>
      <c r="L1120" s="799"/>
    </row>
    <row r="1121" spans="1:12" s="598" customFormat="1">
      <c r="A1121" s="607">
        <v>1113</v>
      </c>
      <c r="B1121" s="609" t="s">
        <v>5366</v>
      </c>
      <c r="C1121" s="638" t="s">
        <v>7069</v>
      </c>
      <c r="D1121" s="638" t="s">
        <v>6060</v>
      </c>
      <c r="E1121" s="638">
        <v>2003</v>
      </c>
      <c r="F1121" s="638" t="s">
        <v>7155</v>
      </c>
      <c r="G1121" s="802"/>
      <c r="H1121" s="640"/>
      <c r="I1121" s="641"/>
      <c r="J1121" s="642"/>
      <c r="K1121" s="799"/>
      <c r="L1121" s="799"/>
    </row>
    <row r="1122" spans="1:12" s="598" customFormat="1">
      <c r="A1122" s="607">
        <v>1114</v>
      </c>
      <c r="B1122" s="609" t="s">
        <v>5366</v>
      </c>
      <c r="C1122" s="638" t="s">
        <v>7069</v>
      </c>
      <c r="D1122" s="638" t="s">
        <v>7156</v>
      </c>
      <c r="E1122" s="638">
        <v>2001</v>
      </c>
      <c r="F1122" s="638" t="s">
        <v>7157</v>
      </c>
      <c r="G1122" s="802"/>
      <c r="H1122" s="640"/>
      <c r="I1122" s="641"/>
      <c r="J1122" s="642"/>
      <c r="K1122" s="799"/>
      <c r="L1122" s="799"/>
    </row>
    <row r="1123" spans="1:12" s="598" customFormat="1">
      <c r="A1123" s="607">
        <v>1115</v>
      </c>
      <c r="B1123" s="609" t="s">
        <v>5366</v>
      </c>
      <c r="C1123" s="638" t="s">
        <v>7158</v>
      </c>
      <c r="D1123" s="638" t="s">
        <v>7159</v>
      </c>
      <c r="E1123" s="638">
        <v>2002</v>
      </c>
      <c r="F1123" s="638" t="s">
        <v>7160</v>
      </c>
      <c r="G1123" s="802"/>
      <c r="H1123" s="640"/>
      <c r="I1123" s="641"/>
      <c r="J1123" s="642"/>
      <c r="K1123" s="799"/>
      <c r="L1123" s="799"/>
    </row>
    <row r="1124" spans="1:12" s="598" customFormat="1">
      <c r="A1124" s="607">
        <v>1116</v>
      </c>
      <c r="B1124" s="609" t="s">
        <v>5366</v>
      </c>
      <c r="C1124" s="638" t="s">
        <v>7072</v>
      </c>
      <c r="D1124" s="638" t="s">
        <v>5732</v>
      </c>
      <c r="E1124" s="638">
        <v>1999</v>
      </c>
      <c r="F1124" s="638" t="s">
        <v>7161</v>
      </c>
      <c r="G1124" s="802"/>
      <c r="H1124" s="640"/>
      <c r="I1124" s="641"/>
      <c r="J1124" s="642"/>
      <c r="K1124" s="799"/>
      <c r="L1124" s="799"/>
    </row>
    <row r="1125" spans="1:12" s="598" customFormat="1">
      <c r="A1125" s="607">
        <v>1117</v>
      </c>
      <c r="B1125" s="609" t="s">
        <v>5366</v>
      </c>
      <c r="C1125" s="638" t="s">
        <v>7072</v>
      </c>
      <c r="D1125" s="638" t="s">
        <v>5732</v>
      </c>
      <c r="E1125" s="638">
        <v>1996</v>
      </c>
      <c r="F1125" s="638" t="s">
        <v>7162</v>
      </c>
      <c r="G1125" s="802"/>
      <c r="H1125" s="640"/>
      <c r="I1125" s="641"/>
      <c r="J1125" s="642"/>
      <c r="K1125" s="799"/>
      <c r="L1125" s="799"/>
    </row>
    <row r="1126" spans="1:12" s="598" customFormat="1">
      <c r="A1126" s="607">
        <v>1118</v>
      </c>
      <c r="B1126" s="609" t="s">
        <v>5366</v>
      </c>
      <c r="C1126" s="638" t="s">
        <v>7072</v>
      </c>
      <c r="D1126" s="638" t="s">
        <v>5732</v>
      </c>
      <c r="E1126" s="638">
        <v>1997</v>
      </c>
      <c r="F1126" s="638" t="s">
        <v>7163</v>
      </c>
      <c r="G1126" s="802"/>
      <c r="H1126" s="640"/>
      <c r="I1126" s="641"/>
      <c r="J1126" s="642"/>
      <c r="K1126" s="799"/>
      <c r="L1126" s="799"/>
    </row>
    <row r="1127" spans="1:12" s="598" customFormat="1">
      <c r="A1127" s="607">
        <v>1119</v>
      </c>
      <c r="B1127" s="609" t="s">
        <v>5366</v>
      </c>
      <c r="C1127" s="638" t="s">
        <v>7072</v>
      </c>
      <c r="D1127" s="638" t="s">
        <v>5732</v>
      </c>
      <c r="E1127" s="638">
        <v>1996</v>
      </c>
      <c r="F1127" s="638" t="s">
        <v>7164</v>
      </c>
      <c r="G1127" s="802"/>
      <c r="H1127" s="640"/>
      <c r="I1127" s="641"/>
      <c r="J1127" s="642"/>
      <c r="K1127" s="799"/>
      <c r="L1127" s="799"/>
    </row>
    <row r="1128" spans="1:12" s="598" customFormat="1">
      <c r="A1128" s="607">
        <v>1120</v>
      </c>
      <c r="B1128" s="609" t="s">
        <v>5366</v>
      </c>
      <c r="C1128" s="638" t="s">
        <v>7072</v>
      </c>
      <c r="D1128" s="638" t="s">
        <v>5732</v>
      </c>
      <c r="E1128" s="638">
        <v>2001</v>
      </c>
      <c r="F1128" s="638" t="s">
        <v>7165</v>
      </c>
      <c r="G1128" s="802"/>
      <c r="H1128" s="640"/>
      <c r="I1128" s="641"/>
      <c r="J1128" s="642"/>
      <c r="K1128" s="799"/>
      <c r="L1128" s="799"/>
    </row>
    <row r="1129" spans="1:12" s="598" customFormat="1">
      <c r="A1129" s="607">
        <v>1121</v>
      </c>
      <c r="B1129" s="609" t="s">
        <v>5366</v>
      </c>
      <c r="C1129" s="638" t="s">
        <v>7072</v>
      </c>
      <c r="D1129" s="638" t="s">
        <v>5732</v>
      </c>
      <c r="E1129" s="638">
        <v>1993</v>
      </c>
      <c r="F1129" s="638" t="s">
        <v>7166</v>
      </c>
      <c r="G1129" s="802"/>
      <c r="H1129" s="640"/>
      <c r="I1129" s="641"/>
      <c r="J1129" s="642"/>
      <c r="K1129" s="799"/>
      <c r="L1129" s="799"/>
    </row>
    <row r="1130" spans="1:12" s="598" customFormat="1">
      <c r="A1130" s="607">
        <v>1122</v>
      </c>
      <c r="B1130" s="609" t="s">
        <v>5366</v>
      </c>
      <c r="C1130" s="638" t="s">
        <v>7072</v>
      </c>
      <c r="D1130" s="638" t="s">
        <v>5732</v>
      </c>
      <c r="E1130" s="638">
        <v>1995</v>
      </c>
      <c r="F1130" s="638" t="s">
        <v>7167</v>
      </c>
      <c r="G1130" s="802"/>
      <c r="H1130" s="640"/>
      <c r="I1130" s="641"/>
      <c r="J1130" s="642"/>
      <c r="K1130" s="799"/>
      <c r="L1130" s="799"/>
    </row>
    <row r="1131" spans="1:12" s="598" customFormat="1">
      <c r="A1131" s="607">
        <v>1123</v>
      </c>
      <c r="B1131" s="609" t="s">
        <v>5366</v>
      </c>
      <c r="C1131" s="638" t="s">
        <v>7069</v>
      </c>
      <c r="D1131" s="638" t="s">
        <v>7113</v>
      </c>
      <c r="E1131" s="638">
        <v>2000</v>
      </c>
      <c r="F1131" s="638" t="s">
        <v>7168</v>
      </c>
      <c r="G1131" s="802"/>
      <c r="H1131" s="640"/>
      <c r="I1131" s="641"/>
      <c r="J1131" s="642"/>
      <c r="K1131" s="799"/>
      <c r="L1131" s="799"/>
    </row>
    <row r="1132" spans="1:12" s="598" customFormat="1">
      <c r="A1132" s="607">
        <v>1124</v>
      </c>
      <c r="B1132" s="609" t="s">
        <v>5366</v>
      </c>
      <c r="C1132" s="638" t="s">
        <v>7069</v>
      </c>
      <c r="D1132" s="638" t="s">
        <v>7169</v>
      </c>
      <c r="E1132" s="638">
        <v>2000</v>
      </c>
      <c r="F1132" s="638" t="s">
        <v>7170</v>
      </c>
      <c r="G1132" s="802"/>
      <c r="H1132" s="640"/>
      <c r="I1132" s="641"/>
      <c r="J1132" s="642"/>
      <c r="K1132" s="799"/>
      <c r="L1132" s="799"/>
    </row>
    <row r="1133" spans="1:12" s="598" customFormat="1">
      <c r="A1133" s="607">
        <v>1125</v>
      </c>
      <c r="B1133" s="609" t="s">
        <v>5366</v>
      </c>
      <c r="C1133" s="638" t="s">
        <v>7072</v>
      </c>
      <c r="D1133" s="638" t="s">
        <v>7077</v>
      </c>
      <c r="E1133" s="638">
        <v>1997</v>
      </c>
      <c r="F1133" s="638" t="s">
        <v>7171</v>
      </c>
      <c r="G1133" s="802"/>
      <c r="H1133" s="640"/>
      <c r="I1133" s="641"/>
      <c r="J1133" s="642"/>
      <c r="K1133" s="799"/>
      <c r="L1133" s="799"/>
    </row>
    <row r="1134" spans="1:12" s="598" customFormat="1">
      <c r="A1134" s="607">
        <v>1126</v>
      </c>
      <c r="B1134" s="609" t="s">
        <v>5366</v>
      </c>
      <c r="C1134" s="638" t="s">
        <v>7072</v>
      </c>
      <c r="D1134" s="638" t="s">
        <v>5373</v>
      </c>
      <c r="E1134" s="638">
        <v>1999</v>
      </c>
      <c r="F1134" s="638"/>
      <c r="G1134" s="802"/>
      <c r="H1134" s="640"/>
      <c r="I1134" s="641"/>
      <c r="J1134" s="642"/>
      <c r="K1134" s="799"/>
      <c r="L1134" s="799"/>
    </row>
    <row r="1135" spans="1:12" s="598" customFormat="1">
      <c r="A1135" s="607">
        <v>1127</v>
      </c>
      <c r="B1135" s="609" t="s">
        <v>5366</v>
      </c>
      <c r="C1135" s="638" t="s">
        <v>7072</v>
      </c>
      <c r="D1135" s="638" t="s">
        <v>7172</v>
      </c>
      <c r="E1135" s="638">
        <v>1998</v>
      </c>
      <c r="F1135" s="638" t="s">
        <v>7173</v>
      </c>
      <c r="G1135" s="802"/>
      <c r="H1135" s="640"/>
      <c r="I1135" s="641"/>
      <c r="J1135" s="642"/>
      <c r="K1135" s="799"/>
      <c r="L1135" s="799"/>
    </row>
    <row r="1136" spans="1:12" s="598" customFormat="1">
      <c r="A1136" s="607">
        <v>1128</v>
      </c>
      <c r="B1136" s="609" t="s">
        <v>5366</v>
      </c>
      <c r="C1136" s="638" t="s">
        <v>7072</v>
      </c>
      <c r="D1136" s="638" t="s">
        <v>7172</v>
      </c>
      <c r="E1136" s="638">
        <v>1998</v>
      </c>
      <c r="F1136" s="638" t="s">
        <v>7174</v>
      </c>
      <c r="G1136" s="802"/>
      <c r="H1136" s="640"/>
      <c r="I1136" s="641"/>
      <c r="J1136" s="642"/>
      <c r="K1136" s="799"/>
      <c r="L1136" s="799"/>
    </row>
    <row r="1137" spans="1:12" s="598" customFormat="1">
      <c r="A1137" s="607">
        <v>1129</v>
      </c>
      <c r="B1137" s="609" t="s">
        <v>5366</v>
      </c>
      <c r="C1137" s="638" t="s">
        <v>7072</v>
      </c>
      <c r="D1137" s="638" t="s">
        <v>7172</v>
      </c>
      <c r="E1137" s="638">
        <v>2000</v>
      </c>
      <c r="F1137" s="638" t="s">
        <v>7175</v>
      </c>
      <c r="G1137" s="802"/>
      <c r="H1137" s="640"/>
      <c r="I1137" s="641"/>
      <c r="J1137" s="642"/>
      <c r="K1137" s="799"/>
      <c r="L1137" s="799"/>
    </row>
    <row r="1138" spans="1:12" s="598" customFormat="1">
      <c r="A1138" s="607">
        <v>1130</v>
      </c>
      <c r="B1138" s="609" t="s">
        <v>5366</v>
      </c>
      <c r="C1138" s="638" t="s">
        <v>5436</v>
      </c>
      <c r="D1138" s="638" t="s">
        <v>5437</v>
      </c>
      <c r="E1138" s="638">
        <v>1999</v>
      </c>
      <c r="F1138" s="638" t="s">
        <v>7176</v>
      </c>
      <c r="G1138" s="802"/>
      <c r="H1138" s="640"/>
      <c r="I1138" s="641"/>
      <c r="J1138" s="642"/>
      <c r="K1138" s="799"/>
      <c r="L1138" s="799"/>
    </row>
    <row r="1139" spans="1:12" s="598" customFormat="1">
      <c r="A1139" s="607">
        <v>1131</v>
      </c>
      <c r="B1139" s="609" t="s">
        <v>5366</v>
      </c>
      <c r="C1139" s="638" t="s">
        <v>7069</v>
      </c>
      <c r="D1139" s="638" t="s">
        <v>7177</v>
      </c>
      <c r="E1139" s="638">
        <v>2001</v>
      </c>
      <c r="F1139" s="638" t="s">
        <v>7178</v>
      </c>
      <c r="G1139" s="802"/>
      <c r="H1139" s="640"/>
      <c r="I1139" s="641"/>
      <c r="J1139" s="642"/>
      <c r="K1139" s="799"/>
      <c r="L1139" s="799"/>
    </row>
    <row r="1140" spans="1:12" s="598" customFormat="1">
      <c r="A1140" s="607">
        <v>1132</v>
      </c>
      <c r="B1140" s="609" t="s">
        <v>5366</v>
      </c>
      <c r="C1140" s="638" t="s">
        <v>7072</v>
      </c>
      <c r="D1140" s="638" t="s">
        <v>5611</v>
      </c>
      <c r="E1140" s="638">
        <v>1997</v>
      </c>
      <c r="F1140" s="638" t="s">
        <v>7179</v>
      </c>
      <c r="G1140" s="802"/>
      <c r="H1140" s="640"/>
      <c r="I1140" s="641"/>
      <c r="J1140" s="642"/>
      <c r="K1140" s="799"/>
      <c r="L1140" s="799"/>
    </row>
    <row r="1141" spans="1:12" s="598" customFormat="1">
      <c r="A1141" s="607">
        <v>1133</v>
      </c>
      <c r="B1141" s="609" t="s">
        <v>5366</v>
      </c>
      <c r="C1141" s="638" t="s">
        <v>7069</v>
      </c>
      <c r="D1141" s="638" t="s">
        <v>6060</v>
      </c>
      <c r="E1141" s="638">
        <v>2000</v>
      </c>
      <c r="F1141" s="638" t="s">
        <v>7180</v>
      </c>
      <c r="G1141" s="802"/>
      <c r="H1141" s="640"/>
      <c r="I1141" s="641"/>
      <c r="J1141" s="642"/>
      <c r="K1141" s="799"/>
      <c r="L1141" s="799"/>
    </row>
    <row r="1142" spans="1:12" s="598" customFormat="1">
      <c r="A1142" s="607">
        <v>1134</v>
      </c>
      <c r="B1142" s="609" t="s">
        <v>5366</v>
      </c>
      <c r="C1142" s="638" t="s">
        <v>7069</v>
      </c>
      <c r="D1142" s="638" t="s">
        <v>6060</v>
      </c>
      <c r="E1142" s="638">
        <v>1996</v>
      </c>
      <c r="F1142" s="638" t="s">
        <v>7181</v>
      </c>
      <c r="G1142" s="802"/>
      <c r="H1142" s="640"/>
      <c r="I1142" s="641"/>
      <c r="J1142" s="642"/>
      <c r="K1142" s="799"/>
      <c r="L1142" s="799"/>
    </row>
    <row r="1143" spans="1:12" s="598" customFormat="1">
      <c r="A1143" s="607">
        <v>1135</v>
      </c>
      <c r="B1143" s="609" t="s">
        <v>5366</v>
      </c>
      <c r="C1143" s="638" t="s">
        <v>7069</v>
      </c>
      <c r="D1143" s="638" t="s">
        <v>7113</v>
      </c>
      <c r="E1143" s="638">
        <v>2001</v>
      </c>
      <c r="F1143" s="638" t="s">
        <v>7182</v>
      </c>
      <c r="G1143" s="802"/>
      <c r="H1143" s="640"/>
      <c r="I1143" s="641"/>
      <c r="J1143" s="642"/>
      <c r="K1143" s="799"/>
      <c r="L1143" s="799"/>
    </row>
    <row r="1144" spans="1:12" s="598" customFormat="1">
      <c r="A1144" s="607">
        <v>1136</v>
      </c>
      <c r="B1144" s="609" t="s">
        <v>5366</v>
      </c>
      <c r="C1144" s="638" t="s">
        <v>7072</v>
      </c>
      <c r="D1144" s="638" t="s">
        <v>5732</v>
      </c>
      <c r="E1144" s="638">
        <v>1996</v>
      </c>
      <c r="F1144" s="638" t="s">
        <v>7183</v>
      </c>
      <c r="G1144" s="802"/>
      <c r="H1144" s="640"/>
      <c r="I1144" s="641"/>
      <c r="J1144" s="642"/>
      <c r="K1144" s="799"/>
      <c r="L1144" s="799"/>
    </row>
    <row r="1145" spans="1:12" s="598" customFormat="1">
      <c r="A1145" s="607">
        <v>1137</v>
      </c>
      <c r="B1145" s="609" t="s">
        <v>5366</v>
      </c>
      <c r="C1145" s="638" t="s">
        <v>7069</v>
      </c>
      <c r="D1145" s="638" t="s">
        <v>7184</v>
      </c>
      <c r="E1145" s="638">
        <v>2006</v>
      </c>
      <c r="F1145" s="638" t="s">
        <v>7185</v>
      </c>
      <c r="G1145" s="802"/>
      <c r="H1145" s="640"/>
      <c r="I1145" s="641"/>
      <c r="J1145" s="642"/>
      <c r="K1145" s="799"/>
      <c r="L1145" s="799"/>
    </row>
    <row r="1146" spans="1:12" s="598" customFormat="1">
      <c r="A1146" s="607">
        <v>1138</v>
      </c>
      <c r="B1146" s="609" t="s">
        <v>5366</v>
      </c>
      <c r="C1146" s="638" t="s">
        <v>7069</v>
      </c>
      <c r="D1146" s="638" t="s">
        <v>7113</v>
      </c>
      <c r="E1146" s="638">
        <v>2001</v>
      </c>
      <c r="F1146" s="638" t="s">
        <v>7186</v>
      </c>
      <c r="G1146" s="802"/>
      <c r="H1146" s="640"/>
      <c r="I1146" s="641"/>
      <c r="J1146" s="642"/>
      <c r="K1146" s="799"/>
      <c r="L1146" s="799"/>
    </row>
    <row r="1147" spans="1:12" s="598" customFormat="1">
      <c r="A1147" s="607">
        <v>1139</v>
      </c>
      <c r="B1147" s="609" t="s">
        <v>5366</v>
      </c>
      <c r="C1147" s="638" t="s">
        <v>7072</v>
      </c>
      <c r="D1147" s="638" t="s">
        <v>5732</v>
      </c>
      <c r="E1147" s="638">
        <v>1998</v>
      </c>
      <c r="F1147" s="638" t="s">
        <v>6993</v>
      </c>
      <c r="G1147" s="802"/>
      <c r="H1147" s="640"/>
      <c r="I1147" s="641"/>
      <c r="J1147" s="642"/>
      <c r="K1147" s="799"/>
      <c r="L1147" s="799"/>
    </row>
    <row r="1148" spans="1:12" s="598" customFormat="1">
      <c r="A1148" s="607">
        <v>1140</v>
      </c>
      <c r="B1148" s="609" t="s">
        <v>5366</v>
      </c>
      <c r="C1148" s="638" t="s">
        <v>7072</v>
      </c>
      <c r="D1148" s="638" t="s">
        <v>5732</v>
      </c>
      <c r="E1148" s="638">
        <v>1999</v>
      </c>
      <c r="F1148" s="638" t="s">
        <v>7187</v>
      </c>
      <c r="G1148" s="802"/>
      <c r="H1148" s="640"/>
      <c r="I1148" s="641"/>
      <c r="J1148" s="642"/>
      <c r="K1148" s="799"/>
      <c r="L1148" s="799"/>
    </row>
    <row r="1149" spans="1:12" s="598" customFormat="1">
      <c r="A1149" s="607">
        <v>1141</v>
      </c>
      <c r="B1149" s="609" t="s">
        <v>5366</v>
      </c>
      <c r="C1149" s="638" t="s">
        <v>7069</v>
      </c>
      <c r="D1149" s="638" t="s">
        <v>6060</v>
      </c>
      <c r="E1149" s="638">
        <v>2000</v>
      </c>
      <c r="F1149" s="638" t="s">
        <v>7188</v>
      </c>
      <c r="G1149" s="802"/>
      <c r="H1149" s="640"/>
      <c r="I1149" s="641"/>
      <c r="J1149" s="642"/>
      <c r="K1149" s="799"/>
      <c r="L1149" s="799"/>
    </row>
    <row r="1150" spans="1:12" s="598" customFormat="1">
      <c r="A1150" s="607">
        <v>1142</v>
      </c>
      <c r="B1150" s="609" t="s">
        <v>5366</v>
      </c>
      <c r="C1150" s="638" t="s">
        <v>5436</v>
      </c>
      <c r="D1150" s="638" t="s">
        <v>5437</v>
      </c>
      <c r="E1150" s="638">
        <v>2001</v>
      </c>
      <c r="F1150" s="638" t="s">
        <v>7086</v>
      </c>
      <c r="G1150" s="802"/>
      <c r="H1150" s="640"/>
      <c r="I1150" s="641"/>
      <c r="J1150" s="642"/>
      <c r="K1150" s="799"/>
      <c r="L1150" s="799"/>
    </row>
    <row r="1151" spans="1:12" s="598" customFormat="1">
      <c r="A1151" s="607">
        <v>1143</v>
      </c>
      <c r="B1151" s="609" t="s">
        <v>5366</v>
      </c>
      <c r="C1151" s="638" t="s">
        <v>5906</v>
      </c>
      <c r="D1151" s="638" t="s">
        <v>6060</v>
      </c>
      <c r="E1151" s="638">
        <v>2001</v>
      </c>
      <c r="F1151" s="638" t="s">
        <v>7189</v>
      </c>
      <c r="G1151" s="802"/>
      <c r="H1151" s="640"/>
      <c r="I1151" s="641"/>
      <c r="J1151" s="642"/>
      <c r="K1151" s="799"/>
      <c r="L1151" s="799"/>
    </row>
    <row r="1152" spans="1:12" s="598" customFormat="1">
      <c r="A1152" s="607">
        <v>1144</v>
      </c>
      <c r="B1152" s="609" t="s">
        <v>5366</v>
      </c>
      <c r="C1152" s="638" t="s">
        <v>7069</v>
      </c>
      <c r="D1152" s="638" t="s">
        <v>7113</v>
      </c>
      <c r="E1152" s="638">
        <v>2000</v>
      </c>
      <c r="F1152" s="638" t="s">
        <v>7190</v>
      </c>
      <c r="G1152" s="802"/>
      <c r="H1152" s="640"/>
      <c r="I1152" s="641"/>
      <c r="J1152" s="642"/>
      <c r="K1152" s="799"/>
      <c r="L1152" s="799"/>
    </row>
    <row r="1153" spans="1:12" s="598" customFormat="1">
      <c r="A1153" s="607">
        <v>1145</v>
      </c>
      <c r="B1153" s="609" t="s">
        <v>5366</v>
      </c>
      <c r="C1153" s="638" t="s">
        <v>7069</v>
      </c>
      <c r="D1153" s="638" t="s">
        <v>7191</v>
      </c>
      <c r="E1153" s="638">
        <v>2005</v>
      </c>
      <c r="F1153" s="638" t="s">
        <v>7192</v>
      </c>
      <c r="G1153" s="802"/>
      <c r="H1153" s="640"/>
      <c r="I1153" s="641"/>
      <c r="J1153" s="642"/>
      <c r="K1153" s="799"/>
      <c r="L1153" s="799"/>
    </row>
    <row r="1154" spans="1:12" s="598" customFormat="1">
      <c r="A1154" s="607">
        <v>1146</v>
      </c>
      <c r="B1154" s="609" t="s">
        <v>5366</v>
      </c>
      <c r="C1154" s="638" t="s">
        <v>7069</v>
      </c>
      <c r="D1154" s="638" t="s">
        <v>6060</v>
      </c>
      <c r="E1154" s="638">
        <v>1997</v>
      </c>
      <c r="F1154" s="638" t="s">
        <v>7193</v>
      </c>
      <c r="G1154" s="802"/>
      <c r="H1154" s="640"/>
      <c r="I1154" s="641"/>
      <c r="J1154" s="642"/>
      <c r="K1154" s="799"/>
      <c r="L1154" s="799"/>
    </row>
    <row r="1155" spans="1:12" s="598" customFormat="1">
      <c r="A1155" s="607">
        <v>1147</v>
      </c>
      <c r="B1155" s="609" t="s">
        <v>5366</v>
      </c>
      <c r="C1155" s="638" t="s">
        <v>7069</v>
      </c>
      <c r="D1155" s="638" t="s">
        <v>7113</v>
      </c>
      <c r="E1155" s="638">
        <v>2000</v>
      </c>
      <c r="F1155" s="638" t="s">
        <v>7194</v>
      </c>
      <c r="G1155" s="802"/>
      <c r="H1155" s="640"/>
      <c r="I1155" s="641"/>
      <c r="J1155" s="642"/>
      <c r="K1155" s="799"/>
      <c r="L1155" s="799"/>
    </row>
    <row r="1156" spans="1:12" s="598" customFormat="1">
      <c r="A1156" s="607">
        <v>1148</v>
      </c>
      <c r="B1156" s="609" t="s">
        <v>5366</v>
      </c>
      <c r="C1156" s="638" t="s">
        <v>7109</v>
      </c>
      <c r="D1156" s="638" t="s">
        <v>6060</v>
      </c>
      <c r="E1156" s="638">
        <v>2004</v>
      </c>
      <c r="F1156" s="638" t="s">
        <v>7195</v>
      </c>
      <c r="G1156" s="802"/>
      <c r="H1156" s="640"/>
      <c r="I1156" s="641"/>
      <c r="J1156" s="642"/>
      <c r="K1156" s="799"/>
      <c r="L1156" s="799"/>
    </row>
    <row r="1157" spans="1:12" s="598" customFormat="1">
      <c r="A1157" s="607">
        <v>1149</v>
      </c>
      <c r="B1157" s="609" t="s">
        <v>5366</v>
      </c>
      <c r="C1157" s="638" t="s">
        <v>7069</v>
      </c>
      <c r="D1157" s="638" t="s">
        <v>7113</v>
      </c>
      <c r="E1157" s="638">
        <v>2002</v>
      </c>
      <c r="F1157" s="638" t="s">
        <v>7196</v>
      </c>
      <c r="G1157" s="802"/>
      <c r="H1157" s="640"/>
      <c r="I1157" s="641"/>
      <c r="J1157" s="642"/>
      <c r="K1157" s="799"/>
      <c r="L1157" s="799"/>
    </row>
    <row r="1158" spans="1:12" s="598" customFormat="1">
      <c r="A1158" s="607">
        <v>1150</v>
      </c>
      <c r="B1158" s="609" t="s">
        <v>5366</v>
      </c>
      <c r="C1158" s="638" t="s">
        <v>7069</v>
      </c>
      <c r="D1158" s="638" t="s">
        <v>7197</v>
      </c>
      <c r="E1158" s="638">
        <v>1997</v>
      </c>
      <c r="F1158" s="638" t="s">
        <v>7198</v>
      </c>
      <c r="G1158" s="802"/>
      <c r="H1158" s="640"/>
      <c r="I1158" s="641"/>
      <c r="J1158" s="642"/>
      <c r="K1158" s="799"/>
      <c r="L1158" s="799"/>
    </row>
    <row r="1159" spans="1:12" s="598" customFormat="1">
      <c r="A1159" s="607">
        <v>1151</v>
      </c>
      <c r="B1159" s="609" t="s">
        <v>5366</v>
      </c>
      <c r="C1159" s="638" t="s">
        <v>7069</v>
      </c>
      <c r="D1159" s="638" t="s">
        <v>7113</v>
      </c>
      <c r="E1159" s="638">
        <v>2000</v>
      </c>
      <c r="F1159" s="638" t="s">
        <v>7199</v>
      </c>
      <c r="G1159" s="802"/>
      <c r="H1159" s="640"/>
      <c r="I1159" s="641"/>
      <c r="J1159" s="642"/>
      <c r="K1159" s="799"/>
      <c r="L1159" s="799"/>
    </row>
    <row r="1160" spans="1:12" s="598" customFormat="1">
      <c r="A1160" s="607">
        <v>1152</v>
      </c>
      <c r="B1160" s="609" t="s">
        <v>5366</v>
      </c>
      <c r="C1160" s="638" t="s">
        <v>5436</v>
      </c>
      <c r="D1160" s="638" t="s">
        <v>5437</v>
      </c>
      <c r="E1160" s="638">
        <v>2000</v>
      </c>
      <c r="F1160" s="638" t="s">
        <v>7200</v>
      </c>
      <c r="G1160" s="802"/>
      <c r="H1160" s="640"/>
      <c r="I1160" s="641"/>
      <c r="J1160" s="642"/>
      <c r="K1160" s="799"/>
      <c r="L1160" s="799"/>
    </row>
    <row r="1161" spans="1:12" s="598" customFormat="1">
      <c r="A1161" s="607">
        <v>1153</v>
      </c>
      <c r="B1161" s="609" t="s">
        <v>5366</v>
      </c>
      <c r="C1161" s="638" t="s">
        <v>7069</v>
      </c>
      <c r="D1161" s="638" t="s">
        <v>7113</v>
      </c>
      <c r="E1161" s="638">
        <v>2001</v>
      </c>
      <c r="F1161" s="638" t="s">
        <v>7201</v>
      </c>
      <c r="G1161" s="802"/>
      <c r="H1161" s="640"/>
      <c r="I1161" s="641"/>
      <c r="J1161" s="642"/>
      <c r="K1161" s="799"/>
      <c r="L1161" s="799"/>
    </row>
    <row r="1162" spans="1:12" s="598" customFormat="1">
      <c r="A1162" s="607">
        <v>1154</v>
      </c>
      <c r="B1162" s="609" t="s">
        <v>5366</v>
      </c>
      <c r="C1162" s="638" t="s">
        <v>7072</v>
      </c>
      <c r="D1162" s="638" t="s">
        <v>5732</v>
      </c>
      <c r="E1162" s="638">
        <v>1997</v>
      </c>
      <c r="F1162" s="638" t="s">
        <v>7202</v>
      </c>
      <c r="G1162" s="802"/>
      <c r="H1162" s="640"/>
      <c r="I1162" s="641"/>
      <c r="J1162" s="642"/>
      <c r="K1162" s="799"/>
      <c r="L1162" s="799"/>
    </row>
    <row r="1163" spans="1:12" s="598" customFormat="1">
      <c r="A1163" s="607">
        <v>1155</v>
      </c>
      <c r="B1163" s="609" t="s">
        <v>5366</v>
      </c>
      <c r="C1163" s="638" t="s">
        <v>7069</v>
      </c>
      <c r="D1163" s="638" t="s">
        <v>6060</v>
      </c>
      <c r="E1163" s="638">
        <v>2003</v>
      </c>
      <c r="F1163" s="638" t="s">
        <v>7203</v>
      </c>
      <c r="G1163" s="802"/>
      <c r="H1163" s="640"/>
      <c r="I1163" s="641"/>
      <c r="J1163" s="642"/>
      <c r="K1163" s="799"/>
      <c r="L1163" s="799"/>
    </row>
    <row r="1164" spans="1:12" s="598" customFormat="1">
      <c r="A1164" s="607">
        <v>1156</v>
      </c>
      <c r="B1164" s="609" t="s">
        <v>5366</v>
      </c>
      <c r="C1164" s="638" t="s">
        <v>7069</v>
      </c>
      <c r="D1164" s="638" t="s">
        <v>7113</v>
      </c>
      <c r="E1164" s="638">
        <v>2001</v>
      </c>
      <c r="F1164" s="638" t="s">
        <v>7204</v>
      </c>
      <c r="G1164" s="802"/>
      <c r="H1164" s="640"/>
      <c r="I1164" s="641"/>
      <c r="J1164" s="642"/>
      <c r="K1164" s="799"/>
      <c r="L1164" s="799"/>
    </row>
    <row r="1165" spans="1:12" s="598" customFormat="1">
      <c r="A1165" s="607">
        <v>1157</v>
      </c>
      <c r="B1165" s="609" t="s">
        <v>5366</v>
      </c>
      <c r="C1165" s="638" t="s">
        <v>7072</v>
      </c>
      <c r="D1165" s="638" t="s">
        <v>5732</v>
      </c>
      <c r="E1165" s="638">
        <v>1998</v>
      </c>
      <c r="F1165" s="638" t="s">
        <v>7205</v>
      </c>
      <c r="G1165" s="802"/>
      <c r="H1165" s="640"/>
      <c r="I1165" s="641"/>
      <c r="J1165" s="642"/>
      <c r="K1165" s="799"/>
      <c r="L1165" s="799"/>
    </row>
    <row r="1166" spans="1:12" s="598" customFormat="1">
      <c r="A1166" s="607">
        <v>1158</v>
      </c>
      <c r="B1166" s="609" t="s">
        <v>5366</v>
      </c>
      <c r="C1166" s="638" t="s">
        <v>7072</v>
      </c>
      <c r="D1166" s="638" t="s">
        <v>5732</v>
      </c>
      <c r="E1166" s="638">
        <v>1997</v>
      </c>
      <c r="F1166" s="638" t="s">
        <v>7206</v>
      </c>
      <c r="G1166" s="803"/>
      <c r="H1166" s="640"/>
      <c r="I1166" s="641"/>
      <c r="J1166" s="642"/>
      <c r="K1166" s="800"/>
      <c r="L1166" s="800"/>
    </row>
    <row r="1167" spans="1:12" s="598" customFormat="1">
      <c r="A1167" s="607">
        <v>1159</v>
      </c>
      <c r="B1167" s="609" t="s">
        <v>6281</v>
      </c>
      <c r="C1167" s="638" t="s">
        <v>5378</v>
      </c>
      <c r="D1167" s="638" t="s">
        <v>7207</v>
      </c>
      <c r="E1167" s="638" t="s">
        <v>5529</v>
      </c>
      <c r="F1167" s="638" t="s">
        <v>7208</v>
      </c>
      <c r="G1167" s="639">
        <v>150</v>
      </c>
      <c r="H1167" s="640"/>
      <c r="I1167" s="641"/>
      <c r="J1167" s="642"/>
      <c r="K1167" s="643" t="s">
        <v>7209</v>
      </c>
      <c r="L1167" s="641" t="s">
        <v>7210</v>
      </c>
    </row>
    <row r="1168" spans="1:12" s="598" customFormat="1">
      <c r="A1168" s="607">
        <v>1160</v>
      </c>
      <c r="B1168" s="609" t="s">
        <v>6281</v>
      </c>
      <c r="C1168" s="638" t="s">
        <v>5378</v>
      </c>
      <c r="D1168" s="638" t="s">
        <v>7207</v>
      </c>
      <c r="E1168" s="638" t="s">
        <v>5426</v>
      </c>
      <c r="F1168" s="638" t="s">
        <v>7211</v>
      </c>
      <c r="G1168" s="639">
        <v>187.5</v>
      </c>
      <c r="H1168" s="640" t="s">
        <v>7212</v>
      </c>
      <c r="I1168" s="641" t="s">
        <v>7213</v>
      </c>
      <c r="J1168" s="642" t="s">
        <v>7214</v>
      </c>
      <c r="K1168" s="643"/>
      <c r="L1168" s="641"/>
    </row>
    <row r="1169" spans="1:12" s="598" customFormat="1">
      <c r="A1169" s="607">
        <v>1161</v>
      </c>
      <c r="B1169" s="609" t="s">
        <v>5366</v>
      </c>
      <c r="C1169" s="638" t="s">
        <v>5378</v>
      </c>
      <c r="D1169" s="638" t="s">
        <v>6149</v>
      </c>
      <c r="E1169" s="638" t="s">
        <v>5497</v>
      </c>
      <c r="F1169" s="638" t="s">
        <v>7215</v>
      </c>
      <c r="G1169" s="639">
        <v>250</v>
      </c>
      <c r="H1169" s="640" t="s">
        <v>7216</v>
      </c>
      <c r="I1169" s="641" t="s">
        <v>3920</v>
      </c>
      <c r="J1169" s="642" t="s">
        <v>7217</v>
      </c>
      <c r="K1169" s="643"/>
      <c r="L1169" s="641"/>
    </row>
    <row r="1170" spans="1:12" s="598" customFormat="1">
      <c r="A1170" s="607">
        <v>1162</v>
      </c>
      <c r="B1170" s="609" t="s">
        <v>5366</v>
      </c>
      <c r="C1170" s="638" t="s">
        <v>5829</v>
      </c>
      <c r="D1170" s="638" t="s">
        <v>7218</v>
      </c>
      <c r="E1170" s="638" t="s">
        <v>5385</v>
      </c>
      <c r="F1170" s="638" t="s">
        <v>7219</v>
      </c>
      <c r="G1170" s="801">
        <v>500</v>
      </c>
      <c r="H1170" s="640"/>
      <c r="I1170" s="641"/>
      <c r="J1170" s="642"/>
      <c r="K1170" s="798">
        <v>445454721</v>
      </c>
      <c r="L1170" s="798" t="s">
        <v>5432</v>
      </c>
    </row>
    <row r="1171" spans="1:12" s="598" customFormat="1">
      <c r="A1171" s="607">
        <v>1163</v>
      </c>
      <c r="B1171" s="609" t="s">
        <v>5366</v>
      </c>
      <c r="C1171" s="638" t="s">
        <v>5428</v>
      </c>
      <c r="D1171" s="638" t="s">
        <v>7220</v>
      </c>
      <c r="E1171" s="638" t="s">
        <v>5389</v>
      </c>
      <c r="F1171" s="638" t="s">
        <v>7221</v>
      </c>
      <c r="G1171" s="803"/>
      <c r="H1171" s="640"/>
      <c r="I1171" s="641"/>
      <c r="J1171" s="642"/>
      <c r="K1171" s="800"/>
      <c r="L1171" s="800"/>
    </row>
    <row r="1172" spans="1:12" s="598" customFormat="1">
      <c r="A1172" s="607">
        <v>1164</v>
      </c>
      <c r="B1172" s="609" t="s">
        <v>5366</v>
      </c>
      <c r="C1172" s="638" t="s">
        <v>5378</v>
      </c>
      <c r="D1172" s="638" t="s">
        <v>7001</v>
      </c>
      <c r="E1172" s="638" t="s">
        <v>5507</v>
      </c>
      <c r="F1172" s="638" t="s">
        <v>7002</v>
      </c>
      <c r="G1172" s="801">
        <v>140</v>
      </c>
      <c r="H1172" s="640"/>
      <c r="I1172" s="641"/>
      <c r="J1172" s="642"/>
      <c r="K1172" s="798">
        <v>246954247</v>
      </c>
      <c r="L1172" s="798" t="s">
        <v>5445</v>
      </c>
    </row>
    <row r="1173" spans="1:12" s="598" customFormat="1">
      <c r="A1173" s="607">
        <v>1165</v>
      </c>
      <c r="B1173" s="609" t="s">
        <v>5366</v>
      </c>
      <c r="C1173" s="638" t="s">
        <v>5387</v>
      </c>
      <c r="D1173" s="638" t="s">
        <v>5373</v>
      </c>
      <c r="E1173" s="638" t="s">
        <v>5397</v>
      </c>
      <c r="F1173" s="638" t="s">
        <v>7025</v>
      </c>
      <c r="G1173" s="803"/>
      <c r="H1173" s="640"/>
      <c r="I1173" s="641"/>
      <c r="J1173" s="642"/>
      <c r="K1173" s="800"/>
      <c r="L1173" s="800"/>
    </row>
    <row r="1174" spans="1:12" s="598" customFormat="1">
      <c r="A1174" s="607">
        <v>1166</v>
      </c>
      <c r="B1174" s="609" t="s">
        <v>5366</v>
      </c>
      <c r="C1174" s="638" t="s">
        <v>5527</v>
      </c>
      <c r="D1174" s="638" t="s">
        <v>5528</v>
      </c>
      <c r="E1174" s="638" t="s">
        <v>5380</v>
      </c>
      <c r="F1174" s="638" t="s">
        <v>7222</v>
      </c>
      <c r="G1174" s="801">
        <v>330</v>
      </c>
      <c r="H1174" s="640"/>
      <c r="I1174" s="641"/>
      <c r="J1174" s="642"/>
      <c r="K1174" s="798">
        <v>248431889</v>
      </c>
      <c r="L1174" s="798" t="s">
        <v>6881</v>
      </c>
    </row>
    <row r="1175" spans="1:12" s="598" customFormat="1">
      <c r="A1175" s="607">
        <v>1167</v>
      </c>
      <c r="B1175" s="609" t="s">
        <v>5366</v>
      </c>
      <c r="C1175" s="638" t="s">
        <v>5367</v>
      </c>
      <c r="D1175" s="638" t="s">
        <v>7223</v>
      </c>
      <c r="E1175" s="638" t="s">
        <v>5517</v>
      </c>
      <c r="F1175" s="638" t="s">
        <v>7224</v>
      </c>
      <c r="G1175" s="803"/>
      <c r="H1175" s="640"/>
      <c r="I1175" s="641"/>
      <c r="J1175" s="642"/>
      <c r="K1175" s="800"/>
      <c r="L1175" s="800"/>
    </row>
    <row r="1176" spans="1:12" s="598" customFormat="1">
      <c r="A1176" s="607">
        <v>1168</v>
      </c>
      <c r="B1176" s="609" t="s">
        <v>5366</v>
      </c>
      <c r="C1176" s="638" t="s">
        <v>5378</v>
      </c>
      <c r="D1176" s="638" t="s">
        <v>5598</v>
      </c>
      <c r="E1176" s="638" t="s">
        <v>5426</v>
      </c>
      <c r="F1176" s="638" t="s">
        <v>5427</v>
      </c>
      <c r="G1176" s="801">
        <v>562.5</v>
      </c>
      <c r="H1176" s="640"/>
      <c r="I1176" s="641"/>
      <c r="J1176" s="642"/>
      <c r="K1176" s="798">
        <v>412716770</v>
      </c>
      <c r="L1176" s="798" t="s">
        <v>5774</v>
      </c>
    </row>
    <row r="1177" spans="1:12" s="598" customFormat="1">
      <c r="A1177" s="607">
        <v>1169</v>
      </c>
      <c r="B1177" s="609" t="s">
        <v>5366</v>
      </c>
      <c r="C1177" s="638" t="s">
        <v>5367</v>
      </c>
      <c r="D1177" s="638" t="s">
        <v>6685</v>
      </c>
      <c r="E1177" s="638" t="s">
        <v>5599</v>
      </c>
      <c r="F1177" s="638" t="s">
        <v>7225</v>
      </c>
      <c r="G1177" s="802"/>
      <c r="H1177" s="640"/>
      <c r="I1177" s="641"/>
      <c r="J1177" s="642"/>
      <c r="K1177" s="799"/>
      <c r="L1177" s="799"/>
    </row>
    <row r="1178" spans="1:12" s="598" customFormat="1">
      <c r="A1178" s="607">
        <v>1170</v>
      </c>
      <c r="B1178" s="609" t="s">
        <v>5366</v>
      </c>
      <c r="C1178" s="638" t="s">
        <v>5378</v>
      </c>
      <c r="D1178" s="638" t="s">
        <v>5598</v>
      </c>
      <c r="E1178" s="638" t="s">
        <v>5411</v>
      </c>
      <c r="F1178" s="638" t="s">
        <v>7226</v>
      </c>
      <c r="G1178" s="803"/>
      <c r="H1178" s="640"/>
      <c r="I1178" s="641"/>
      <c r="J1178" s="642"/>
      <c r="K1178" s="800"/>
      <c r="L1178" s="800"/>
    </row>
    <row r="1179" spans="1:12" s="598" customFormat="1">
      <c r="A1179" s="607">
        <v>1171</v>
      </c>
      <c r="B1179" s="609" t="s">
        <v>5366</v>
      </c>
      <c r="C1179" s="638" t="s">
        <v>5378</v>
      </c>
      <c r="D1179" s="638" t="s">
        <v>6438</v>
      </c>
      <c r="E1179" s="638" t="s">
        <v>5385</v>
      </c>
      <c r="F1179" s="638" t="s">
        <v>7059</v>
      </c>
      <c r="G1179" s="639">
        <v>462.5</v>
      </c>
      <c r="H1179" s="640" t="s">
        <v>7060</v>
      </c>
      <c r="I1179" s="641" t="s">
        <v>7041</v>
      </c>
      <c r="J1179" s="642" t="s">
        <v>5553</v>
      </c>
      <c r="K1179" s="643"/>
      <c r="L1179" s="641"/>
    </row>
    <row r="1180" spans="1:12" s="598" customFormat="1">
      <c r="A1180" s="607">
        <v>1172</v>
      </c>
      <c r="B1180" s="609" t="s">
        <v>5366</v>
      </c>
      <c r="C1180" s="638" t="s">
        <v>5387</v>
      </c>
      <c r="D1180" s="638" t="s">
        <v>5373</v>
      </c>
      <c r="E1180" s="638" t="s">
        <v>5517</v>
      </c>
      <c r="F1180" s="638" t="s">
        <v>7227</v>
      </c>
      <c r="G1180" s="639">
        <v>462.5</v>
      </c>
      <c r="H1180" s="640" t="s">
        <v>7228</v>
      </c>
      <c r="I1180" s="641" t="s">
        <v>7229</v>
      </c>
      <c r="J1180" s="642" t="s">
        <v>7230</v>
      </c>
      <c r="K1180" s="643"/>
      <c r="L1180" s="641"/>
    </row>
    <row r="1181" spans="1:12" s="598" customFormat="1">
      <c r="A1181" s="607">
        <v>1173</v>
      </c>
      <c r="B1181" s="609" t="s">
        <v>5366</v>
      </c>
      <c r="C1181" s="638" t="s">
        <v>5536</v>
      </c>
      <c r="D1181" s="638" t="s">
        <v>7231</v>
      </c>
      <c r="E1181" s="638" t="s">
        <v>5733</v>
      </c>
      <c r="F1181" s="638" t="s">
        <v>7232</v>
      </c>
      <c r="G1181" s="639">
        <v>1125</v>
      </c>
      <c r="H1181" s="640"/>
      <c r="I1181" s="641"/>
      <c r="J1181" s="642"/>
      <c r="K1181" s="643" t="s">
        <v>7233</v>
      </c>
      <c r="L1181" s="641" t="s">
        <v>7234</v>
      </c>
    </row>
    <row r="1182" spans="1:12" s="598" customFormat="1">
      <c r="A1182" s="607">
        <v>1174</v>
      </c>
      <c r="B1182" s="609" t="s">
        <v>5366</v>
      </c>
      <c r="C1182" s="638" t="s">
        <v>5428</v>
      </c>
      <c r="D1182" s="638" t="s">
        <v>7235</v>
      </c>
      <c r="E1182" s="638" t="s">
        <v>5385</v>
      </c>
      <c r="F1182" s="638" t="s">
        <v>7236</v>
      </c>
      <c r="G1182" s="639">
        <v>1125</v>
      </c>
      <c r="H1182" s="640"/>
      <c r="I1182" s="641"/>
      <c r="J1182" s="642"/>
      <c r="K1182" s="643" t="s">
        <v>7237</v>
      </c>
      <c r="L1182" s="641" t="s">
        <v>7238</v>
      </c>
    </row>
    <row r="1183" spans="1:12" s="598" customFormat="1">
      <c r="A1183" s="607">
        <v>1175</v>
      </c>
      <c r="B1183" s="609" t="s">
        <v>5366</v>
      </c>
      <c r="C1183" s="638" t="s">
        <v>5378</v>
      </c>
      <c r="D1183" s="638" t="s">
        <v>5578</v>
      </c>
      <c r="E1183" s="638" t="s">
        <v>5385</v>
      </c>
      <c r="F1183" s="638" t="s">
        <v>7239</v>
      </c>
      <c r="G1183" s="639">
        <v>500</v>
      </c>
      <c r="H1183" s="640" t="s">
        <v>7240</v>
      </c>
      <c r="I1183" s="641" t="s">
        <v>7241</v>
      </c>
      <c r="J1183" s="642" t="s">
        <v>7242</v>
      </c>
      <c r="K1183" s="643"/>
      <c r="L1183" s="641"/>
    </row>
    <row r="1184" spans="1:12" s="598" customFormat="1">
      <c r="A1184" s="607">
        <v>1176</v>
      </c>
      <c r="B1184" s="609" t="s">
        <v>5366</v>
      </c>
      <c r="C1184" s="638" t="s">
        <v>5378</v>
      </c>
      <c r="D1184" s="638" t="s">
        <v>6839</v>
      </c>
      <c r="E1184" s="638" t="s">
        <v>5418</v>
      </c>
      <c r="F1184" s="638" t="s">
        <v>6840</v>
      </c>
      <c r="G1184" s="639">
        <v>625</v>
      </c>
      <c r="H1184" s="640"/>
      <c r="I1184" s="641"/>
      <c r="J1184" s="642"/>
      <c r="K1184" s="643" t="s">
        <v>6841</v>
      </c>
      <c r="L1184" s="641" t="s">
        <v>6842</v>
      </c>
    </row>
    <row r="1185" spans="1:12" s="598" customFormat="1">
      <c r="A1185" s="607">
        <v>1177</v>
      </c>
      <c r="B1185" s="609" t="s">
        <v>5366</v>
      </c>
      <c r="C1185" s="638" t="s">
        <v>5378</v>
      </c>
      <c r="D1185" s="638" t="s">
        <v>5718</v>
      </c>
      <c r="E1185" s="638" t="s">
        <v>5392</v>
      </c>
      <c r="F1185" s="638" t="s">
        <v>6858</v>
      </c>
      <c r="G1185" s="639">
        <v>468.75</v>
      </c>
      <c r="H1185" s="640"/>
      <c r="I1185" s="641"/>
      <c r="J1185" s="642"/>
      <c r="K1185" s="643" t="s">
        <v>6859</v>
      </c>
      <c r="L1185" s="641" t="s">
        <v>6860</v>
      </c>
    </row>
    <row r="1186" spans="1:12" s="598" customFormat="1">
      <c r="A1186" s="607">
        <v>1178</v>
      </c>
      <c r="B1186" s="609" t="s">
        <v>5366</v>
      </c>
      <c r="C1186" s="638" t="s">
        <v>5491</v>
      </c>
      <c r="D1186" s="638" t="s">
        <v>5492</v>
      </c>
      <c r="E1186" s="638" t="s">
        <v>5389</v>
      </c>
      <c r="F1186" s="638" t="s">
        <v>5493</v>
      </c>
      <c r="G1186" s="639">
        <v>500</v>
      </c>
      <c r="H1186" s="640"/>
      <c r="I1186" s="641"/>
      <c r="J1186" s="642"/>
      <c r="K1186" s="643" t="s">
        <v>5494</v>
      </c>
      <c r="L1186" s="641" t="s">
        <v>6863</v>
      </c>
    </row>
    <row r="1187" spans="1:12" s="598" customFormat="1">
      <c r="A1187" s="607">
        <v>1179</v>
      </c>
      <c r="B1187" s="609" t="s">
        <v>5366</v>
      </c>
      <c r="C1187" s="638" t="s">
        <v>5378</v>
      </c>
      <c r="D1187" s="638" t="s">
        <v>5584</v>
      </c>
      <c r="E1187" s="638" t="s">
        <v>5418</v>
      </c>
      <c r="F1187" s="638" t="s">
        <v>7243</v>
      </c>
      <c r="G1187" s="639">
        <v>125</v>
      </c>
      <c r="H1187" s="640"/>
      <c r="I1187" s="641"/>
      <c r="J1187" s="642"/>
      <c r="K1187" s="643" t="s">
        <v>7244</v>
      </c>
      <c r="L1187" s="641" t="s">
        <v>7245</v>
      </c>
    </row>
    <row r="1188" spans="1:12" s="598" customFormat="1">
      <c r="A1188" s="607">
        <v>1180</v>
      </c>
      <c r="B1188" s="609" t="s">
        <v>5366</v>
      </c>
      <c r="C1188" s="638" t="s">
        <v>6273</v>
      </c>
      <c r="D1188" s="638" t="s">
        <v>5452</v>
      </c>
      <c r="E1188" s="638" t="s">
        <v>5497</v>
      </c>
      <c r="F1188" s="638" t="s">
        <v>6274</v>
      </c>
      <c r="G1188" s="639">
        <v>187.5</v>
      </c>
      <c r="H1188" s="640"/>
      <c r="I1188" s="641"/>
      <c r="J1188" s="642"/>
      <c r="K1188" s="643" t="s">
        <v>6275</v>
      </c>
      <c r="L1188" s="641" t="s">
        <v>6276</v>
      </c>
    </row>
    <row r="1189" spans="1:12" s="598" customFormat="1">
      <c r="A1189" s="607">
        <v>1181</v>
      </c>
      <c r="B1189" s="609" t="s">
        <v>5366</v>
      </c>
      <c r="C1189" s="638" t="s">
        <v>5387</v>
      </c>
      <c r="D1189" s="638" t="s">
        <v>6027</v>
      </c>
      <c r="E1189" s="638" t="s">
        <v>5392</v>
      </c>
      <c r="F1189" s="638" t="s">
        <v>7246</v>
      </c>
      <c r="G1189" s="639">
        <v>87.5</v>
      </c>
      <c r="H1189" s="640"/>
      <c r="I1189" s="641"/>
      <c r="J1189" s="642"/>
      <c r="K1189" s="643" t="s">
        <v>7247</v>
      </c>
      <c r="L1189" s="641" t="s">
        <v>7248</v>
      </c>
    </row>
    <row r="1190" spans="1:12" s="598" customFormat="1">
      <c r="A1190" s="607">
        <v>1182</v>
      </c>
      <c r="B1190" s="609" t="s">
        <v>5366</v>
      </c>
      <c r="C1190" s="638" t="s">
        <v>5496</v>
      </c>
      <c r="D1190" s="638" t="s">
        <v>5409</v>
      </c>
      <c r="E1190" s="638" t="s">
        <v>5497</v>
      </c>
      <c r="F1190" s="638" t="s">
        <v>5498</v>
      </c>
      <c r="G1190" s="639">
        <v>187.5</v>
      </c>
      <c r="H1190" s="640"/>
      <c r="I1190" s="641"/>
      <c r="J1190" s="642"/>
      <c r="K1190" s="643" t="s">
        <v>5499</v>
      </c>
      <c r="L1190" s="641" t="s">
        <v>7249</v>
      </c>
    </row>
    <row r="1191" spans="1:12" s="598" customFormat="1">
      <c r="A1191" s="607">
        <v>1183</v>
      </c>
      <c r="B1191" s="609" t="s">
        <v>5366</v>
      </c>
      <c r="C1191" s="638" t="s">
        <v>5367</v>
      </c>
      <c r="D1191" s="638" t="s">
        <v>5694</v>
      </c>
      <c r="E1191" s="638" t="s">
        <v>5517</v>
      </c>
      <c r="F1191" s="638" t="s">
        <v>5695</v>
      </c>
      <c r="G1191" s="639">
        <v>212.5</v>
      </c>
      <c r="H1191" s="640"/>
      <c r="I1191" s="641"/>
      <c r="J1191" s="642"/>
      <c r="K1191" s="643" t="s">
        <v>7250</v>
      </c>
      <c r="L1191" s="641" t="s">
        <v>7251</v>
      </c>
    </row>
    <row r="1192" spans="1:12" s="598" customFormat="1">
      <c r="A1192" s="607">
        <v>1184</v>
      </c>
      <c r="B1192" s="609" t="s">
        <v>5366</v>
      </c>
      <c r="C1192" s="638" t="s">
        <v>5367</v>
      </c>
      <c r="D1192" s="638" t="s">
        <v>7252</v>
      </c>
      <c r="E1192" s="638" t="s">
        <v>5389</v>
      </c>
      <c r="F1192" s="638" t="s">
        <v>7253</v>
      </c>
      <c r="G1192" s="639">
        <v>212.5</v>
      </c>
      <c r="H1192" s="640"/>
      <c r="I1192" s="641"/>
      <c r="J1192" s="642"/>
      <c r="K1192" s="643" t="s">
        <v>7254</v>
      </c>
      <c r="L1192" s="641" t="s">
        <v>7255</v>
      </c>
    </row>
    <row r="1193" spans="1:12" s="598" customFormat="1">
      <c r="A1193" s="607">
        <v>1185</v>
      </c>
      <c r="B1193" s="609" t="s">
        <v>5366</v>
      </c>
      <c r="C1193" s="638" t="s">
        <v>5378</v>
      </c>
      <c r="D1193" s="638" t="s">
        <v>5506</v>
      </c>
      <c r="E1193" s="638" t="s">
        <v>5507</v>
      </c>
      <c r="F1193" s="638" t="s">
        <v>6083</v>
      </c>
      <c r="G1193" s="639">
        <v>375</v>
      </c>
      <c r="H1193" s="640" t="s">
        <v>6084</v>
      </c>
      <c r="I1193" s="641" t="s">
        <v>6085</v>
      </c>
      <c r="J1193" s="642" t="s">
        <v>6086</v>
      </c>
      <c r="K1193" s="643"/>
      <c r="L1193" s="641"/>
    </row>
    <row r="1194" spans="1:12" s="598" customFormat="1">
      <c r="A1194" s="607">
        <v>1186</v>
      </c>
      <c r="B1194" s="609" t="s">
        <v>5366</v>
      </c>
      <c r="C1194" s="638" t="s">
        <v>5378</v>
      </c>
      <c r="D1194" s="638" t="s">
        <v>5476</v>
      </c>
      <c r="E1194" s="638" t="s">
        <v>5418</v>
      </c>
      <c r="F1194" s="638" t="s">
        <v>6090</v>
      </c>
      <c r="G1194" s="639">
        <v>375</v>
      </c>
      <c r="H1194" s="640"/>
      <c r="I1194" s="641"/>
      <c r="J1194" s="642"/>
      <c r="K1194" s="643" t="s">
        <v>6091</v>
      </c>
      <c r="L1194" s="641" t="s">
        <v>7256</v>
      </c>
    </row>
    <row r="1195" spans="1:12" s="598" customFormat="1">
      <c r="A1195" s="607">
        <v>1187</v>
      </c>
      <c r="B1195" s="609" t="s">
        <v>5366</v>
      </c>
      <c r="C1195" s="638" t="s">
        <v>5378</v>
      </c>
      <c r="D1195" s="638" t="s">
        <v>5584</v>
      </c>
      <c r="E1195" s="638" t="s">
        <v>5507</v>
      </c>
      <c r="F1195" s="638" t="s">
        <v>6099</v>
      </c>
      <c r="G1195" s="639">
        <v>375</v>
      </c>
      <c r="H1195" s="640" t="s">
        <v>6100</v>
      </c>
      <c r="I1195" s="641" t="s">
        <v>3877</v>
      </c>
      <c r="J1195" s="642" t="s">
        <v>6086</v>
      </c>
      <c r="K1195" s="643"/>
      <c r="L1195" s="641"/>
    </row>
    <row r="1196" spans="1:12" s="598" customFormat="1">
      <c r="A1196" s="607">
        <v>1188</v>
      </c>
      <c r="B1196" s="609" t="s">
        <v>5366</v>
      </c>
      <c r="C1196" s="638" t="s">
        <v>5378</v>
      </c>
      <c r="D1196" s="638" t="s">
        <v>5467</v>
      </c>
      <c r="E1196" s="638" t="s">
        <v>5517</v>
      </c>
      <c r="F1196" s="638" t="s">
        <v>6101</v>
      </c>
      <c r="G1196" s="639">
        <v>375</v>
      </c>
      <c r="H1196" s="640"/>
      <c r="I1196" s="641"/>
      <c r="J1196" s="642"/>
      <c r="K1196" s="643" t="s">
        <v>5519</v>
      </c>
      <c r="L1196" s="641" t="s">
        <v>7257</v>
      </c>
    </row>
    <row r="1197" spans="1:12" s="598" customFormat="1">
      <c r="A1197" s="607">
        <v>1189</v>
      </c>
      <c r="B1197" s="609" t="s">
        <v>5366</v>
      </c>
      <c r="C1197" s="638" t="s">
        <v>5378</v>
      </c>
      <c r="D1197" s="638" t="s">
        <v>5467</v>
      </c>
      <c r="E1197" s="638" t="s">
        <v>5517</v>
      </c>
      <c r="F1197" s="638" t="s">
        <v>6071</v>
      </c>
      <c r="G1197" s="639">
        <v>250</v>
      </c>
      <c r="H1197" s="640"/>
      <c r="I1197" s="641"/>
      <c r="J1197" s="642"/>
      <c r="K1197" s="643" t="s">
        <v>6072</v>
      </c>
      <c r="L1197" s="641" t="s">
        <v>7258</v>
      </c>
    </row>
    <row r="1198" spans="1:12" s="598" customFormat="1">
      <c r="A1198" s="607">
        <v>1190</v>
      </c>
      <c r="B1198" s="609" t="s">
        <v>5366</v>
      </c>
      <c r="C1198" s="638" t="s">
        <v>5378</v>
      </c>
      <c r="D1198" s="638" t="s">
        <v>6074</v>
      </c>
      <c r="E1198" s="638" t="s">
        <v>5411</v>
      </c>
      <c r="F1198" s="638" t="s">
        <v>6075</v>
      </c>
      <c r="G1198" s="639">
        <v>250</v>
      </c>
      <c r="H1198" s="640"/>
      <c r="I1198" s="641"/>
      <c r="J1198" s="642"/>
      <c r="K1198" s="643" t="s">
        <v>6076</v>
      </c>
      <c r="L1198" s="641" t="s">
        <v>7259</v>
      </c>
    </row>
    <row r="1199" spans="1:12" s="598" customFormat="1">
      <c r="A1199" s="607">
        <v>1191</v>
      </c>
      <c r="B1199" s="609" t="s">
        <v>5366</v>
      </c>
      <c r="C1199" s="638" t="s">
        <v>6060</v>
      </c>
      <c r="D1199" s="638" t="s">
        <v>6059</v>
      </c>
      <c r="E1199" s="638" t="s">
        <v>5392</v>
      </c>
      <c r="F1199" s="638" t="s">
        <v>6061</v>
      </c>
      <c r="G1199" s="639">
        <v>162.5</v>
      </c>
      <c r="H1199" s="640"/>
      <c r="I1199" s="641"/>
      <c r="J1199" s="642"/>
      <c r="K1199" s="643">
        <v>53001023115</v>
      </c>
      <c r="L1199" s="641" t="s">
        <v>7260</v>
      </c>
    </row>
    <row r="1200" spans="1:12" s="598" customFormat="1">
      <c r="A1200" s="607">
        <v>1192</v>
      </c>
      <c r="B1200" s="609" t="s">
        <v>5366</v>
      </c>
      <c r="C1200" s="638" t="s">
        <v>5378</v>
      </c>
      <c r="D1200" s="638" t="s">
        <v>6055</v>
      </c>
      <c r="E1200" s="638" t="s">
        <v>5389</v>
      </c>
      <c r="F1200" s="638" t="s">
        <v>6056</v>
      </c>
      <c r="G1200" s="639">
        <v>437.5</v>
      </c>
      <c r="H1200" s="640"/>
      <c r="I1200" s="641"/>
      <c r="J1200" s="642"/>
      <c r="K1200" s="643" t="s">
        <v>6057</v>
      </c>
      <c r="L1200" s="641" t="s">
        <v>7261</v>
      </c>
    </row>
    <row r="1201" spans="1:12" s="598" customFormat="1">
      <c r="A1201" s="607">
        <v>1193</v>
      </c>
      <c r="B1201" s="609" t="s">
        <v>5366</v>
      </c>
      <c r="C1201" s="638" t="s">
        <v>5409</v>
      </c>
      <c r="D1201" s="638" t="s">
        <v>5476</v>
      </c>
      <c r="E1201" s="638" t="s">
        <v>5389</v>
      </c>
      <c r="F1201" s="638" t="s">
        <v>6042</v>
      </c>
      <c r="G1201" s="639">
        <v>250</v>
      </c>
      <c r="H1201" s="640"/>
      <c r="I1201" s="641"/>
      <c r="J1201" s="642"/>
      <c r="K1201" s="643" t="s">
        <v>6043</v>
      </c>
      <c r="L1201" s="641" t="s">
        <v>7262</v>
      </c>
    </row>
    <row r="1202" spans="1:12" s="598" customFormat="1">
      <c r="A1202" s="607">
        <v>1194</v>
      </c>
      <c r="B1202" s="639" t="s">
        <v>5366</v>
      </c>
      <c r="C1202" s="638" t="s">
        <v>5409</v>
      </c>
      <c r="D1202" s="638" t="s">
        <v>5385</v>
      </c>
      <c r="E1202" s="638" t="s">
        <v>7263</v>
      </c>
      <c r="F1202" s="638" t="s">
        <v>5521</v>
      </c>
      <c r="G1202" s="639">
        <v>437.5</v>
      </c>
      <c r="H1202" s="640"/>
      <c r="I1202" s="641"/>
      <c r="J1202" s="642"/>
      <c r="K1202" s="643" t="s">
        <v>5522</v>
      </c>
      <c r="L1202" s="641" t="s">
        <v>7264</v>
      </c>
    </row>
    <row r="1203" spans="1:12" s="598" customFormat="1">
      <c r="A1203" s="607">
        <v>1195</v>
      </c>
      <c r="B1203" s="609" t="s">
        <v>5366</v>
      </c>
      <c r="C1203" s="638" t="s">
        <v>5536</v>
      </c>
      <c r="D1203" s="638" t="s">
        <v>7265</v>
      </c>
      <c r="E1203" s="638" t="s">
        <v>5374</v>
      </c>
      <c r="F1203" s="638" t="s">
        <v>5538</v>
      </c>
      <c r="G1203" s="639">
        <v>437.5</v>
      </c>
      <c r="H1203" s="640"/>
      <c r="I1203" s="641"/>
      <c r="J1203" s="642"/>
      <c r="K1203" s="643" t="s">
        <v>5539</v>
      </c>
      <c r="L1203" s="641" t="s">
        <v>7266</v>
      </c>
    </row>
    <row r="1204" spans="1:12" s="598" customFormat="1">
      <c r="A1204" s="607">
        <v>1196</v>
      </c>
      <c r="B1204" s="609" t="s">
        <v>5366</v>
      </c>
      <c r="C1204" s="638" t="s">
        <v>5409</v>
      </c>
      <c r="D1204" s="638" t="s">
        <v>6184</v>
      </c>
      <c r="E1204" s="638" t="s">
        <v>5392</v>
      </c>
      <c r="F1204" s="638" t="s">
        <v>6185</v>
      </c>
      <c r="G1204" s="639">
        <v>187.5</v>
      </c>
      <c r="H1204" s="640"/>
      <c r="I1204" s="641"/>
      <c r="J1204" s="642"/>
      <c r="K1204" s="643" t="s">
        <v>6186</v>
      </c>
      <c r="L1204" s="641" t="s">
        <v>6187</v>
      </c>
    </row>
    <row r="1205" spans="1:12" s="598" customFormat="1">
      <c r="A1205" s="607">
        <v>1197</v>
      </c>
      <c r="B1205" s="609" t="s">
        <v>5366</v>
      </c>
      <c r="C1205" s="638" t="s">
        <v>6169</v>
      </c>
      <c r="D1205" s="638" t="s">
        <v>6198</v>
      </c>
      <c r="E1205" s="638" t="s">
        <v>5529</v>
      </c>
      <c r="F1205" s="638" t="s">
        <v>6205</v>
      </c>
      <c r="G1205" s="639">
        <v>156.25</v>
      </c>
      <c r="H1205" s="640"/>
      <c r="I1205" s="641"/>
      <c r="J1205" s="642"/>
      <c r="K1205" s="643" t="s">
        <v>6206</v>
      </c>
      <c r="L1205" s="641" t="s">
        <v>6207</v>
      </c>
    </row>
    <row r="1206" spans="1:12" s="598" customFormat="1">
      <c r="A1206" s="607">
        <v>1198</v>
      </c>
      <c r="B1206" s="609" t="s">
        <v>5366</v>
      </c>
      <c r="C1206" s="638" t="s">
        <v>5378</v>
      </c>
      <c r="D1206" s="638" t="s">
        <v>5718</v>
      </c>
      <c r="E1206" s="638" t="s">
        <v>5389</v>
      </c>
      <c r="F1206" s="638" t="s">
        <v>6216</v>
      </c>
      <c r="G1206" s="639">
        <v>125</v>
      </c>
      <c r="H1206" s="640" t="s">
        <v>6217</v>
      </c>
      <c r="I1206" s="641" t="s">
        <v>3848</v>
      </c>
      <c r="J1206" s="642" t="s">
        <v>6218</v>
      </c>
      <c r="K1206" s="643"/>
      <c r="L1206" s="641"/>
    </row>
    <row r="1207" spans="1:12" s="598" customFormat="1">
      <c r="A1207" s="607">
        <v>1199</v>
      </c>
      <c r="B1207" s="609" t="s">
        <v>5366</v>
      </c>
      <c r="C1207" s="638" t="s">
        <v>5378</v>
      </c>
      <c r="D1207" s="638" t="s">
        <v>6163</v>
      </c>
      <c r="E1207" s="638" t="s">
        <v>5599</v>
      </c>
      <c r="F1207" s="638" t="s">
        <v>6213</v>
      </c>
      <c r="G1207" s="639">
        <v>125</v>
      </c>
      <c r="H1207" s="640"/>
      <c r="I1207" s="641"/>
      <c r="J1207" s="642"/>
      <c r="K1207" s="643" t="s">
        <v>6214</v>
      </c>
      <c r="L1207" s="641" t="s">
        <v>7267</v>
      </c>
    </row>
    <row r="1208" spans="1:12" s="598" customFormat="1">
      <c r="A1208" s="607">
        <v>1200</v>
      </c>
      <c r="B1208" s="609" t="s">
        <v>5366</v>
      </c>
      <c r="C1208" s="638" t="s">
        <v>5906</v>
      </c>
      <c r="D1208" s="638" t="s">
        <v>5452</v>
      </c>
      <c r="E1208" s="638" t="s">
        <v>5517</v>
      </c>
      <c r="F1208" s="638" t="s">
        <v>6229</v>
      </c>
      <c r="G1208" s="639">
        <v>500</v>
      </c>
      <c r="H1208" s="640"/>
      <c r="I1208" s="641"/>
      <c r="J1208" s="642"/>
      <c r="K1208" s="643" t="s">
        <v>6230</v>
      </c>
      <c r="L1208" s="641" t="s">
        <v>6231</v>
      </c>
    </row>
    <row r="1209" spans="1:12" s="598" customFormat="1">
      <c r="A1209" s="607">
        <v>1201</v>
      </c>
      <c r="B1209" s="609" t="s">
        <v>5366</v>
      </c>
      <c r="C1209" s="638" t="s">
        <v>6059</v>
      </c>
      <c r="D1209" s="638" t="s">
        <v>6232</v>
      </c>
      <c r="E1209" s="638" t="s">
        <v>5392</v>
      </c>
      <c r="F1209" s="638" t="s">
        <v>6233</v>
      </c>
      <c r="G1209" s="639">
        <v>312.5</v>
      </c>
      <c r="H1209" s="640"/>
      <c r="I1209" s="641"/>
      <c r="J1209" s="642"/>
      <c r="K1209" s="643" t="s">
        <v>6234</v>
      </c>
      <c r="L1209" s="641" t="s">
        <v>6235</v>
      </c>
    </row>
    <row r="1210" spans="1:12" s="598" customFormat="1">
      <c r="A1210" s="607">
        <v>1202</v>
      </c>
      <c r="B1210" s="609" t="s">
        <v>5366</v>
      </c>
      <c r="C1210" s="638" t="s">
        <v>5378</v>
      </c>
      <c r="D1210" s="638" t="s">
        <v>5506</v>
      </c>
      <c r="E1210" s="638" t="s">
        <v>5389</v>
      </c>
      <c r="F1210" s="638" t="s">
        <v>6239</v>
      </c>
      <c r="G1210" s="639">
        <v>187.5</v>
      </c>
      <c r="H1210" s="640"/>
      <c r="I1210" s="641"/>
      <c r="J1210" s="642"/>
      <c r="K1210" s="643" t="s">
        <v>6240</v>
      </c>
      <c r="L1210" s="641" t="s">
        <v>6241</v>
      </c>
    </row>
    <row r="1211" spans="1:12" s="598" customFormat="1">
      <c r="A1211" s="607">
        <v>1203</v>
      </c>
      <c r="B1211" s="609" t="s">
        <v>5366</v>
      </c>
      <c r="C1211" s="638" t="s">
        <v>5378</v>
      </c>
      <c r="D1211" s="638" t="s">
        <v>6999</v>
      </c>
      <c r="E1211" s="638" t="s">
        <v>5487</v>
      </c>
      <c r="F1211" s="638" t="s">
        <v>7000</v>
      </c>
      <c r="G1211" s="801">
        <v>950</v>
      </c>
      <c r="H1211" s="640"/>
      <c r="I1211" s="641"/>
      <c r="J1211" s="642"/>
      <c r="K1211" s="804" t="s">
        <v>5444</v>
      </c>
      <c r="L1211" s="798" t="s">
        <v>5445</v>
      </c>
    </row>
    <row r="1212" spans="1:12" s="598" customFormat="1">
      <c r="A1212" s="607">
        <v>1204</v>
      </c>
      <c r="B1212" s="609" t="s">
        <v>5366</v>
      </c>
      <c r="C1212" s="638" t="s">
        <v>5378</v>
      </c>
      <c r="D1212" s="638" t="s">
        <v>7001</v>
      </c>
      <c r="E1212" s="638" t="s">
        <v>5507</v>
      </c>
      <c r="F1212" s="638" t="s">
        <v>7002</v>
      </c>
      <c r="G1212" s="802"/>
      <c r="H1212" s="640"/>
      <c r="I1212" s="641"/>
      <c r="J1212" s="642"/>
      <c r="K1212" s="805"/>
      <c r="L1212" s="799"/>
    </row>
    <row r="1213" spans="1:12" s="598" customFormat="1">
      <c r="A1213" s="607">
        <v>1205</v>
      </c>
      <c r="B1213" s="609" t="s">
        <v>5366</v>
      </c>
      <c r="C1213" s="638" t="s">
        <v>5378</v>
      </c>
      <c r="D1213" s="638" t="s">
        <v>7268</v>
      </c>
      <c r="E1213" s="638" t="s">
        <v>5418</v>
      </c>
      <c r="F1213" s="638" t="s">
        <v>7005</v>
      </c>
      <c r="G1213" s="802"/>
      <c r="H1213" s="640"/>
      <c r="I1213" s="641"/>
      <c r="J1213" s="642"/>
      <c r="K1213" s="805"/>
      <c r="L1213" s="799"/>
    </row>
    <row r="1214" spans="1:12" s="598" customFormat="1">
      <c r="A1214" s="607">
        <v>1206</v>
      </c>
      <c r="B1214" s="609" t="s">
        <v>5366</v>
      </c>
      <c r="C1214" s="638" t="s">
        <v>5378</v>
      </c>
      <c r="D1214" s="638" t="s">
        <v>5476</v>
      </c>
      <c r="E1214" s="638" t="s">
        <v>5418</v>
      </c>
      <c r="F1214" s="638" t="s">
        <v>7006</v>
      </c>
      <c r="G1214" s="802"/>
      <c r="H1214" s="640"/>
      <c r="I1214" s="641"/>
      <c r="J1214" s="642"/>
      <c r="K1214" s="805"/>
      <c r="L1214" s="799"/>
    </row>
    <row r="1215" spans="1:12" s="598" customFormat="1">
      <c r="A1215" s="607">
        <v>1207</v>
      </c>
      <c r="B1215" s="609" t="s">
        <v>5366</v>
      </c>
      <c r="C1215" s="638" t="s">
        <v>5378</v>
      </c>
      <c r="D1215" s="638" t="s">
        <v>5580</v>
      </c>
      <c r="E1215" s="638" t="s">
        <v>5392</v>
      </c>
      <c r="F1215" s="638" t="s">
        <v>7015</v>
      </c>
      <c r="G1215" s="802"/>
      <c r="H1215" s="640"/>
      <c r="I1215" s="641"/>
      <c r="J1215" s="642"/>
      <c r="K1215" s="805"/>
      <c r="L1215" s="799"/>
    </row>
    <row r="1216" spans="1:12" s="598" customFormat="1">
      <c r="A1216" s="607">
        <v>1208</v>
      </c>
      <c r="B1216" s="609" t="s">
        <v>5366</v>
      </c>
      <c r="C1216" s="638" t="s">
        <v>5378</v>
      </c>
      <c r="D1216" s="638" t="s">
        <v>5452</v>
      </c>
      <c r="E1216" s="638" t="s">
        <v>5517</v>
      </c>
      <c r="F1216" s="638" t="s">
        <v>7016</v>
      </c>
      <c r="G1216" s="802"/>
      <c r="H1216" s="640"/>
      <c r="I1216" s="641"/>
      <c r="J1216" s="642"/>
      <c r="K1216" s="805"/>
      <c r="L1216" s="799"/>
    </row>
    <row r="1217" spans="1:12" s="598" customFormat="1">
      <c r="A1217" s="607">
        <v>1209</v>
      </c>
      <c r="B1217" s="609" t="s">
        <v>5366</v>
      </c>
      <c r="C1217" s="638" t="s">
        <v>5387</v>
      </c>
      <c r="D1217" s="638" t="s">
        <v>7269</v>
      </c>
      <c r="E1217" s="638" t="s">
        <v>5389</v>
      </c>
      <c r="F1217" s="638" t="s">
        <v>7017</v>
      </c>
      <c r="G1217" s="802"/>
      <c r="H1217" s="640"/>
      <c r="I1217" s="641"/>
      <c r="J1217" s="642"/>
      <c r="K1217" s="805"/>
      <c r="L1217" s="799"/>
    </row>
    <row r="1218" spans="1:12" s="598" customFormat="1">
      <c r="A1218" s="607">
        <v>1210</v>
      </c>
      <c r="B1218" s="609" t="s">
        <v>5366</v>
      </c>
      <c r="C1218" s="638" t="s">
        <v>5387</v>
      </c>
      <c r="D1218" s="638" t="s">
        <v>7021</v>
      </c>
      <c r="E1218" s="638" t="s">
        <v>5487</v>
      </c>
      <c r="F1218" s="638" t="s">
        <v>7022</v>
      </c>
      <c r="G1218" s="802"/>
      <c r="H1218" s="640"/>
      <c r="I1218" s="641"/>
      <c r="J1218" s="642"/>
      <c r="K1218" s="805"/>
      <c r="L1218" s="799"/>
    </row>
    <row r="1219" spans="1:12" s="598" customFormat="1">
      <c r="A1219" s="607">
        <v>1211</v>
      </c>
      <c r="B1219" s="609" t="s">
        <v>5366</v>
      </c>
      <c r="C1219" s="638" t="s">
        <v>5387</v>
      </c>
      <c r="D1219" s="638" t="s">
        <v>7269</v>
      </c>
      <c r="E1219" s="638" t="s">
        <v>5389</v>
      </c>
      <c r="F1219" s="638" t="s">
        <v>7023</v>
      </c>
      <c r="G1219" s="802"/>
      <c r="H1219" s="640"/>
      <c r="I1219" s="641"/>
      <c r="J1219" s="642"/>
      <c r="K1219" s="805"/>
      <c r="L1219" s="799"/>
    </row>
    <row r="1220" spans="1:12" s="598" customFormat="1">
      <c r="A1220" s="607">
        <v>1212</v>
      </c>
      <c r="B1220" s="609" t="s">
        <v>5366</v>
      </c>
      <c r="C1220" s="638" t="s">
        <v>5387</v>
      </c>
      <c r="D1220" s="638" t="s">
        <v>7269</v>
      </c>
      <c r="E1220" s="638" t="s">
        <v>5487</v>
      </c>
      <c r="F1220" s="638" t="s">
        <v>7024</v>
      </c>
      <c r="G1220" s="802"/>
      <c r="H1220" s="640"/>
      <c r="I1220" s="641"/>
      <c r="J1220" s="642"/>
      <c r="K1220" s="805"/>
      <c r="L1220" s="799"/>
    </row>
    <row r="1221" spans="1:12" s="598" customFormat="1">
      <c r="A1221" s="607">
        <v>1213</v>
      </c>
      <c r="B1221" s="609" t="s">
        <v>5366</v>
      </c>
      <c r="C1221" s="638" t="s">
        <v>5387</v>
      </c>
      <c r="D1221" s="638" t="s">
        <v>5373</v>
      </c>
      <c r="E1221" s="638" t="s">
        <v>5397</v>
      </c>
      <c r="F1221" s="638" t="s">
        <v>7025</v>
      </c>
      <c r="G1221" s="803"/>
      <c r="H1221" s="640"/>
      <c r="I1221" s="641"/>
      <c r="J1221" s="642"/>
      <c r="K1221" s="806"/>
      <c r="L1221" s="800"/>
    </row>
    <row r="1222" spans="1:12" s="598" customFormat="1">
      <c r="A1222" s="607">
        <v>1214</v>
      </c>
      <c r="B1222" s="609" t="s">
        <v>5366</v>
      </c>
      <c r="C1222" s="638" t="s">
        <v>5367</v>
      </c>
      <c r="D1222" s="638" t="s">
        <v>6968</v>
      </c>
      <c r="E1222" s="638" t="s">
        <v>5385</v>
      </c>
      <c r="F1222" s="638" t="s">
        <v>6969</v>
      </c>
      <c r="G1222" s="801">
        <v>750</v>
      </c>
      <c r="H1222" s="640"/>
      <c r="I1222" s="641"/>
      <c r="J1222" s="642"/>
      <c r="K1222" s="804" t="s">
        <v>7270</v>
      </c>
      <c r="L1222" s="798" t="s">
        <v>7271</v>
      </c>
    </row>
    <row r="1223" spans="1:12" s="598" customFormat="1">
      <c r="A1223" s="607">
        <v>1215</v>
      </c>
      <c r="B1223" s="609" t="s">
        <v>5366</v>
      </c>
      <c r="C1223" s="638" t="s">
        <v>5378</v>
      </c>
      <c r="D1223" s="638" t="s">
        <v>5452</v>
      </c>
      <c r="E1223" s="638" t="s">
        <v>5385</v>
      </c>
      <c r="F1223" s="638" t="s">
        <v>6971</v>
      </c>
      <c r="G1223" s="802"/>
      <c r="H1223" s="640"/>
      <c r="I1223" s="641"/>
      <c r="J1223" s="642"/>
      <c r="K1223" s="805"/>
      <c r="L1223" s="799"/>
    </row>
    <row r="1224" spans="1:12" s="598" customFormat="1">
      <c r="A1224" s="607">
        <v>1216</v>
      </c>
      <c r="B1224" s="609" t="s">
        <v>5366</v>
      </c>
      <c r="C1224" s="638" t="s">
        <v>5378</v>
      </c>
      <c r="D1224" s="638" t="s">
        <v>5452</v>
      </c>
      <c r="E1224" s="638" t="s">
        <v>5397</v>
      </c>
      <c r="F1224" s="638" t="s">
        <v>6972</v>
      </c>
      <c r="G1224" s="802"/>
      <c r="H1224" s="640"/>
      <c r="I1224" s="641"/>
      <c r="J1224" s="642"/>
      <c r="K1224" s="805"/>
      <c r="L1224" s="799"/>
    </row>
    <row r="1225" spans="1:12" s="598" customFormat="1">
      <c r="A1225" s="607">
        <v>1217</v>
      </c>
      <c r="B1225" s="609" t="s">
        <v>5366</v>
      </c>
      <c r="C1225" s="638" t="s">
        <v>5367</v>
      </c>
      <c r="D1225" s="638" t="s">
        <v>6968</v>
      </c>
      <c r="E1225" s="638" t="s">
        <v>5418</v>
      </c>
      <c r="F1225" s="638" t="s">
        <v>6973</v>
      </c>
      <c r="G1225" s="802"/>
      <c r="H1225" s="640"/>
      <c r="I1225" s="641"/>
      <c r="J1225" s="642"/>
      <c r="K1225" s="805"/>
      <c r="L1225" s="799"/>
    </row>
    <row r="1226" spans="1:12" s="598" customFormat="1">
      <c r="A1226" s="607">
        <v>1218</v>
      </c>
      <c r="B1226" s="609" t="s">
        <v>5366</v>
      </c>
      <c r="C1226" s="638" t="s">
        <v>5367</v>
      </c>
      <c r="D1226" s="638" t="s">
        <v>6968</v>
      </c>
      <c r="E1226" s="638" t="s">
        <v>5418</v>
      </c>
      <c r="F1226" s="638" t="s">
        <v>6974</v>
      </c>
      <c r="G1226" s="802"/>
      <c r="H1226" s="640"/>
      <c r="I1226" s="641"/>
      <c r="J1226" s="642"/>
      <c r="K1226" s="805"/>
      <c r="L1226" s="799"/>
    </row>
    <row r="1227" spans="1:12" s="598" customFormat="1">
      <c r="A1227" s="607">
        <v>1219</v>
      </c>
      <c r="B1227" s="609" t="s">
        <v>5366</v>
      </c>
      <c r="C1227" s="638" t="s">
        <v>5367</v>
      </c>
      <c r="D1227" s="638" t="s">
        <v>6968</v>
      </c>
      <c r="E1227" s="638" t="s">
        <v>5517</v>
      </c>
      <c r="F1227" s="638" t="s">
        <v>6975</v>
      </c>
      <c r="G1227" s="802"/>
      <c r="H1227" s="640"/>
      <c r="I1227" s="641"/>
      <c r="J1227" s="642"/>
      <c r="K1227" s="805"/>
      <c r="L1227" s="799"/>
    </row>
    <row r="1228" spans="1:12" s="598" customFormat="1">
      <c r="A1228" s="607">
        <v>1220</v>
      </c>
      <c r="B1228" s="609" t="s">
        <v>5366</v>
      </c>
      <c r="C1228" s="638" t="s">
        <v>5378</v>
      </c>
      <c r="D1228" s="638" t="s">
        <v>5452</v>
      </c>
      <c r="E1228" s="638" t="s">
        <v>5507</v>
      </c>
      <c r="F1228" s="638" t="s">
        <v>6976</v>
      </c>
      <c r="G1228" s="802"/>
      <c r="H1228" s="640"/>
      <c r="I1228" s="641"/>
      <c r="J1228" s="642"/>
      <c r="K1228" s="805"/>
      <c r="L1228" s="799"/>
    </row>
    <row r="1229" spans="1:12" s="598" customFormat="1">
      <c r="A1229" s="607">
        <v>1221</v>
      </c>
      <c r="B1229" s="609" t="s">
        <v>5366</v>
      </c>
      <c r="C1229" s="638" t="s">
        <v>5378</v>
      </c>
      <c r="D1229" s="638" t="s">
        <v>5452</v>
      </c>
      <c r="E1229" s="638" t="s">
        <v>5411</v>
      </c>
      <c r="F1229" s="638" t="s">
        <v>6977</v>
      </c>
      <c r="G1229" s="802"/>
      <c r="H1229" s="640"/>
      <c r="I1229" s="641"/>
      <c r="J1229" s="642"/>
      <c r="K1229" s="805"/>
      <c r="L1229" s="799"/>
    </row>
    <row r="1230" spans="1:12" s="598" customFormat="1">
      <c r="A1230" s="607">
        <v>1222</v>
      </c>
      <c r="B1230" s="609" t="s">
        <v>5366</v>
      </c>
      <c r="C1230" s="638" t="s">
        <v>5378</v>
      </c>
      <c r="D1230" s="638" t="s">
        <v>5452</v>
      </c>
      <c r="E1230" s="638" t="s">
        <v>5507</v>
      </c>
      <c r="F1230" s="638" t="s">
        <v>6978</v>
      </c>
      <c r="G1230" s="802"/>
      <c r="H1230" s="640"/>
      <c r="I1230" s="641"/>
      <c r="J1230" s="642"/>
      <c r="K1230" s="805"/>
      <c r="L1230" s="799"/>
    </row>
    <row r="1231" spans="1:12" s="598" customFormat="1">
      <c r="A1231" s="607">
        <v>1223</v>
      </c>
      <c r="B1231" s="609" t="s">
        <v>5366</v>
      </c>
      <c r="C1231" s="638" t="s">
        <v>5378</v>
      </c>
      <c r="D1231" s="638" t="s">
        <v>5452</v>
      </c>
      <c r="E1231" s="638" t="s">
        <v>5418</v>
      </c>
      <c r="F1231" s="638" t="s">
        <v>6979</v>
      </c>
      <c r="G1231" s="803"/>
      <c r="H1231" s="640"/>
      <c r="I1231" s="641"/>
      <c r="J1231" s="642"/>
      <c r="K1231" s="806"/>
      <c r="L1231" s="800"/>
    </row>
    <row r="1232" spans="1:12" s="598" customFormat="1">
      <c r="A1232" s="607">
        <v>1224</v>
      </c>
      <c r="B1232" s="609" t="s">
        <v>5366</v>
      </c>
      <c r="C1232" s="638" t="s">
        <v>5372</v>
      </c>
      <c r="D1232" s="638" t="s">
        <v>7061</v>
      </c>
      <c r="E1232" s="638" t="s">
        <v>5374</v>
      </c>
      <c r="F1232" s="638" t="s">
        <v>5546</v>
      </c>
      <c r="G1232" s="639">
        <v>56.25</v>
      </c>
      <c r="H1232" s="640"/>
      <c r="I1232" s="641"/>
      <c r="J1232" s="642"/>
      <c r="K1232" s="643" t="s">
        <v>5547</v>
      </c>
      <c r="L1232" s="641" t="s">
        <v>7272</v>
      </c>
    </row>
    <row r="1233" spans="1:12" s="598" customFormat="1">
      <c r="A1233" s="607">
        <v>1225</v>
      </c>
      <c r="B1233" s="609" t="s">
        <v>5366</v>
      </c>
      <c r="C1233" s="638" t="s">
        <v>5505</v>
      </c>
      <c r="D1233" s="638" t="s">
        <v>6379</v>
      </c>
      <c r="E1233" s="638" t="s">
        <v>5389</v>
      </c>
      <c r="F1233" s="638" t="s">
        <v>7066</v>
      </c>
      <c r="G1233" s="639">
        <v>75</v>
      </c>
      <c r="H1233" s="640"/>
      <c r="I1233" s="641"/>
      <c r="J1233" s="642"/>
      <c r="K1233" s="643" t="s">
        <v>7067</v>
      </c>
      <c r="L1233" s="641" t="s">
        <v>7273</v>
      </c>
    </row>
    <row r="1234" spans="1:12" s="598" customFormat="1">
      <c r="A1234" s="607">
        <v>1226</v>
      </c>
      <c r="B1234" s="609" t="s">
        <v>5366</v>
      </c>
      <c r="C1234" s="638" t="s">
        <v>5387</v>
      </c>
      <c r="D1234" s="638" t="s">
        <v>7274</v>
      </c>
      <c r="E1234" s="638" t="s">
        <v>5487</v>
      </c>
      <c r="F1234" s="638" t="s">
        <v>7026</v>
      </c>
      <c r="G1234" s="639">
        <v>75</v>
      </c>
      <c r="H1234" s="640"/>
      <c r="I1234" s="641"/>
      <c r="J1234" s="642"/>
      <c r="K1234" s="643" t="s">
        <v>7027</v>
      </c>
      <c r="L1234" s="641" t="s">
        <v>7028</v>
      </c>
    </row>
    <row r="1235" spans="1:12" s="598" customFormat="1">
      <c r="A1235" s="607">
        <v>1227</v>
      </c>
      <c r="B1235" s="609" t="s">
        <v>5366</v>
      </c>
      <c r="C1235" s="638" t="s">
        <v>5387</v>
      </c>
      <c r="D1235" s="638" t="s">
        <v>7275</v>
      </c>
      <c r="E1235" s="638" t="s">
        <v>5403</v>
      </c>
      <c r="F1235" s="638" t="s">
        <v>7029</v>
      </c>
      <c r="G1235" s="639">
        <v>75</v>
      </c>
      <c r="H1235" s="640"/>
      <c r="I1235" s="641"/>
      <c r="J1235" s="642"/>
      <c r="K1235" s="643" t="s">
        <v>7030</v>
      </c>
      <c r="L1235" s="641" t="s">
        <v>7031</v>
      </c>
    </row>
    <row r="1236" spans="1:12" s="598" customFormat="1">
      <c r="A1236" s="607">
        <v>1228</v>
      </c>
      <c r="B1236" s="609" t="s">
        <v>5366</v>
      </c>
      <c r="C1236" s="638" t="s">
        <v>5387</v>
      </c>
      <c r="D1236" s="638" t="s">
        <v>7275</v>
      </c>
      <c r="E1236" s="638" t="s">
        <v>5418</v>
      </c>
      <c r="F1236" s="638" t="s">
        <v>7046</v>
      </c>
      <c r="G1236" s="639">
        <v>62.5</v>
      </c>
      <c r="H1236" s="643" t="s">
        <v>7047</v>
      </c>
      <c r="I1236" s="641" t="s">
        <v>7048</v>
      </c>
      <c r="J1236" s="641" t="s">
        <v>7049</v>
      </c>
      <c r="K1236" s="643"/>
      <c r="L1236" s="641"/>
    </row>
    <row r="1237" spans="1:12" s="598" customFormat="1">
      <c r="A1237" s="607">
        <v>1229</v>
      </c>
      <c r="B1237" s="609" t="s">
        <v>5366</v>
      </c>
      <c r="C1237" s="638" t="s">
        <v>5505</v>
      </c>
      <c r="D1237" s="638" t="s">
        <v>6116</v>
      </c>
      <c r="E1237" s="638" t="s">
        <v>5507</v>
      </c>
      <c r="F1237" s="638" t="s">
        <v>6117</v>
      </c>
      <c r="G1237" s="639">
        <v>62.5</v>
      </c>
      <c r="H1237" s="643" t="s">
        <v>6118</v>
      </c>
      <c r="I1237" s="641" t="s">
        <v>7276</v>
      </c>
      <c r="J1237" s="641" t="s">
        <v>7277</v>
      </c>
      <c r="K1237" s="643"/>
      <c r="L1237" s="641"/>
    </row>
    <row r="1238" spans="1:12" s="598" customFormat="1">
      <c r="A1238" s="607">
        <v>1230</v>
      </c>
      <c r="B1238" s="609" t="s">
        <v>5366</v>
      </c>
      <c r="C1238" s="638" t="s">
        <v>5505</v>
      </c>
      <c r="D1238" s="638" t="s">
        <v>6120</v>
      </c>
      <c r="E1238" s="638" t="s">
        <v>5599</v>
      </c>
      <c r="F1238" s="638" t="s">
        <v>6121</v>
      </c>
      <c r="G1238" s="639">
        <v>62.5</v>
      </c>
      <c r="H1238" s="640"/>
      <c r="I1238" s="641"/>
      <c r="J1238" s="642"/>
      <c r="K1238" s="643" t="s">
        <v>6122</v>
      </c>
      <c r="L1238" s="641" t="s">
        <v>7278</v>
      </c>
    </row>
    <row r="1239" spans="1:12" s="598" customFormat="1">
      <c r="A1239" s="607">
        <v>1231</v>
      </c>
      <c r="B1239" s="609" t="s">
        <v>5366</v>
      </c>
      <c r="C1239" s="638" t="s">
        <v>6036</v>
      </c>
      <c r="D1239" s="638" t="s">
        <v>6037</v>
      </c>
      <c r="E1239" s="638" t="s">
        <v>5517</v>
      </c>
      <c r="F1239" s="638" t="s">
        <v>6038</v>
      </c>
      <c r="G1239" s="639">
        <v>150</v>
      </c>
      <c r="H1239" s="640"/>
      <c r="I1239" s="641"/>
      <c r="J1239" s="642"/>
      <c r="K1239" s="643" t="s">
        <v>6039</v>
      </c>
      <c r="L1239" s="641" t="s">
        <v>7279</v>
      </c>
    </row>
    <row r="1240" spans="1:12" s="598" customFormat="1">
      <c r="A1240" s="607">
        <v>1232</v>
      </c>
      <c r="B1240" s="609" t="s">
        <v>5347</v>
      </c>
      <c r="C1240" s="638" t="s">
        <v>5378</v>
      </c>
      <c r="D1240" s="638" t="s">
        <v>7280</v>
      </c>
      <c r="E1240" s="638" t="s">
        <v>5599</v>
      </c>
      <c r="F1240" s="638" t="s">
        <v>7281</v>
      </c>
      <c r="G1240" s="639">
        <v>875</v>
      </c>
      <c r="H1240" s="640"/>
      <c r="I1240" s="641"/>
      <c r="J1240" s="642"/>
      <c r="K1240" s="643" t="s">
        <v>7282</v>
      </c>
      <c r="L1240" s="641" t="s">
        <v>7283</v>
      </c>
    </row>
    <row r="1241" spans="1:12" s="598" customFormat="1">
      <c r="A1241" s="607">
        <v>1233</v>
      </c>
      <c r="B1241" s="609" t="s">
        <v>5366</v>
      </c>
      <c r="C1241" s="638" t="s">
        <v>5378</v>
      </c>
      <c r="D1241" s="638" t="s">
        <v>6343</v>
      </c>
      <c r="E1241" s="638"/>
      <c r="F1241" s="638" t="s">
        <v>7284</v>
      </c>
      <c r="G1241" s="639">
        <v>1050</v>
      </c>
      <c r="H1241" s="640"/>
      <c r="I1241" s="641"/>
      <c r="J1241" s="642"/>
      <c r="K1241" s="643" t="s">
        <v>7285</v>
      </c>
      <c r="L1241" s="641" t="s">
        <v>7286</v>
      </c>
    </row>
    <row r="1242" spans="1:12" s="598" customFormat="1">
      <c r="A1242" s="607">
        <v>1234</v>
      </c>
      <c r="B1242" s="609" t="s">
        <v>6281</v>
      </c>
      <c r="C1242" s="638" t="s">
        <v>5387</v>
      </c>
      <c r="D1242" s="638" t="s">
        <v>7287</v>
      </c>
      <c r="E1242" s="638" t="s">
        <v>5426</v>
      </c>
      <c r="F1242" s="638" t="s">
        <v>7288</v>
      </c>
      <c r="G1242" s="639">
        <v>250</v>
      </c>
      <c r="H1242" s="640"/>
      <c r="I1242" s="641"/>
      <c r="J1242" s="642"/>
      <c r="K1242" s="643" t="s">
        <v>7289</v>
      </c>
      <c r="L1242" s="641" t="s">
        <v>7290</v>
      </c>
    </row>
    <row r="1243" spans="1:12" s="598" customFormat="1">
      <c r="A1243" s="607">
        <v>1235</v>
      </c>
      <c r="B1243" s="609" t="s">
        <v>5366</v>
      </c>
      <c r="C1243" s="638" t="s">
        <v>5505</v>
      </c>
      <c r="D1243" s="638" t="s">
        <v>5415</v>
      </c>
      <c r="E1243" s="638" t="s">
        <v>5497</v>
      </c>
      <c r="F1243" s="638" t="s">
        <v>6180</v>
      </c>
      <c r="G1243" s="639">
        <v>1200</v>
      </c>
      <c r="H1243" s="640" t="s">
        <v>6181</v>
      </c>
      <c r="I1243" s="641" t="s">
        <v>6182</v>
      </c>
      <c r="J1243" s="642" t="s">
        <v>6183</v>
      </c>
      <c r="K1243" s="643"/>
      <c r="L1243" s="641"/>
    </row>
    <row r="1244" spans="1:12" s="598" customFormat="1">
      <c r="A1244" s="607">
        <v>1236</v>
      </c>
      <c r="B1244" s="609" t="s">
        <v>5366</v>
      </c>
      <c r="C1244" s="638" t="s">
        <v>5527</v>
      </c>
      <c r="D1244" s="638" t="s">
        <v>5528</v>
      </c>
      <c r="E1244" s="638" t="s">
        <v>5411</v>
      </c>
      <c r="F1244" s="638" t="s">
        <v>7291</v>
      </c>
      <c r="G1244" s="639">
        <v>1200</v>
      </c>
      <c r="H1244" s="640"/>
      <c r="I1244" s="641"/>
      <c r="J1244" s="642"/>
      <c r="K1244" s="643" t="s">
        <v>3927</v>
      </c>
      <c r="L1244" s="641" t="s">
        <v>7292</v>
      </c>
    </row>
    <row r="1245" spans="1:12" s="598" customFormat="1">
      <c r="A1245" s="607">
        <v>1237</v>
      </c>
      <c r="B1245" s="609" t="s">
        <v>5366</v>
      </c>
      <c r="C1245" s="638" t="s">
        <v>5505</v>
      </c>
      <c r="D1245" s="638" t="s">
        <v>5452</v>
      </c>
      <c r="E1245" s="638" t="s">
        <v>5764</v>
      </c>
      <c r="F1245" s="638" t="s">
        <v>7293</v>
      </c>
      <c r="G1245" s="639">
        <v>1000</v>
      </c>
      <c r="H1245" s="640"/>
      <c r="I1245" s="641"/>
      <c r="J1245" s="642"/>
      <c r="K1245" s="643" t="s">
        <v>3924</v>
      </c>
      <c r="L1245" s="641" t="s">
        <v>7294</v>
      </c>
    </row>
    <row r="1246" spans="1:12" s="598" customFormat="1">
      <c r="A1246" s="607">
        <v>1238</v>
      </c>
      <c r="B1246" s="610" t="s">
        <v>5347</v>
      </c>
      <c r="C1246" s="638" t="s">
        <v>7295</v>
      </c>
      <c r="D1246" s="638" t="s">
        <v>7296</v>
      </c>
      <c r="E1246" s="638" t="s">
        <v>6144</v>
      </c>
      <c r="F1246" s="638" t="s">
        <v>7297</v>
      </c>
      <c r="G1246" s="639">
        <v>300</v>
      </c>
      <c r="H1246" s="640"/>
      <c r="I1246" s="641"/>
      <c r="J1246" s="642"/>
      <c r="K1246" s="798">
        <v>206276340</v>
      </c>
      <c r="L1246" s="798" t="s">
        <v>2906</v>
      </c>
    </row>
    <row r="1247" spans="1:12" s="598" customFormat="1">
      <c r="A1247" s="607">
        <v>1239</v>
      </c>
      <c r="B1247" s="610" t="s">
        <v>5347</v>
      </c>
      <c r="C1247" s="638" t="s">
        <v>7295</v>
      </c>
      <c r="D1247" s="638" t="s">
        <v>7296</v>
      </c>
      <c r="E1247" s="638" t="s">
        <v>6144</v>
      </c>
      <c r="F1247" s="638" t="s">
        <v>7298</v>
      </c>
      <c r="G1247" s="639">
        <v>300</v>
      </c>
      <c r="H1247" s="640"/>
      <c r="I1247" s="641"/>
      <c r="J1247" s="642"/>
      <c r="K1247" s="799"/>
      <c r="L1247" s="799"/>
    </row>
    <row r="1248" spans="1:12" s="598" customFormat="1">
      <c r="A1248" s="607">
        <v>1240</v>
      </c>
      <c r="B1248" s="610" t="s">
        <v>5347</v>
      </c>
      <c r="C1248" s="638" t="s">
        <v>7295</v>
      </c>
      <c r="D1248" s="638" t="s">
        <v>7296</v>
      </c>
      <c r="E1248" s="638" t="s">
        <v>6144</v>
      </c>
      <c r="F1248" s="638" t="s">
        <v>7299</v>
      </c>
      <c r="G1248" s="639">
        <v>300</v>
      </c>
      <c r="H1248" s="640"/>
      <c r="I1248" s="641"/>
      <c r="J1248" s="642"/>
      <c r="K1248" s="799"/>
      <c r="L1248" s="799"/>
    </row>
    <row r="1249" spans="1:12" s="598" customFormat="1">
      <c r="A1249" s="607">
        <v>1241</v>
      </c>
      <c r="B1249" s="610" t="s">
        <v>5347</v>
      </c>
      <c r="C1249" s="638" t="s">
        <v>7295</v>
      </c>
      <c r="D1249" s="638" t="s">
        <v>7296</v>
      </c>
      <c r="E1249" s="638" t="s">
        <v>6144</v>
      </c>
      <c r="F1249" s="638" t="s">
        <v>7300</v>
      </c>
      <c r="G1249" s="639">
        <v>300</v>
      </c>
      <c r="H1249" s="640"/>
      <c r="I1249" s="641"/>
      <c r="J1249" s="642"/>
      <c r="K1249" s="800"/>
      <c r="L1249" s="800"/>
    </row>
    <row r="1250" spans="1:12" s="598" customFormat="1">
      <c r="A1250" s="607">
        <v>1242</v>
      </c>
      <c r="B1250" s="609" t="s">
        <v>5366</v>
      </c>
      <c r="C1250" s="638" t="s">
        <v>5378</v>
      </c>
      <c r="D1250" s="638" t="s">
        <v>6839</v>
      </c>
      <c r="E1250" s="638" t="s">
        <v>5418</v>
      </c>
      <c r="F1250" s="638" t="s">
        <v>6840</v>
      </c>
      <c r="G1250" s="639">
        <v>187.5</v>
      </c>
      <c r="H1250" s="640"/>
      <c r="I1250" s="641"/>
      <c r="J1250" s="642"/>
      <c r="K1250" s="641" t="s">
        <v>6841</v>
      </c>
      <c r="L1250" s="641" t="s">
        <v>6842</v>
      </c>
    </row>
    <row r="1251" spans="1:12" s="598" customFormat="1">
      <c r="A1251" s="607">
        <v>1243</v>
      </c>
      <c r="B1251" s="609" t="s">
        <v>5366</v>
      </c>
      <c r="C1251" s="638" t="s">
        <v>5378</v>
      </c>
      <c r="D1251" s="638" t="s">
        <v>5578</v>
      </c>
      <c r="E1251" s="638" t="s">
        <v>5397</v>
      </c>
      <c r="F1251" s="638" t="s">
        <v>6843</v>
      </c>
      <c r="G1251" s="639">
        <v>187.5</v>
      </c>
      <c r="H1251" s="640"/>
      <c r="I1251" s="641"/>
      <c r="J1251" s="642"/>
      <c r="K1251" s="641" t="s">
        <v>6844</v>
      </c>
      <c r="L1251" s="641" t="s">
        <v>6845</v>
      </c>
    </row>
    <row r="1252" spans="1:12" s="598" customFormat="1">
      <c r="A1252" s="607">
        <v>1244</v>
      </c>
      <c r="B1252" s="609" t="s">
        <v>5366</v>
      </c>
      <c r="C1252" s="638" t="s">
        <v>5367</v>
      </c>
      <c r="D1252" s="638" t="s">
        <v>6846</v>
      </c>
      <c r="E1252" s="638" t="s">
        <v>5497</v>
      </c>
      <c r="F1252" s="638" t="s">
        <v>6847</v>
      </c>
      <c r="G1252" s="639">
        <v>187.5</v>
      </c>
      <c r="H1252" s="641" t="s">
        <v>6848</v>
      </c>
      <c r="I1252" s="641" t="s">
        <v>6849</v>
      </c>
      <c r="J1252" s="642" t="s">
        <v>6850</v>
      </c>
      <c r="K1252" s="641"/>
      <c r="L1252" s="641"/>
    </row>
    <row r="1253" spans="1:12" s="598" customFormat="1" ht="30">
      <c r="A1253" s="607">
        <v>1245</v>
      </c>
      <c r="B1253" s="609" t="s">
        <v>5366</v>
      </c>
      <c r="C1253" s="638" t="s">
        <v>5821</v>
      </c>
      <c r="D1253" s="638" t="s">
        <v>7301</v>
      </c>
      <c r="E1253" s="638" t="s">
        <v>7302</v>
      </c>
      <c r="F1253" s="638" t="s">
        <v>7303</v>
      </c>
      <c r="G1253" s="639">
        <v>456</v>
      </c>
      <c r="H1253" s="640"/>
      <c r="I1253" s="641"/>
      <c r="J1253" s="642"/>
      <c r="K1253" s="641">
        <v>202886788</v>
      </c>
      <c r="L1253" s="641" t="s">
        <v>7304</v>
      </c>
    </row>
    <row r="1254" spans="1:12" s="598" customFormat="1">
      <c r="A1254" s="607">
        <v>1246</v>
      </c>
      <c r="B1254" s="609" t="s">
        <v>5366</v>
      </c>
      <c r="C1254" s="638" t="s">
        <v>5378</v>
      </c>
      <c r="D1254" s="638" t="s">
        <v>6343</v>
      </c>
      <c r="E1254" s="638"/>
      <c r="F1254" s="638" t="s">
        <v>7284</v>
      </c>
      <c r="G1254" s="639">
        <v>2100</v>
      </c>
      <c r="H1254" s="640"/>
      <c r="I1254" s="641"/>
      <c r="J1254" s="642"/>
      <c r="K1254" s="641" t="s">
        <v>7285</v>
      </c>
      <c r="L1254" s="641" t="s">
        <v>7286</v>
      </c>
    </row>
    <row r="1255" spans="1:12" s="598" customFormat="1">
      <c r="A1255" s="607">
        <v>1247</v>
      </c>
      <c r="B1255" s="609" t="s">
        <v>5366</v>
      </c>
      <c r="C1255" s="638" t="s">
        <v>5527</v>
      </c>
      <c r="D1255" s="638" t="s">
        <v>6446</v>
      </c>
      <c r="E1255" s="638" t="s">
        <v>5529</v>
      </c>
      <c r="F1255" s="638" t="s">
        <v>7305</v>
      </c>
      <c r="G1255" s="639">
        <v>1995</v>
      </c>
      <c r="H1255" s="640" t="s">
        <v>3915</v>
      </c>
      <c r="I1255" s="641" t="s">
        <v>3913</v>
      </c>
      <c r="J1255" s="642" t="s">
        <v>3914</v>
      </c>
      <c r="K1255" s="641"/>
      <c r="L1255" s="641"/>
    </row>
    <row r="1256" spans="1:12" s="598" customFormat="1">
      <c r="A1256" s="607">
        <v>1248</v>
      </c>
      <c r="B1256" s="610" t="s">
        <v>5347</v>
      </c>
      <c r="C1256" s="638" t="s">
        <v>7295</v>
      </c>
      <c r="D1256" s="638" t="s">
        <v>7296</v>
      </c>
      <c r="E1256" s="638" t="s">
        <v>6144</v>
      </c>
      <c r="F1256" s="638" t="s">
        <v>7306</v>
      </c>
      <c r="G1256" s="639">
        <v>250</v>
      </c>
      <c r="H1256" s="640"/>
      <c r="I1256" s="641"/>
      <c r="J1256" s="642"/>
      <c r="K1256" s="798">
        <v>206276340</v>
      </c>
      <c r="L1256" s="798" t="s">
        <v>2906</v>
      </c>
    </row>
    <row r="1257" spans="1:12" s="598" customFormat="1">
      <c r="A1257" s="607">
        <v>1249</v>
      </c>
      <c r="B1257" s="610" t="s">
        <v>5347</v>
      </c>
      <c r="C1257" s="638" t="s">
        <v>7295</v>
      </c>
      <c r="D1257" s="638" t="s">
        <v>7296</v>
      </c>
      <c r="E1257" s="638" t="s">
        <v>6144</v>
      </c>
      <c r="F1257" s="638" t="s">
        <v>7307</v>
      </c>
      <c r="G1257" s="639">
        <v>250</v>
      </c>
      <c r="H1257" s="640"/>
      <c r="I1257" s="641"/>
      <c r="J1257" s="642"/>
      <c r="K1257" s="799"/>
      <c r="L1257" s="799"/>
    </row>
    <row r="1258" spans="1:12" s="598" customFormat="1">
      <c r="A1258" s="607">
        <v>1250</v>
      </c>
      <c r="B1258" s="610" t="s">
        <v>5347</v>
      </c>
      <c r="C1258" s="638" t="s">
        <v>7295</v>
      </c>
      <c r="D1258" s="638" t="s">
        <v>7296</v>
      </c>
      <c r="E1258" s="638" t="s">
        <v>6144</v>
      </c>
      <c r="F1258" s="638" t="s">
        <v>7308</v>
      </c>
      <c r="G1258" s="639">
        <v>250</v>
      </c>
      <c r="H1258" s="640"/>
      <c r="I1258" s="641"/>
      <c r="J1258" s="642"/>
      <c r="K1258" s="799"/>
      <c r="L1258" s="799"/>
    </row>
    <row r="1259" spans="1:12" s="598" customFormat="1">
      <c r="A1259" s="607">
        <v>1251</v>
      </c>
      <c r="B1259" s="610" t="s">
        <v>5347</v>
      </c>
      <c r="C1259" s="638" t="s">
        <v>7295</v>
      </c>
      <c r="D1259" s="638" t="s">
        <v>7296</v>
      </c>
      <c r="E1259" s="638" t="s">
        <v>6144</v>
      </c>
      <c r="F1259" s="638" t="s">
        <v>7309</v>
      </c>
      <c r="G1259" s="639">
        <v>250</v>
      </c>
      <c r="H1259" s="640"/>
      <c r="I1259" s="641"/>
      <c r="J1259" s="642"/>
      <c r="K1259" s="800"/>
      <c r="L1259" s="800"/>
    </row>
    <row r="1260" spans="1:12" s="598" customFormat="1">
      <c r="A1260" s="607">
        <v>1252</v>
      </c>
      <c r="B1260" s="609" t="s">
        <v>5366</v>
      </c>
      <c r="C1260" s="638" t="s">
        <v>5372</v>
      </c>
      <c r="D1260" s="638" t="s">
        <v>5373</v>
      </c>
      <c r="E1260" s="638" t="s">
        <v>5392</v>
      </c>
      <c r="F1260" s="638" t="s">
        <v>7310</v>
      </c>
      <c r="G1260" s="639">
        <v>375</v>
      </c>
      <c r="H1260" s="640" t="s">
        <v>7311</v>
      </c>
      <c r="I1260" s="641" t="s">
        <v>3877</v>
      </c>
      <c r="J1260" s="642" t="s">
        <v>7312</v>
      </c>
      <c r="K1260" s="641"/>
      <c r="L1260" s="641"/>
    </row>
    <row r="1261" spans="1:12" s="598" customFormat="1">
      <c r="A1261" s="607">
        <v>1253</v>
      </c>
      <c r="B1261" s="609" t="s">
        <v>5366</v>
      </c>
      <c r="C1261" s="638" t="s">
        <v>5372</v>
      </c>
      <c r="D1261" s="638" t="s">
        <v>5373</v>
      </c>
      <c r="E1261" s="638" t="s">
        <v>5389</v>
      </c>
      <c r="F1261" s="638" t="s">
        <v>7313</v>
      </c>
      <c r="G1261" s="639">
        <v>500</v>
      </c>
      <c r="H1261" s="640" t="s">
        <v>2868</v>
      </c>
      <c r="I1261" s="641" t="s">
        <v>3913</v>
      </c>
      <c r="J1261" s="642" t="s">
        <v>7314</v>
      </c>
      <c r="K1261" s="641"/>
      <c r="L1261" s="641"/>
    </row>
    <row r="1262" spans="1:12" s="598" customFormat="1">
      <c r="A1262" s="607">
        <v>1254</v>
      </c>
      <c r="B1262" s="609" t="s">
        <v>5366</v>
      </c>
      <c r="C1262" s="638" t="s">
        <v>5527</v>
      </c>
      <c r="D1262" s="638" t="s">
        <v>5452</v>
      </c>
      <c r="E1262" s="638" t="s">
        <v>5411</v>
      </c>
      <c r="F1262" s="638" t="s">
        <v>7291</v>
      </c>
      <c r="G1262" s="639">
        <v>1200</v>
      </c>
      <c r="H1262" s="640"/>
      <c r="I1262" s="641"/>
      <c r="J1262" s="642"/>
      <c r="K1262" s="641">
        <v>62006062043</v>
      </c>
      <c r="L1262" s="641" t="s">
        <v>7315</v>
      </c>
    </row>
    <row r="1263" spans="1:12" s="598" customFormat="1">
      <c r="A1263" s="607">
        <v>1255</v>
      </c>
      <c r="B1263" s="609" t="s">
        <v>5366</v>
      </c>
      <c r="C1263" s="638" t="s">
        <v>5505</v>
      </c>
      <c r="D1263" s="638" t="s">
        <v>5452</v>
      </c>
      <c r="E1263" s="638" t="s">
        <v>5764</v>
      </c>
      <c r="F1263" s="638" t="s">
        <v>7293</v>
      </c>
      <c r="G1263" s="639">
        <v>1000</v>
      </c>
      <c r="H1263" s="641"/>
      <c r="I1263" s="641"/>
      <c r="J1263" s="642"/>
      <c r="K1263" s="641">
        <v>37001006530</v>
      </c>
      <c r="L1263" s="641" t="s">
        <v>7316</v>
      </c>
    </row>
    <row r="1264" spans="1:12" s="598" customFormat="1">
      <c r="A1264" s="607">
        <v>1256</v>
      </c>
      <c r="B1264" s="609" t="s">
        <v>5366</v>
      </c>
      <c r="C1264" s="638" t="s">
        <v>5505</v>
      </c>
      <c r="D1264" s="638" t="s">
        <v>7317</v>
      </c>
      <c r="E1264" s="638" t="s">
        <v>5497</v>
      </c>
      <c r="F1264" s="638" t="s">
        <v>6180</v>
      </c>
      <c r="G1264" s="639">
        <v>1200</v>
      </c>
      <c r="H1264" s="640" t="s">
        <v>6181</v>
      </c>
      <c r="I1264" s="641" t="s">
        <v>6182</v>
      </c>
      <c r="J1264" s="642" t="s">
        <v>6183</v>
      </c>
      <c r="K1264" s="641"/>
      <c r="L1264" s="641"/>
    </row>
    <row r="1265" spans="1:12" s="598" customFormat="1">
      <c r="A1265" s="607">
        <v>1257</v>
      </c>
      <c r="B1265" s="609" t="s">
        <v>5366</v>
      </c>
      <c r="C1265" s="638" t="s">
        <v>5372</v>
      </c>
      <c r="D1265" s="638" t="s">
        <v>5373</v>
      </c>
      <c r="E1265" s="638" t="s">
        <v>5397</v>
      </c>
      <c r="F1265" s="638" t="s">
        <v>7318</v>
      </c>
      <c r="G1265" s="639">
        <v>375</v>
      </c>
      <c r="H1265" s="640" t="s">
        <v>7319</v>
      </c>
      <c r="I1265" s="641" t="s">
        <v>3928</v>
      </c>
      <c r="J1265" s="642" t="s">
        <v>3929</v>
      </c>
      <c r="K1265" s="641"/>
      <c r="L1265" s="641"/>
    </row>
    <row r="1266" spans="1:12" s="598" customFormat="1" ht="15.75">
      <c r="A1266" s="607">
        <v>1258</v>
      </c>
      <c r="B1266" s="586"/>
      <c r="C1266" s="638" t="s">
        <v>5372</v>
      </c>
      <c r="D1266" s="638" t="s">
        <v>7320</v>
      </c>
      <c r="E1266" s="638" t="s">
        <v>5397</v>
      </c>
      <c r="F1266" s="638" t="s">
        <v>7321</v>
      </c>
      <c r="G1266" s="639">
        <v>375</v>
      </c>
      <c r="H1266" s="640" t="s">
        <v>3932</v>
      </c>
      <c r="I1266" s="641" t="s">
        <v>7322</v>
      </c>
      <c r="J1266" s="642" t="s">
        <v>3931</v>
      </c>
      <c r="K1266" s="641"/>
      <c r="L1266" s="641"/>
    </row>
    <row r="1267" spans="1:12" s="598" customFormat="1">
      <c r="A1267" s="607">
        <v>1259</v>
      </c>
      <c r="B1267" s="609" t="s">
        <v>5366</v>
      </c>
      <c r="C1267" s="638" t="s">
        <v>5372</v>
      </c>
      <c r="D1267" s="638" t="s">
        <v>5373</v>
      </c>
      <c r="E1267" s="638" t="s">
        <v>5392</v>
      </c>
      <c r="F1267" s="638" t="s">
        <v>7310</v>
      </c>
      <c r="G1267" s="639">
        <v>375</v>
      </c>
      <c r="H1267" s="640" t="s">
        <v>7311</v>
      </c>
      <c r="I1267" s="641" t="s">
        <v>3877</v>
      </c>
      <c r="J1267" s="642" t="s">
        <v>7312</v>
      </c>
      <c r="K1267" s="641"/>
      <c r="L1267" s="641"/>
    </row>
    <row r="1268" spans="1:12" s="598" customFormat="1">
      <c r="A1268" s="607">
        <v>1260</v>
      </c>
      <c r="B1268" s="609" t="s">
        <v>5366</v>
      </c>
      <c r="C1268" s="638" t="s">
        <v>5372</v>
      </c>
      <c r="D1268" s="638" t="s">
        <v>5373</v>
      </c>
      <c r="E1268" s="638" t="s">
        <v>5385</v>
      </c>
      <c r="F1268" s="638" t="s">
        <v>7323</v>
      </c>
      <c r="G1268" s="639">
        <v>375</v>
      </c>
      <c r="H1268" s="640" t="s">
        <v>7324</v>
      </c>
      <c r="I1268" s="641" t="s">
        <v>7325</v>
      </c>
      <c r="J1268" s="642" t="s">
        <v>7326</v>
      </c>
      <c r="K1268" s="641"/>
      <c r="L1268" s="641"/>
    </row>
    <row r="1269" spans="1:12" s="598" customFormat="1">
      <c r="A1269" s="644"/>
      <c r="B1269" s="609"/>
      <c r="C1269" s="638"/>
      <c r="D1269" s="638"/>
      <c r="E1269" s="638"/>
      <c r="F1269" s="638"/>
      <c r="G1269" s="639"/>
      <c r="H1269" s="640"/>
      <c r="I1269" s="641"/>
      <c r="J1269" s="642"/>
      <c r="K1269" s="641"/>
      <c r="L1269" s="641"/>
    </row>
    <row r="1270" spans="1:12" s="598" customFormat="1">
      <c r="A1270" s="644" t="s">
        <v>7327</v>
      </c>
      <c r="B1270" s="644"/>
      <c r="C1270" s="645"/>
      <c r="D1270" s="645"/>
      <c r="E1270" s="645"/>
      <c r="F1270" s="645"/>
      <c r="G1270" s="645"/>
      <c r="H1270" s="645"/>
      <c r="I1270" s="646"/>
      <c r="J1270" s="646"/>
      <c r="K1270" s="646"/>
      <c r="L1270" s="645"/>
    </row>
    <row r="1271" spans="1:12">
      <c r="A1271" s="647"/>
      <c r="B1271" s="647"/>
      <c r="C1271" s="647"/>
      <c r="D1271" s="647"/>
      <c r="E1271" s="647"/>
      <c r="F1271" s="647"/>
      <c r="G1271" s="647"/>
      <c r="H1271" s="647"/>
      <c r="I1271" s="647"/>
      <c r="J1271" s="647"/>
      <c r="K1271" s="647"/>
      <c r="L1271" s="647"/>
    </row>
    <row r="1272" spans="1:12">
      <c r="A1272" s="647"/>
      <c r="B1272" s="647"/>
      <c r="C1272" s="647"/>
      <c r="D1272" s="647"/>
      <c r="E1272" s="647"/>
      <c r="F1272" s="647"/>
      <c r="G1272" s="647"/>
      <c r="H1272" s="647"/>
      <c r="I1272" s="647"/>
      <c r="J1272" s="647"/>
      <c r="K1272" s="647"/>
      <c r="L1272" s="647"/>
    </row>
    <row r="1273" spans="1:12">
      <c r="A1273" s="648"/>
      <c r="B1273" s="648"/>
      <c r="C1273" s="647"/>
      <c r="D1273" s="647"/>
      <c r="E1273" s="647"/>
      <c r="F1273" s="647"/>
      <c r="G1273" s="647"/>
      <c r="H1273" s="647"/>
      <c r="I1273" s="647"/>
      <c r="J1273" s="647"/>
      <c r="K1273" s="647"/>
      <c r="L1273" s="647"/>
    </row>
    <row r="1274" spans="1:12">
      <c r="A1274" s="647"/>
      <c r="B1274" s="647"/>
      <c r="C1274" s="649" t="s">
        <v>107</v>
      </c>
      <c r="D1274" s="647"/>
      <c r="E1274" s="647"/>
      <c r="F1274" s="650"/>
      <c r="G1274" s="647"/>
      <c r="H1274" s="647"/>
      <c r="I1274" s="647"/>
      <c r="J1274" s="647"/>
      <c r="K1274" s="647"/>
      <c r="L1274" s="647"/>
    </row>
    <row r="1275" spans="1:12">
      <c r="A1275" s="647"/>
      <c r="B1275" s="647"/>
      <c r="C1275" s="647"/>
      <c r="D1275" s="651"/>
      <c r="E1275" s="647"/>
      <c r="G1275" s="651"/>
      <c r="H1275" s="652"/>
    </row>
    <row r="1276" spans="1:12">
      <c r="C1276" s="647"/>
      <c r="D1276" s="653" t="s">
        <v>268</v>
      </c>
      <c r="E1276" s="647"/>
      <c r="G1276" s="654" t="s">
        <v>7328</v>
      </c>
    </row>
    <row r="1277" spans="1:12">
      <c r="C1277" s="647"/>
      <c r="D1277" s="655" t="s">
        <v>7329</v>
      </c>
      <c r="E1277" s="647"/>
      <c r="G1277" s="647" t="s">
        <v>269</v>
      </c>
    </row>
    <row r="1278" spans="1:12">
      <c r="C1278" s="647"/>
      <c r="D1278" s="655"/>
    </row>
  </sheetData>
  <mergeCells count="155">
    <mergeCell ref="G163:G165"/>
    <mergeCell ref="K163:K165"/>
    <mergeCell ref="L163:L165"/>
    <mergeCell ref="G166:G167"/>
    <mergeCell ref="K166:K167"/>
    <mergeCell ref="L166:L167"/>
    <mergeCell ref="G156:G158"/>
    <mergeCell ref="K156:K158"/>
    <mergeCell ref="L156:L158"/>
    <mergeCell ref="G161:G162"/>
    <mergeCell ref="K161:K162"/>
    <mergeCell ref="L161:L162"/>
    <mergeCell ref="G323:G351"/>
    <mergeCell ref="K323:K351"/>
    <mergeCell ref="L323:L351"/>
    <mergeCell ref="G352:G469"/>
    <mergeCell ref="K352:K469"/>
    <mergeCell ref="L352:L469"/>
    <mergeCell ref="G168:G169"/>
    <mergeCell ref="K168:K169"/>
    <mergeCell ref="L168:L169"/>
    <mergeCell ref="G202:G322"/>
    <mergeCell ref="K202:K322"/>
    <mergeCell ref="L202:L322"/>
    <mergeCell ref="G579:G666"/>
    <mergeCell ref="K579:K666"/>
    <mergeCell ref="L579:L666"/>
    <mergeCell ref="G667:G681"/>
    <mergeCell ref="K667:K681"/>
    <mergeCell ref="L667:L681"/>
    <mergeCell ref="K506:K508"/>
    <mergeCell ref="L506:L508"/>
    <mergeCell ref="G539:G544"/>
    <mergeCell ref="K539:K544"/>
    <mergeCell ref="L539:L544"/>
    <mergeCell ref="G551:G568"/>
    <mergeCell ref="K551:K568"/>
    <mergeCell ref="L551:L568"/>
    <mergeCell ref="G700:G709"/>
    <mergeCell ref="K700:K709"/>
    <mergeCell ref="L700:L709"/>
    <mergeCell ref="G710:G719"/>
    <mergeCell ref="K710:K719"/>
    <mergeCell ref="L710:L719"/>
    <mergeCell ref="G682:G685"/>
    <mergeCell ref="K682:K685"/>
    <mergeCell ref="L682:L685"/>
    <mergeCell ref="G690:G699"/>
    <mergeCell ref="K690:K699"/>
    <mergeCell ref="L690:L699"/>
    <mergeCell ref="G736:G765"/>
    <mergeCell ref="K736:K765"/>
    <mergeCell ref="L736:L765"/>
    <mergeCell ref="G766:G814"/>
    <mergeCell ref="K766:K814"/>
    <mergeCell ref="L766:L814"/>
    <mergeCell ref="G720:G729"/>
    <mergeCell ref="K720:K729"/>
    <mergeCell ref="L720:L729"/>
    <mergeCell ref="G730:G735"/>
    <mergeCell ref="K730:K735"/>
    <mergeCell ref="L730:L735"/>
    <mergeCell ref="G894:G900"/>
    <mergeCell ref="K894:K900"/>
    <mergeCell ref="L894:L900"/>
    <mergeCell ref="G823:G828"/>
    <mergeCell ref="K823:K828"/>
    <mergeCell ref="L823:L828"/>
    <mergeCell ref="G851:G862"/>
    <mergeCell ref="K851:K862"/>
    <mergeCell ref="L851:L862"/>
    <mergeCell ref="G863:G876"/>
    <mergeCell ref="K863:K876"/>
    <mergeCell ref="L863:L876"/>
    <mergeCell ref="K1256:K1259"/>
    <mergeCell ref="L1256:L1259"/>
    <mergeCell ref="L2:N2"/>
    <mergeCell ref="K13:K16"/>
    <mergeCell ref="L13:L16"/>
    <mergeCell ref="G1211:G1221"/>
    <mergeCell ref="K1211:K1221"/>
    <mergeCell ref="L1211:L1221"/>
    <mergeCell ref="G1222:G1231"/>
    <mergeCell ref="K1222:K1231"/>
    <mergeCell ref="L1222:L1231"/>
    <mergeCell ref="G1174:G1175"/>
    <mergeCell ref="K1174:K1175"/>
    <mergeCell ref="L1174:L1175"/>
    <mergeCell ref="G1176:G1178"/>
    <mergeCell ref="K1176:K1178"/>
    <mergeCell ref="L1176:L1178"/>
    <mergeCell ref="G1170:G1171"/>
    <mergeCell ref="K1170:K1171"/>
    <mergeCell ref="L1170:L1171"/>
    <mergeCell ref="G1172:G1173"/>
    <mergeCell ref="K1172:K1173"/>
    <mergeCell ref="L1172:L1173"/>
    <mergeCell ref="G1022:G1042"/>
    <mergeCell ref="K1246:K1249"/>
    <mergeCell ref="L1246:L1249"/>
    <mergeCell ref="K1022:K1042"/>
    <mergeCell ref="L1022:L1042"/>
    <mergeCell ref="G1057:G1166"/>
    <mergeCell ref="K1057:K1166"/>
    <mergeCell ref="L1057:L1166"/>
    <mergeCell ref="G914:G993"/>
    <mergeCell ref="K914:K993"/>
    <mergeCell ref="L914:L993"/>
    <mergeCell ref="G994:G1021"/>
    <mergeCell ref="K994:K1021"/>
    <mergeCell ref="L994:L1021"/>
    <mergeCell ref="G39:G43"/>
    <mergeCell ref="K39:K43"/>
    <mergeCell ref="L39:L43"/>
    <mergeCell ref="G54:G57"/>
    <mergeCell ref="K54:K57"/>
    <mergeCell ref="L54:L57"/>
    <mergeCell ref="G13:G16"/>
    <mergeCell ref="I13:I16"/>
    <mergeCell ref="J13:J16"/>
    <mergeCell ref="G17:G20"/>
    <mergeCell ref="I17:I20"/>
    <mergeCell ref="J17:J20"/>
    <mergeCell ref="K17:K20"/>
    <mergeCell ref="L17:L20"/>
    <mergeCell ref="G21:G24"/>
    <mergeCell ref="K21:K24"/>
    <mergeCell ref="L21:L24"/>
    <mergeCell ref="G25:G28"/>
    <mergeCell ref="K25:K28"/>
    <mergeCell ref="L25:L28"/>
    <mergeCell ref="G120:G129"/>
    <mergeCell ref="K120:K129"/>
    <mergeCell ref="L120:L129"/>
    <mergeCell ref="G134:G136"/>
    <mergeCell ref="K134:K136"/>
    <mergeCell ref="L134:L136"/>
    <mergeCell ref="G105:G108"/>
    <mergeCell ref="K105:K108"/>
    <mergeCell ref="L105:L108"/>
    <mergeCell ref="G110:G119"/>
    <mergeCell ref="K110:K119"/>
    <mergeCell ref="L110:L119"/>
    <mergeCell ref="G79:G85"/>
    <mergeCell ref="K79:K85"/>
    <mergeCell ref="L79:L85"/>
    <mergeCell ref="G92:G95"/>
    <mergeCell ref="K92:K95"/>
    <mergeCell ref="L92:L95"/>
    <mergeCell ref="G69:G70"/>
    <mergeCell ref="K69:K70"/>
    <mergeCell ref="L69:L70"/>
    <mergeCell ref="K73:K75"/>
    <mergeCell ref="L73:L75"/>
    <mergeCell ref="G73:G75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view="pageBreakPreview" topLeftCell="A19" zoomScale="80" zoomScaleNormal="100" zoomScaleSheetLayoutView="80" workbookViewId="0">
      <selection activeCell="K18" sqref="K18"/>
    </sheetView>
  </sheetViews>
  <sheetFormatPr defaultRowHeight="12.75"/>
  <cols>
    <col min="1" max="1" width="11.7109375" style="185" customWidth="1"/>
    <col min="2" max="2" width="43.28515625" style="185" customWidth="1"/>
    <col min="3" max="3" width="26.42578125" style="185" customWidth="1"/>
    <col min="4" max="4" width="23.7109375" style="185" customWidth="1"/>
    <col min="5" max="6" width="16.5703125" style="185" bestFit="1" customWidth="1"/>
    <col min="7" max="7" width="17" style="185" customWidth="1"/>
    <col min="8" max="8" width="19" style="185" customWidth="1"/>
    <col min="9" max="9" width="24.42578125" style="185" customWidth="1"/>
    <col min="10" max="16384" width="9.140625" style="185"/>
  </cols>
  <sheetData>
    <row r="1" spans="1:13" customFormat="1" ht="15">
      <c r="A1" s="137" t="s">
        <v>462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>
      <c r="A2" s="105" t="s">
        <v>140</v>
      </c>
      <c r="B2" s="138"/>
      <c r="C2" s="138"/>
      <c r="D2" s="138"/>
      <c r="E2" s="138"/>
      <c r="F2" s="138"/>
      <c r="G2" s="138"/>
      <c r="H2" s="144"/>
      <c r="I2" s="775" t="s">
        <v>515</v>
      </c>
      <c r="J2" s="775"/>
      <c r="K2" s="776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5"/>
    </row>
    <row r="4" spans="1:13" customFormat="1" ht="15">
      <c r="A4" s="76" t="str">
        <f>'[2]ფორმა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7"/>
    </row>
    <row r="5" spans="1:13" ht="15">
      <c r="A5" s="221" t="str">
        <f>'[2]ფორმა N1'!D4</f>
        <v>მ.პ.გ. ქართული ოცნება - დემოკრატიული საქართველო</v>
      </c>
      <c r="B5" s="80"/>
      <c r="C5" s="80"/>
      <c r="D5" s="223"/>
      <c r="E5" s="223"/>
      <c r="F5" s="223"/>
      <c r="G5" s="223"/>
      <c r="H5" s="223"/>
      <c r="I5" s="222"/>
    </row>
    <row r="6" spans="1:13" customFormat="1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674" t="s">
        <v>64</v>
      </c>
      <c r="B7" s="675" t="s">
        <v>385</v>
      </c>
      <c r="C7" s="675" t="s">
        <v>386</v>
      </c>
      <c r="D7" s="675" t="s">
        <v>391</v>
      </c>
      <c r="E7" s="675" t="s">
        <v>393</v>
      </c>
      <c r="F7" s="675" t="s">
        <v>387</v>
      </c>
      <c r="G7" s="675" t="s">
        <v>388</v>
      </c>
      <c r="H7" s="675" t="s">
        <v>400</v>
      </c>
      <c r="I7" s="675" t="s">
        <v>389</v>
      </c>
    </row>
    <row r="8" spans="1:13" customFormat="1" ht="15">
      <c r="A8" s="676">
        <v>1</v>
      </c>
      <c r="B8" s="676">
        <v>2</v>
      </c>
      <c r="C8" s="675">
        <v>3</v>
      </c>
      <c r="D8" s="676">
        <v>6</v>
      </c>
      <c r="E8" s="675">
        <v>7</v>
      </c>
      <c r="F8" s="676">
        <v>8</v>
      </c>
      <c r="G8" s="676">
        <v>9</v>
      </c>
      <c r="H8" s="676">
        <v>10</v>
      </c>
      <c r="I8" s="675">
        <v>11</v>
      </c>
    </row>
    <row r="9" spans="1:13" customFormat="1" ht="15.75">
      <c r="A9" s="660">
        <v>1</v>
      </c>
      <c r="B9" s="677" t="s">
        <v>7543</v>
      </c>
      <c r="C9" s="678"/>
      <c r="D9" s="793">
        <v>8000</v>
      </c>
      <c r="E9" s="678"/>
      <c r="F9" s="679"/>
      <c r="G9" s="679"/>
      <c r="H9" s="793">
        <v>205177057</v>
      </c>
      <c r="I9" s="793" t="s">
        <v>7544</v>
      </c>
    </row>
    <row r="10" spans="1:13" customFormat="1" ht="15.75">
      <c r="A10" s="660">
        <v>2</v>
      </c>
      <c r="B10" s="677" t="s">
        <v>7545</v>
      </c>
      <c r="C10" s="678"/>
      <c r="D10" s="794"/>
      <c r="E10" s="678"/>
      <c r="F10" s="679"/>
      <c r="G10" s="679"/>
      <c r="H10" s="794"/>
      <c r="I10" s="794"/>
    </row>
    <row r="11" spans="1:13" customFormat="1" ht="15.75">
      <c r="A11" s="660">
        <v>3</v>
      </c>
      <c r="B11" s="677" t="s">
        <v>7546</v>
      </c>
      <c r="C11" s="678"/>
      <c r="D11" s="794"/>
      <c r="E11" s="678"/>
      <c r="F11" s="679"/>
      <c r="G11" s="679"/>
      <c r="H11" s="794"/>
      <c r="I11" s="794"/>
    </row>
    <row r="12" spans="1:13" customFormat="1" ht="15.75">
      <c r="A12" s="660">
        <v>4</v>
      </c>
      <c r="B12" s="677" t="s">
        <v>7547</v>
      </c>
      <c r="C12" s="678"/>
      <c r="D12" s="794"/>
      <c r="E12" s="678"/>
      <c r="F12" s="679"/>
      <c r="G12" s="679"/>
      <c r="H12" s="794"/>
      <c r="I12" s="794"/>
    </row>
    <row r="13" spans="1:13" customFormat="1" ht="15.75">
      <c r="A13" s="660">
        <v>5</v>
      </c>
      <c r="B13" s="677" t="s">
        <v>7548</v>
      </c>
      <c r="C13" s="678"/>
      <c r="D13" s="794"/>
      <c r="E13" s="678"/>
      <c r="F13" s="679"/>
      <c r="G13" s="679"/>
      <c r="H13" s="794"/>
      <c r="I13" s="794"/>
    </row>
    <row r="14" spans="1:13" customFormat="1" ht="15.75">
      <c r="A14" s="660">
        <v>6</v>
      </c>
      <c r="B14" s="677" t="s">
        <v>7549</v>
      </c>
      <c r="C14" s="678"/>
      <c r="D14" s="794"/>
      <c r="E14" s="678"/>
      <c r="F14" s="679"/>
      <c r="G14" s="679"/>
      <c r="H14" s="794"/>
      <c r="I14" s="794"/>
    </row>
    <row r="15" spans="1:13" customFormat="1" ht="15.75">
      <c r="A15" s="660">
        <v>7</v>
      </c>
      <c r="B15" s="677" t="s">
        <v>7550</v>
      </c>
      <c r="C15" s="678"/>
      <c r="D15" s="794"/>
      <c r="E15" s="678"/>
      <c r="F15" s="679"/>
      <c r="G15" s="679"/>
      <c r="H15" s="794"/>
      <c r="I15" s="794"/>
    </row>
    <row r="16" spans="1:13" customFormat="1" ht="15.75">
      <c r="A16" s="660">
        <v>8</v>
      </c>
      <c r="B16" s="677" t="s">
        <v>7551</v>
      </c>
      <c r="C16" s="678"/>
      <c r="D16" s="794"/>
      <c r="E16" s="678"/>
      <c r="F16" s="679"/>
      <c r="G16" s="679"/>
      <c r="H16" s="794"/>
      <c r="I16" s="794"/>
    </row>
    <row r="17" spans="1:9" customFormat="1" ht="15.75">
      <c r="A17" s="660">
        <v>9</v>
      </c>
      <c r="B17" s="677" t="s">
        <v>7552</v>
      </c>
      <c r="C17" s="678"/>
      <c r="D17" s="794"/>
      <c r="E17" s="678"/>
      <c r="F17" s="679"/>
      <c r="G17" s="679"/>
      <c r="H17" s="794"/>
      <c r="I17" s="794"/>
    </row>
    <row r="18" spans="1:9" customFormat="1" ht="15.75">
      <c r="A18" s="660">
        <v>10</v>
      </c>
      <c r="B18" s="677" t="s">
        <v>7553</v>
      </c>
      <c r="C18" s="678"/>
      <c r="D18" s="794"/>
      <c r="E18" s="678"/>
      <c r="F18" s="679"/>
      <c r="G18" s="679"/>
      <c r="H18" s="794"/>
      <c r="I18" s="794"/>
    </row>
    <row r="19" spans="1:9" customFormat="1" ht="15.75">
      <c r="A19" s="660">
        <v>11</v>
      </c>
      <c r="B19" s="677" t="s">
        <v>7554</v>
      </c>
      <c r="C19" s="678"/>
      <c r="D19" s="794"/>
      <c r="E19" s="678"/>
      <c r="F19" s="679"/>
      <c r="G19" s="679"/>
      <c r="H19" s="794"/>
      <c r="I19" s="794"/>
    </row>
    <row r="20" spans="1:9" customFormat="1" ht="15.75">
      <c r="A20" s="660">
        <v>12</v>
      </c>
      <c r="B20" s="677" t="s">
        <v>7555</v>
      </c>
      <c r="C20" s="678"/>
      <c r="D20" s="794"/>
      <c r="E20" s="678"/>
      <c r="F20" s="679"/>
      <c r="G20" s="679"/>
      <c r="H20" s="794"/>
      <c r="I20" s="794"/>
    </row>
    <row r="21" spans="1:9" customFormat="1" ht="15.75">
      <c r="A21" s="660">
        <v>13</v>
      </c>
      <c r="B21" s="677" t="s">
        <v>7556</v>
      </c>
      <c r="C21" s="678"/>
      <c r="D21" s="794"/>
      <c r="E21" s="678"/>
      <c r="F21" s="679"/>
      <c r="G21" s="679"/>
      <c r="H21" s="794"/>
      <c r="I21" s="794"/>
    </row>
    <row r="22" spans="1:9" customFormat="1" ht="15.75">
      <c r="A22" s="660">
        <v>14</v>
      </c>
      <c r="B22" s="677" t="s">
        <v>7557</v>
      </c>
      <c r="C22" s="678"/>
      <c r="D22" s="794"/>
      <c r="E22" s="678"/>
      <c r="F22" s="679"/>
      <c r="G22" s="679"/>
      <c r="H22" s="794"/>
      <c r="I22" s="794"/>
    </row>
    <row r="23" spans="1:9" customFormat="1" ht="15.75">
      <c r="A23" s="660">
        <v>15</v>
      </c>
      <c r="B23" s="677" t="s">
        <v>7558</v>
      </c>
      <c r="C23" s="678"/>
      <c r="D23" s="794"/>
      <c r="E23" s="678"/>
      <c r="F23" s="679"/>
      <c r="G23" s="679"/>
      <c r="H23" s="794"/>
      <c r="I23" s="794"/>
    </row>
    <row r="24" spans="1:9" customFormat="1" ht="15.75">
      <c r="A24" s="660">
        <v>16</v>
      </c>
      <c r="B24" s="677" t="s">
        <v>7559</v>
      </c>
      <c r="C24" s="678"/>
      <c r="D24" s="794"/>
      <c r="E24" s="678"/>
      <c r="F24" s="679"/>
      <c r="G24" s="679"/>
      <c r="H24" s="794"/>
      <c r="I24" s="794"/>
    </row>
    <row r="25" spans="1:9" customFormat="1" ht="15.75">
      <c r="A25" s="660">
        <v>17</v>
      </c>
      <c r="B25" s="677" t="s">
        <v>7560</v>
      </c>
      <c r="C25" s="678"/>
      <c r="D25" s="794"/>
      <c r="E25" s="678"/>
      <c r="F25" s="679"/>
      <c r="G25" s="679"/>
      <c r="H25" s="794"/>
      <c r="I25" s="794"/>
    </row>
    <row r="26" spans="1:9" customFormat="1" ht="15.75">
      <c r="A26" s="660">
        <v>18</v>
      </c>
      <c r="B26" s="677" t="s">
        <v>7561</v>
      </c>
      <c r="C26" s="678"/>
      <c r="D26" s="794"/>
      <c r="E26" s="678"/>
      <c r="F26" s="679"/>
      <c r="G26" s="679"/>
      <c r="H26" s="794"/>
      <c r="I26" s="794"/>
    </row>
    <row r="27" spans="1:9" customFormat="1" ht="15.75">
      <c r="A27" s="660">
        <v>19</v>
      </c>
      <c r="B27" s="677" t="s">
        <v>7562</v>
      </c>
      <c r="C27" s="678"/>
      <c r="D27" s="794"/>
      <c r="E27" s="678"/>
      <c r="F27" s="679"/>
      <c r="G27" s="679"/>
      <c r="H27" s="794"/>
      <c r="I27" s="794"/>
    </row>
    <row r="28" spans="1:9" customFormat="1" ht="15.75">
      <c r="A28" s="660">
        <v>20</v>
      </c>
      <c r="B28" s="677" t="s">
        <v>7563</v>
      </c>
      <c r="C28" s="678"/>
      <c r="D28" s="794"/>
      <c r="E28" s="678"/>
      <c r="F28" s="679"/>
      <c r="G28" s="679"/>
      <c r="H28" s="794"/>
      <c r="I28" s="794"/>
    </row>
    <row r="29" spans="1:9" customFormat="1" ht="15.75">
      <c r="A29" s="660">
        <v>21</v>
      </c>
      <c r="B29" s="677" t="s">
        <v>7564</v>
      </c>
      <c r="C29" s="678"/>
      <c r="D29" s="794"/>
      <c r="E29" s="678"/>
      <c r="F29" s="679"/>
      <c r="G29" s="679"/>
      <c r="H29" s="794"/>
      <c r="I29" s="794"/>
    </row>
    <row r="30" spans="1:9" customFormat="1" ht="15.75">
      <c r="A30" s="660">
        <v>22</v>
      </c>
      <c r="B30" s="677" t="s">
        <v>7565</v>
      </c>
      <c r="C30" s="678"/>
      <c r="D30" s="794"/>
      <c r="E30" s="678"/>
      <c r="F30" s="679"/>
      <c r="G30" s="679"/>
      <c r="H30" s="794"/>
      <c r="I30" s="794"/>
    </row>
    <row r="31" spans="1:9" customFormat="1" ht="15.75">
      <c r="A31" s="660">
        <v>23</v>
      </c>
      <c r="B31" s="677" t="s">
        <v>7566</v>
      </c>
      <c r="C31" s="678"/>
      <c r="D31" s="794"/>
      <c r="E31" s="678"/>
      <c r="F31" s="679"/>
      <c r="G31" s="679"/>
      <c r="H31" s="794"/>
      <c r="I31" s="794"/>
    </row>
    <row r="32" spans="1:9" customFormat="1" ht="15.75">
      <c r="A32" s="660">
        <v>24</v>
      </c>
      <c r="B32" s="677" t="s">
        <v>7567</v>
      </c>
      <c r="C32" s="678"/>
      <c r="D32" s="794"/>
      <c r="E32" s="678"/>
      <c r="F32" s="679"/>
      <c r="G32" s="679"/>
      <c r="H32" s="794"/>
      <c r="I32" s="794"/>
    </row>
    <row r="33" spans="1:9" customFormat="1" ht="15.75">
      <c r="A33" s="660">
        <v>25</v>
      </c>
      <c r="B33" s="677" t="s">
        <v>7568</v>
      </c>
      <c r="C33" s="678"/>
      <c r="D33" s="794"/>
      <c r="E33" s="678"/>
      <c r="F33" s="679"/>
      <c r="G33" s="679"/>
      <c r="H33" s="794"/>
      <c r="I33" s="794"/>
    </row>
    <row r="34" spans="1:9" customFormat="1" ht="15.75">
      <c r="A34" s="660">
        <v>26</v>
      </c>
      <c r="B34" s="677" t="s">
        <v>7569</v>
      </c>
      <c r="C34" s="678"/>
      <c r="D34" s="794"/>
      <c r="E34" s="678"/>
      <c r="F34" s="679"/>
      <c r="G34" s="679"/>
      <c r="H34" s="794"/>
      <c r="I34" s="794"/>
    </row>
    <row r="35" spans="1:9" customFormat="1" ht="15.75">
      <c r="A35" s="660">
        <v>27</v>
      </c>
      <c r="B35" s="677" t="s">
        <v>7570</v>
      </c>
      <c r="C35" s="678"/>
      <c r="D35" s="794"/>
      <c r="E35" s="678"/>
      <c r="F35" s="679"/>
      <c r="G35" s="679"/>
      <c r="H35" s="794"/>
      <c r="I35" s="794"/>
    </row>
    <row r="36" spans="1:9" customFormat="1" ht="15.75">
      <c r="A36" s="660">
        <v>28</v>
      </c>
      <c r="B36" s="677" t="s">
        <v>7571</v>
      </c>
      <c r="C36" s="678"/>
      <c r="D36" s="794"/>
      <c r="E36" s="678"/>
      <c r="F36" s="679"/>
      <c r="G36" s="679"/>
      <c r="H36" s="794"/>
      <c r="I36" s="794"/>
    </row>
    <row r="37" spans="1:9" customFormat="1" ht="15.75">
      <c r="A37" s="660">
        <v>29</v>
      </c>
      <c r="B37" s="677" t="s">
        <v>7572</v>
      </c>
      <c r="C37" s="678"/>
      <c r="D37" s="794"/>
      <c r="E37" s="678"/>
      <c r="F37" s="679"/>
      <c r="G37" s="679"/>
      <c r="H37" s="794"/>
      <c r="I37" s="794"/>
    </row>
    <row r="38" spans="1:9" customFormat="1" ht="15.75">
      <c r="A38" s="660">
        <v>30</v>
      </c>
      <c r="B38" s="677" t="s">
        <v>7573</v>
      </c>
      <c r="C38" s="678"/>
      <c r="D38" s="794"/>
      <c r="E38" s="678"/>
      <c r="F38" s="679"/>
      <c r="G38" s="679"/>
      <c r="H38" s="794"/>
      <c r="I38" s="794"/>
    </row>
    <row r="39" spans="1:9" customFormat="1" ht="15.75">
      <c r="A39" s="660">
        <v>31</v>
      </c>
      <c r="B39" s="677" t="s">
        <v>7574</v>
      </c>
      <c r="C39" s="678"/>
      <c r="D39" s="794"/>
      <c r="E39" s="678"/>
      <c r="F39" s="679"/>
      <c r="G39" s="679"/>
      <c r="H39" s="794"/>
      <c r="I39" s="794"/>
    </row>
    <row r="40" spans="1:9" customFormat="1" ht="15.75">
      <c r="A40" s="660">
        <v>32</v>
      </c>
      <c r="B40" s="677" t="s">
        <v>7575</v>
      </c>
      <c r="C40" s="678"/>
      <c r="D40" s="794"/>
      <c r="E40" s="678"/>
      <c r="F40" s="679"/>
      <c r="G40" s="679"/>
      <c r="H40" s="794"/>
      <c r="I40" s="794"/>
    </row>
    <row r="41" spans="1:9" customFormat="1" ht="15.75">
      <c r="A41" s="660">
        <v>33</v>
      </c>
      <c r="B41" s="677" t="s">
        <v>7576</v>
      </c>
      <c r="C41" s="678"/>
      <c r="D41" s="794"/>
      <c r="E41" s="678"/>
      <c r="F41" s="679"/>
      <c r="G41" s="679"/>
      <c r="H41" s="794"/>
      <c r="I41" s="794"/>
    </row>
    <row r="42" spans="1:9" customFormat="1" ht="15.75">
      <c r="A42" s="660">
        <v>34</v>
      </c>
      <c r="B42" s="677" t="s">
        <v>7577</v>
      </c>
      <c r="C42" s="678"/>
      <c r="D42" s="794"/>
      <c r="E42" s="678"/>
      <c r="F42" s="679"/>
      <c r="G42" s="679"/>
      <c r="H42" s="794"/>
      <c r="I42" s="794"/>
    </row>
    <row r="43" spans="1:9" customFormat="1" ht="15">
      <c r="A43" s="660" t="s">
        <v>278</v>
      </c>
      <c r="B43" s="678"/>
      <c r="C43" s="678"/>
      <c r="D43" s="678"/>
      <c r="E43" s="678"/>
      <c r="F43" s="679"/>
      <c r="G43" s="679"/>
      <c r="H43" s="678"/>
      <c r="I43" s="678"/>
    </row>
    <row r="44" spans="1:9" customFormat="1" ht="15">
      <c r="A44" s="680"/>
      <c r="B44" s="681"/>
      <c r="C44" s="681"/>
      <c r="D44" s="681"/>
      <c r="E44" s="681"/>
      <c r="F44" s="681"/>
      <c r="G44" s="681"/>
      <c r="H44" s="681"/>
      <c r="I44" s="681"/>
    </row>
    <row r="45" spans="1:9" ht="15">
      <c r="A45" s="184"/>
      <c r="B45" s="186" t="s">
        <v>107</v>
      </c>
      <c r="C45" s="184"/>
      <c r="D45" s="184"/>
      <c r="E45" s="187"/>
      <c r="F45" s="184"/>
      <c r="G45" s="184"/>
      <c r="H45" s="184"/>
      <c r="I45" s="184"/>
    </row>
    <row r="46" spans="1:9" ht="15">
      <c r="A46" s="184"/>
      <c r="B46" s="186"/>
      <c r="C46" s="184"/>
      <c r="D46" s="184"/>
      <c r="E46" s="187"/>
      <c r="F46" s="184"/>
      <c r="G46" s="184"/>
      <c r="H46" s="184"/>
      <c r="I46" s="184"/>
    </row>
    <row r="47" spans="1:9" ht="15">
      <c r="B47" s="184"/>
      <c r="C47" s="190" t="s">
        <v>268</v>
      </c>
      <c r="D47" s="184"/>
      <c r="F47" s="191" t="s">
        <v>273</v>
      </c>
    </row>
    <row r="48" spans="1:9" ht="15">
      <c r="B48" s="184"/>
      <c r="C48" s="192" t="s">
        <v>139</v>
      </c>
      <c r="D48" s="184"/>
      <c r="F48" s="184" t="s">
        <v>269</v>
      </c>
    </row>
    <row r="49" spans="2:3" ht="15">
      <c r="B49" s="184"/>
      <c r="C49" s="192"/>
    </row>
  </sheetData>
  <mergeCells count="4">
    <mergeCell ref="D9:D42"/>
    <mergeCell ref="H9:H42"/>
    <mergeCell ref="I9:I42"/>
    <mergeCell ref="I2:K2"/>
  </mergeCells>
  <pageMargins left="0.7" right="0.7" top="0.75" bottom="0.75" header="0.3" footer="0.3"/>
  <pageSetup scale="62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0"/>
  <sheetViews>
    <sheetView view="pageBreakPreview" zoomScale="80" zoomScaleNormal="100" zoomScaleSheetLayoutView="80" workbookViewId="0">
      <selection activeCell="S31" sqref="S31"/>
    </sheetView>
  </sheetViews>
  <sheetFormatPr defaultRowHeight="15"/>
  <cols>
    <col min="1" max="1" width="10" style="184" customWidth="1"/>
    <col min="2" max="2" width="20.28515625" style="184" customWidth="1"/>
    <col min="3" max="3" width="30" style="184" customWidth="1"/>
    <col min="4" max="4" width="29" style="184" customWidth="1"/>
    <col min="5" max="5" width="22.5703125" style="184" customWidth="1"/>
    <col min="6" max="6" width="20" style="184" customWidth="1"/>
    <col min="7" max="7" width="29.28515625" style="184" customWidth="1"/>
    <col min="8" max="8" width="27.140625" style="184" customWidth="1"/>
    <col min="9" max="9" width="26.42578125" style="184" customWidth="1"/>
    <col min="10" max="10" width="0.5703125" style="184" customWidth="1"/>
    <col min="11" max="16384" width="9.140625" style="184"/>
  </cols>
  <sheetData>
    <row r="1" spans="1:11">
      <c r="A1" s="74" t="s">
        <v>405</v>
      </c>
      <c r="B1" s="76"/>
      <c r="C1" s="76"/>
      <c r="D1" s="76"/>
      <c r="E1" s="76"/>
      <c r="F1" s="76"/>
      <c r="G1" s="76"/>
      <c r="H1" s="76"/>
      <c r="I1" s="165" t="s">
        <v>198</v>
      </c>
      <c r="J1" s="166"/>
    </row>
    <row r="2" spans="1:11">
      <c r="A2" s="76" t="s">
        <v>140</v>
      </c>
      <c r="B2" s="76"/>
      <c r="C2" s="76"/>
      <c r="D2" s="76"/>
      <c r="E2" s="76"/>
      <c r="F2" s="76"/>
      <c r="G2" s="76"/>
      <c r="H2" s="76"/>
      <c r="I2" s="775" t="s">
        <v>515</v>
      </c>
      <c r="J2" s="775"/>
      <c r="K2" s="776"/>
    </row>
    <row r="3" spans="1:11">
      <c r="A3" s="76"/>
      <c r="B3" s="76"/>
      <c r="C3" s="76"/>
      <c r="D3" s="76"/>
      <c r="E3" s="76"/>
      <c r="F3" s="76"/>
      <c r="G3" s="76"/>
      <c r="H3" s="76"/>
      <c r="I3" s="102"/>
      <c r="J3" s="166"/>
    </row>
    <row r="4" spans="1:11">
      <c r="A4" s="77" t="str">
        <f>'[4]ფორმა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1">
      <c r="A5" s="221" t="str">
        <f>'ფორმა N1'!D4</f>
        <v>მ.პ.გ. ქართული ოცნება - დემოკრატიული საქართველო</v>
      </c>
      <c r="B5" s="221"/>
      <c r="C5" s="221"/>
      <c r="D5" s="221"/>
      <c r="E5" s="221"/>
      <c r="F5" s="221"/>
      <c r="G5" s="221"/>
      <c r="H5" s="221"/>
      <c r="I5" s="221"/>
      <c r="J5" s="191"/>
    </row>
    <row r="6" spans="1:11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1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1" ht="63.75" customHeight="1">
      <c r="A8" s="167" t="s">
        <v>64</v>
      </c>
      <c r="B8" s="382" t="s">
        <v>377</v>
      </c>
      <c r="C8" s="383" t="s">
        <v>439</v>
      </c>
      <c r="D8" s="383" t="s">
        <v>440</v>
      </c>
      <c r="E8" s="383" t="s">
        <v>378</v>
      </c>
      <c r="F8" s="383" t="s">
        <v>397</v>
      </c>
      <c r="G8" s="383" t="s">
        <v>398</v>
      </c>
      <c r="H8" s="383" t="s">
        <v>444</v>
      </c>
      <c r="I8" s="168" t="s">
        <v>399</v>
      </c>
      <c r="J8" s="105"/>
    </row>
    <row r="9" spans="1:11" ht="30">
      <c r="A9" s="170">
        <v>1</v>
      </c>
      <c r="B9" s="718">
        <v>41759</v>
      </c>
      <c r="C9" s="719" t="s">
        <v>9706</v>
      </c>
      <c r="D9" s="720">
        <v>205283637</v>
      </c>
      <c r="E9" s="721" t="s">
        <v>9707</v>
      </c>
      <c r="F9" s="721">
        <v>62346.04</v>
      </c>
      <c r="G9" s="721">
        <v>62346.04</v>
      </c>
      <c r="H9" s="721">
        <v>0</v>
      </c>
      <c r="I9" s="721">
        <v>62346.04</v>
      </c>
      <c r="J9" s="105"/>
    </row>
    <row r="10" spans="1:11" ht="30">
      <c r="A10" s="170">
        <v>2</v>
      </c>
      <c r="B10" s="718">
        <v>41131</v>
      </c>
      <c r="C10" s="719" t="s">
        <v>9708</v>
      </c>
      <c r="D10" s="720"/>
      <c r="E10" s="721" t="s">
        <v>9709</v>
      </c>
      <c r="F10" s="721">
        <v>41437.199999999997</v>
      </c>
      <c r="G10" s="721">
        <v>41437.199999999997</v>
      </c>
      <c r="H10" s="722">
        <v>0</v>
      </c>
      <c r="I10" s="721">
        <v>41437.199999999997</v>
      </c>
      <c r="J10" s="105"/>
    </row>
    <row r="11" spans="1:11" ht="60">
      <c r="A11" s="170">
        <v>3</v>
      </c>
      <c r="B11" s="718">
        <v>41139</v>
      </c>
      <c r="C11" s="719" t="s">
        <v>9710</v>
      </c>
      <c r="D11" s="720">
        <v>205282905</v>
      </c>
      <c r="E11" s="723" t="s">
        <v>9711</v>
      </c>
      <c r="F11" s="721">
        <v>141390</v>
      </c>
      <c r="G11" s="721">
        <v>141390</v>
      </c>
      <c r="H11" s="722">
        <v>0</v>
      </c>
      <c r="I11" s="721">
        <v>141390</v>
      </c>
      <c r="J11" s="105"/>
    </row>
    <row r="12" spans="1:11">
      <c r="A12" s="170">
        <v>4</v>
      </c>
      <c r="B12" s="718">
        <v>41084</v>
      </c>
      <c r="C12" s="719" t="s">
        <v>9712</v>
      </c>
      <c r="D12" s="720">
        <v>60001104537</v>
      </c>
      <c r="E12" s="721" t="s">
        <v>9713</v>
      </c>
      <c r="F12" s="724">
        <v>162.5</v>
      </c>
      <c r="G12" s="724">
        <v>162.5</v>
      </c>
      <c r="H12" s="722">
        <v>0</v>
      </c>
      <c r="I12" s="724">
        <v>162.5</v>
      </c>
      <c r="J12" s="105"/>
    </row>
    <row r="13" spans="1:11">
      <c r="A13" s="170">
        <v>5</v>
      </c>
      <c r="B13" s="718">
        <v>41083</v>
      </c>
      <c r="C13" s="719" t="s">
        <v>9714</v>
      </c>
      <c r="D13" s="720">
        <v>16001002430</v>
      </c>
      <c r="E13" s="721" t="s">
        <v>9713</v>
      </c>
      <c r="F13" s="724">
        <v>100</v>
      </c>
      <c r="G13" s="724">
        <v>100</v>
      </c>
      <c r="H13" s="722">
        <v>0</v>
      </c>
      <c r="I13" s="724">
        <v>100</v>
      </c>
      <c r="J13" s="105"/>
    </row>
    <row r="14" spans="1:11">
      <c r="A14" s="170">
        <v>6</v>
      </c>
      <c r="B14" s="718">
        <v>41083</v>
      </c>
      <c r="C14" s="719" t="s">
        <v>9715</v>
      </c>
      <c r="D14" s="720">
        <v>16201033680</v>
      </c>
      <c r="E14" s="721" t="s">
        <v>9713</v>
      </c>
      <c r="F14" s="724">
        <v>100</v>
      </c>
      <c r="G14" s="724">
        <v>100</v>
      </c>
      <c r="H14" s="722">
        <v>0</v>
      </c>
      <c r="I14" s="724">
        <v>100</v>
      </c>
      <c r="J14" s="105"/>
    </row>
    <row r="15" spans="1:11">
      <c r="A15" s="170">
        <v>7</v>
      </c>
      <c r="B15" s="718">
        <v>41084</v>
      </c>
      <c r="C15" s="719" t="s">
        <v>9716</v>
      </c>
      <c r="D15" s="720">
        <v>61006053900</v>
      </c>
      <c r="E15" s="721" t="s">
        <v>9713</v>
      </c>
      <c r="F15" s="724">
        <v>162.5</v>
      </c>
      <c r="G15" s="724">
        <v>162.5</v>
      </c>
      <c r="H15" s="725">
        <v>0</v>
      </c>
      <c r="I15" s="724">
        <v>162.5</v>
      </c>
      <c r="J15" s="105"/>
    </row>
    <row r="16" spans="1:11">
      <c r="A16" s="170">
        <v>8</v>
      </c>
      <c r="B16" s="718">
        <v>41083</v>
      </c>
      <c r="C16" s="719" t="s">
        <v>9717</v>
      </c>
      <c r="D16" s="720">
        <v>61008001136</v>
      </c>
      <c r="E16" s="721" t="s">
        <v>9713</v>
      </c>
      <c r="F16" s="724">
        <v>125</v>
      </c>
      <c r="G16" s="724">
        <v>125</v>
      </c>
      <c r="H16" s="722">
        <v>0</v>
      </c>
      <c r="I16" s="724">
        <v>125</v>
      </c>
      <c r="J16" s="105"/>
    </row>
    <row r="17" spans="1:10">
      <c r="A17" s="170">
        <v>9</v>
      </c>
      <c r="B17" s="718">
        <v>41084</v>
      </c>
      <c r="C17" s="719" t="s">
        <v>9718</v>
      </c>
      <c r="D17" s="720">
        <v>61006068519</v>
      </c>
      <c r="E17" s="721" t="s">
        <v>9713</v>
      </c>
      <c r="F17" s="724">
        <v>162.5</v>
      </c>
      <c r="G17" s="724">
        <v>162.5</v>
      </c>
      <c r="H17" s="722">
        <v>0</v>
      </c>
      <c r="I17" s="724">
        <v>162.5</v>
      </c>
      <c r="J17" s="105"/>
    </row>
    <row r="18" spans="1:10">
      <c r="A18" s="170">
        <v>10</v>
      </c>
      <c r="B18" s="718">
        <v>41083</v>
      </c>
      <c r="C18" s="719" t="s">
        <v>9719</v>
      </c>
      <c r="D18" s="720">
        <v>61008001937</v>
      </c>
      <c r="E18" s="721" t="s">
        <v>9713</v>
      </c>
      <c r="F18" s="724">
        <v>162.5</v>
      </c>
      <c r="G18" s="724">
        <v>162.5</v>
      </c>
      <c r="H18" s="725">
        <v>0</v>
      </c>
      <c r="I18" s="724">
        <v>162.5</v>
      </c>
      <c r="J18" s="105"/>
    </row>
    <row r="19" spans="1:10">
      <c r="A19" s="170">
        <v>11</v>
      </c>
      <c r="B19" s="718">
        <v>41084</v>
      </c>
      <c r="C19" s="719" t="s">
        <v>9720</v>
      </c>
      <c r="D19" s="720">
        <v>61006047190</v>
      </c>
      <c r="E19" s="721" t="s">
        <v>9713</v>
      </c>
      <c r="F19" s="724">
        <v>162.5</v>
      </c>
      <c r="G19" s="724">
        <v>162.5</v>
      </c>
      <c r="H19" s="722">
        <v>0</v>
      </c>
      <c r="I19" s="724">
        <v>162.5</v>
      </c>
      <c r="J19" s="105"/>
    </row>
    <row r="20" spans="1:10">
      <c r="A20" s="170">
        <v>12</v>
      </c>
      <c r="B20" s="718">
        <v>41083</v>
      </c>
      <c r="C20" s="719" t="s">
        <v>9721</v>
      </c>
      <c r="D20" s="720">
        <v>61006053166</v>
      </c>
      <c r="E20" s="721" t="s">
        <v>9713</v>
      </c>
      <c r="F20" s="724">
        <v>162.5</v>
      </c>
      <c r="G20" s="724">
        <v>162.5</v>
      </c>
      <c r="H20" s="722">
        <v>0</v>
      </c>
      <c r="I20" s="724">
        <v>162.5</v>
      </c>
      <c r="J20" s="105"/>
    </row>
    <row r="21" spans="1:10">
      <c r="A21" s="170">
        <v>13</v>
      </c>
      <c r="B21" s="718">
        <v>41084</v>
      </c>
      <c r="C21" s="719" t="s">
        <v>9722</v>
      </c>
      <c r="D21" s="720" t="s">
        <v>9723</v>
      </c>
      <c r="E21" s="721" t="s">
        <v>9713</v>
      </c>
      <c r="F21" s="724">
        <v>125</v>
      </c>
      <c r="G21" s="724">
        <v>125</v>
      </c>
      <c r="H21" s="722">
        <v>0</v>
      </c>
      <c r="I21" s="724">
        <v>125</v>
      </c>
      <c r="J21" s="105"/>
    </row>
    <row r="22" spans="1:10">
      <c r="A22" s="170">
        <v>14</v>
      </c>
      <c r="B22" s="718">
        <v>41084</v>
      </c>
      <c r="C22" s="719" t="s">
        <v>9724</v>
      </c>
      <c r="D22" s="720" t="s">
        <v>9725</v>
      </c>
      <c r="E22" s="721" t="s">
        <v>9713</v>
      </c>
      <c r="F22" s="724">
        <v>162.5</v>
      </c>
      <c r="G22" s="724">
        <v>162.5</v>
      </c>
      <c r="H22" s="722">
        <v>0</v>
      </c>
      <c r="I22" s="724">
        <v>162.5</v>
      </c>
      <c r="J22" s="105"/>
    </row>
    <row r="23" spans="1:10">
      <c r="A23" s="170">
        <v>15</v>
      </c>
      <c r="B23" s="718">
        <v>41084</v>
      </c>
      <c r="C23" s="719" t="s">
        <v>9726</v>
      </c>
      <c r="D23" s="720" t="s">
        <v>9727</v>
      </c>
      <c r="E23" s="721" t="s">
        <v>9713</v>
      </c>
      <c r="F23" s="724">
        <v>162.5</v>
      </c>
      <c r="G23" s="724">
        <v>162.5</v>
      </c>
      <c r="H23" s="722">
        <v>0</v>
      </c>
      <c r="I23" s="724">
        <v>162.5</v>
      </c>
      <c r="J23" s="105"/>
    </row>
    <row r="24" spans="1:10">
      <c r="A24" s="170">
        <v>16</v>
      </c>
      <c r="B24" s="718">
        <v>41083</v>
      </c>
      <c r="C24" s="719" t="s">
        <v>9728</v>
      </c>
      <c r="D24" s="720" t="s">
        <v>9729</v>
      </c>
      <c r="E24" s="721" t="s">
        <v>9713</v>
      </c>
      <c r="F24" s="724">
        <v>100</v>
      </c>
      <c r="G24" s="724">
        <v>100</v>
      </c>
      <c r="H24" s="722">
        <v>0</v>
      </c>
      <c r="I24" s="724">
        <v>100</v>
      </c>
      <c r="J24" s="105"/>
    </row>
    <row r="25" spans="1:10">
      <c r="A25" s="170">
        <v>17</v>
      </c>
      <c r="B25" s="718">
        <v>41083</v>
      </c>
      <c r="C25" s="719" t="s">
        <v>9730</v>
      </c>
      <c r="D25" s="720" t="s">
        <v>9731</v>
      </c>
      <c r="E25" s="721" t="s">
        <v>9713</v>
      </c>
      <c r="F25" s="724">
        <v>162.5</v>
      </c>
      <c r="G25" s="724">
        <v>162.5</v>
      </c>
      <c r="H25" s="725">
        <v>0</v>
      </c>
      <c r="I25" s="724">
        <v>162.5</v>
      </c>
      <c r="J25" s="105"/>
    </row>
    <row r="26" spans="1:10">
      <c r="A26" s="170">
        <v>18</v>
      </c>
      <c r="B26" s="718">
        <v>41085</v>
      </c>
      <c r="C26" s="719" t="s">
        <v>9732</v>
      </c>
      <c r="D26" s="720" t="s">
        <v>9733</v>
      </c>
      <c r="E26" s="721" t="s">
        <v>9713</v>
      </c>
      <c r="F26" s="724">
        <v>100</v>
      </c>
      <c r="G26" s="724">
        <v>100</v>
      </c>
      <c r="H26" s="725">
        <v>0</v>
      </c>
      <c r="I26" s="724">
        <v>100</v>
      </c>
      <c r="J26" s="105"/>
    </row>
    <row r="27" spans="1:10">
      <c r="A27" s="170">
        <v>19</v>
      </c>
      <c r="B27" s="718">
        <v>41088</v>
      </c>
      <c r="C27" s="719" t="s">
        <v>9734</v>
      </c>
      <c r="D27" s="720" t="s">
        <v>9735</v>
      </c>
      <c r="E27" s="721" t="s">
        <v>9713</v>
      </c>
      <c r="F27" s="724">
        <v>100</v>
      </c>
      <c r="G27" s="724">
        <v>100</v>
      </c>
      <c r="H27" s="725">
        <v>0</v>
      </c>
      <c r="I27" s="724">
        <v>100</v>
      </c>
      <c r="J27" s="105"/>
    </row>
    <row r="28" spans="1:10">
      <c r="A28" s="170">
        <v>20</v>
      </c>
      <c r="B28" s="718">
        <v>41083</v>
      </c>
      <c r="C28" s="719" t="s">
        <v>9736</v>
      </c>
      <c r="D28" s="720" t="s">
        <v>9737</v>
      </c>
      <c r="E28" s="721" t="s">
        <v>9713</v>
      </c>
      <c r="F28" s="724">
        <v>162.5</v>
      </c>
      <c r="G28" s="724">
        <v>162.5</v>
      </c>
      <c r="H28" s="722">
        <v>0</v>
      </c>
      <c r="I28" s="724">
        <v>162.5</v>
      </c>
      <c r="J28" s="105"/>
    </row>
    <row r="29" spans="1:10">
      <c r="A29" s="170">
        <v>21</v>
      </c>
      <c r="B29" s="718">
        <v>41083</v>
      </c>
      <c r="C29" s="719" t="s">
        <v>9738</v>
      </c>
      <c r="D29" s="720" t="s">
        <v>9739</v>
      </c>
      <c r="E29" s="721" t="s">
        <v>9713</v>
      </c>
      <c r="F29" s="724">
        <v>125</v>
      </c>
      <c r="G29" s="724">
        <v>125</v>
      </c>
      <c r="H29" s="722">
        <v>0</v>
      </c>
      <c r="I29" s="724">
        <v>125</v>
      </c>
      <c r="J29" s="105"/>
    </row>
    <row r="30" spans="1:10">
      <c r="A30" s="170">
        <v>22</v>
      </c>
      <c r="B30" s="718">
        <v>41083</v>
      </c>
      <c r="C30" s="719" t="s">
        <v>3245</v>
      </c>
      <c r="D30" s="720" t="s">
        <v>9740</v>
      </c>
      <c r="E30" s="721" t="s">
        <v>9713</v>
      </c>
      <c r="F30" s="724">
        <v>162.5</v>
      </c>
      <c r="G30" s="724">
        <v>162.5</v>
      </c>
      <c r="H30" s="722">
        <v>0</v>
      </c>
      <c r="I30" s="724">
        <v>162.5</v>
      </c>
      <c r="J30" s="105"/>
    </row>
    <row r="31" spans="1:10">
      <c r="A31" s="170">
        <v>23</v>
      </c>
      <c r="B31" s="718">
        <v>41084</v>
      </c>
      <c r="C31" s="719" t="s">
        <v>9741</v>
      </c>
      <c r="D31" s="720" t="s">
        <v>9742</v>
      </c>
      <c r="E31" s="721" t="s">
        <v>9713</v>
      </c>
      <c r="F31" s="724">
        <v>162.5</v>
      </c>
      <c r="G31" s="724">
        <v>162.5</v>
      </c>
      <c r="H31" s="722">
        <v>0</v>
      </c>
      <c r="I31" s="724">
        <v>162.5</v>
      </c>
      <c r="J31" s="105"/>
    </row>
    <row r="32" spans="1:10">
      <c r="A32" s="170">
        <v>24</v>
      </c>
      <c r="B32" s="718">
        <v>41084</v>
      </c>
      <c r="C32" s="719" t="s">
        <v>9743</v>
      </c>
      <c r="D32" s="720" t="s">
        <v>9744</v>
      </c>
      <c r="E32" s="721" t="s">
        <v>9713</v>
      </c>
      <c r="F32" s="724">
        <v>162.5</v>
      </c>
      <c r="G32" s="724">
        <v>162.5</v>
      </c>
      <c r="H32" s="722">
        <v>0</v>
      </c>
      <c r="I32" s="724">
        <v>162.5</v>
      </c>
      <c r="J32" s="105"/>
    </row>
    <row r="33" spans="1:10">
      <c r="A33" s="170">
        <v>25</v>
      </c>
      <c r="B33" s="718">
        <v>41083</v>
      </c>
      <c r="C33" s="719" t="s">
        <v>9745</v>
      </c>
      <c r="D33" s="720" t="s">
        <v>9746</v>
      </c>
      <c r="E33" s="721" t="s">
        <v>9713</v>
      </c>
      <c r="F33" s="724">
        <v>162.5</v>
      </c>
      <c r="G33" s="724">
        <v>162.5</v>
      </c>
      <c r="H33" s="722">
        <v>0</v>
      </c>
      <c r="I33" s="724">
        <v>162.5</v>
      </c>
      <c r="J33" s="105"/>
    </row>
    <row r="34" spans="1:10">
      <c r="A34" s="170">
        <v>26</v>
      </c>
      <c r="B34" s="718">
        <v>41083</v>
      </c>
      <c r="C34" s="719" t="s">
        <v>9747</v>
      </c>
      <c r="D34" s="720" t="s">
        <v>9748</v>
      </c>
      <c r="E34" s="721" t="s">
        <v>9713</v>
      </c>
      <c r="F34" s="724">
        <v>125</v>
      </c>
      <c r="G34" s="724">
        <v>125</v>
      </c>
      <c r="H34" s="722">
        <v>0</v>
      </c>
      <c r="I34" s="724">
        <v>125</v>
      </c>
      <c r="J34" s="105"/>
    </row>
    <row r="35" spans="1:10">
      <c r="A35" s="170">
        <v>27</v>
      </c>
      <c r="B35" s="718">
        <v>41084</v>
      </c>
      <c r="C35" s="719" t="s">
        <v>9749</v>
      </c>
      <c r="D35" s="720" t="s">
        <v>9750</v>
      </c>
      <c r="E35" s="721" t="s">
        <v>9713</v>
      </c>
      <c r="F35" s="724">
        <v>125</v>
      </c>
      <c r="G35" s="724">
        <v>125</v>
      </c>
      <c r="H35" s="722">
        <v>0</v>
      </c>
      <c r="I35" s="724">
        <v>125</v>
      </c>
      <c r="J35" s="105"/>
    </row>
    <row r="36" spans="1:10">
      <c r="A36" s="170">
        <v>28</v>
      </c>
      <c r="B36" s="718">
        <v>41083</v>
      </c>
      <c r="C36" s="719" t="s">
        <v>9751</v>
      </c>
      <c r="D36" s="720" t="s">
        <v>9752</v>
      </c>
      <c r="E36" s="721" t="s">
        <v>9713</v>
      </c>
      <c r="F36" s="724">
        <v>125</v>
      </c>
      <c r="G36" s="724">
        <v>125</v>
      </c>
      <c r="H36" s="722">
        <v>0</v>
      </c>
      <c r="I36" s="724">
        <v>125</v>
      </c>
      <c r="J36" s="105"/>
    </row>
    <row r="37" spans="1:10">
      <c r="A37" s="170">
        <v>29</v>
      </c>
      <c r="B37" s="718">
        <v>41084</v>
      </c>
      <c r="C37" s="719" t="s">
        <v>9753</v>
      </c>
      <c r="D37" s="720" t="s">
        <v>9754</v>
      </c>
      <c r="E37" s="721" t="s">
        <v>9713</v>
      </c>
      <c r="F37" s="724">
        <v>125</v>
      </c>
      <c r="G37" s="724">
        <v>125</v>
      </c>
      <c r="H37" s="722">
        <v>0</v>
      </c>
      <c r="I37" s="724">
        <v>125</v>
      </c>
      <c r="J37" s="105"/>
    </row>
    <row r="38" spans="1:10">
      <c r="A38" s="170">
        <v>30</v>
      </c>
      <c r="B38" s="718">
        <v>41089</v>
      </c>
      <c r="C38" s="719" t="s">
        <v>9755</v>
      </c>
      <c r="D38" s="720" t="s">
        <v>9756</v>
      </c>
      <c r="E38" s="721" t="s">
        <v>9713</v>
      </c>
      <c r="F38" s="724">
        <v>125</v>
      </c>
      <c r="G38" s="724">
        <v>125</v>
      </c>
      <c r="H38" s="722">
        <v>0</v>
      </c>
      <c r="I38" s="724">
        <v>125</v>
      </c>
      <c r="J38" s="105"/>
    </row>
    <row r="39" spans="1:10">
      <c r="A39" s="170">
        <v>31</v>
      </c>
      <c r="B39" s="718">
        <v>41065</v>
      </c>
      <c r="C39" s="719" t="s">
        <v>9757</v>
      </c>
      <c r="D39" s="720" t="s">
        <v>9758</v>
      </c>
      <c r="E39" s="721" t="s">
        <v>9713</v>
      </c>
      <c r="F39" s="724">
        <v>100</v>
      </c>
      <c r="G39" s="724">
        <v>100</v>
      </c>
      <c r="H39" s="725">
        <v>0</v>
      </c>
      <c r="I39" s="724">
        <v>100</v>
      </c>
      <c r="J39" s="105"/>
    </row>
    <row r="40" spans="1:10">
      <c r="A40" s="170">
        <v>32</v>
      </c>
      <c r="B40" s="718">
        <v>41065</v>
      </c>
      <c r="C40" s="719" t="s">
        <v>9759</v>
      </c>
      <c r="D40" s="720" t="s">
        <v>9760</v>
      </c>
      <c r="E40" s="721" t="s">
        <v>9713</v>
      </c>
      <c r="F40" s="724">
        <v>125</v>
      </c>
      <c r="G40" s="724">
        <v>125</v>
      </c>
      <c r="H40" s="722">
        <v>0</v>
      </c>
      <c r="I40" s="724">
        <v>125</v>
      </c>
      <c r="J40" s="105"/>
    </row>
    <row r="41" spans="1:10">
      <c r="A41" s="170">
        <v>33</v>
      </c>
      <c r="B41" s="718">
        <v>41065</v>
      </c>
      <c r="C41" s="719" t="s">
        <v>9761</v>
      </c>
      <c r="D41" s="720" t="s">
        <v>9762</v>
      </c>
      <c r="E41" s="721" t="s">
        <v>9713</v>
      </c>
      <c r="F41" s="724">
        <v>162.5</v>
      </c>
      <c r="G41" s="724">
        <v>162.5</v>
      </c>
      <c r="H41" s="722">
        <v>0</v>
      </c>
      <c r="I41" s="724">
        <v>162.5</v>
      </c>
      <c r="J41" s="105"/>
    </row>
    <row r="42" spans="1:10">
      <c r="A42" s="170">
        <v>34</v>
      </c>
      <c r="B42" s="718">
        <v>41065</v>
      </c>
      <c r="C42" s="719" t="s">
        <v>9763</v>
      </c>
      <c r="D42" s="720" t="s">
        <v>9764</v>
      </c>
      <c r="E42" s="721" t="s">
        <v>9713</v>
      </c>
      <c r="F42" s="724">
        <v>162.5</v>
      </c>
      <c r="G42" s="724">
        <v>162.5</v>
      </c>
      <c r="H42" s="722">
        <v>0</v>
      </c>
      <c r="I42" s="724">
        <v>162.5</v>
      </c>
      <c r="J42" s="105"/>
    </row>
    <row r="43" spans="1:10">
      <c r="A43" s="170">
        <v>35</v>
      </c>
      <c r="B43" s="718">
        <v>41065</v>
      </c>
      <c r="C43" s="719" t="s">
        <v>9765</v>
      </c>
      <c r="D43" s="720" t="s">
        <v>9766</v>
      </c>
      <c r="E43" s="721" t="s">
        <v>9713</v>
      </c>
      <c r="F43" s="724">
        <v>162.5</v>
      </c>
      <c r="G43" s="724">
        <v>162.5</v>
      </c>
      <c r="H43" s="722">
        <v>0</v>
      </c>
      <c r="I43" s="724">
        <v>162.5</v>
      </c>
      <c r="J43" s="105"/>
    </row>
    <row r="44" spans="1:10">
      <c r="A44" s="170">
        <v>36</v>
      </c>
      <c r="B44" s="718">
        <v>41065</v>
      </c>
      <c r="C44" s="719" t="s">
        <v>9767</v>
      </c>
      <c r="D44" s="720" t="s">
        <v>9768</v>
      </c>
      <c r="E44" s="721" t="s">
        <v>9713</v>
      </c>
      <c r="F44" s="724">
        <v>162.5</v>
      </c>
      <c r="G44" s="724">
        <v>162.5</v>
      </c>
      <c r="H44" s="722">
        <v>0</v>
      </c>
      <c r="I44" s="724">
        <v>162.5</v>
      </c>
      <c r="J44" s="105"/>
    </row>
    <row r="45" spans="1:10">
      <c r="A45" s="170">
        <v>37</v>
      </c>
      <c r="B45" s="718">
        <v>41065</v>
      </c>
      <c r="C45" s="719" t="s">
        <v>9769</v>
      </c>
      <c r="D45" s="720" t="s">
        <v>9770</v>
      </c>
      <c r="E45" s="721" t="s">
        <v>9713</v>
      </c>
      <c r="F45" s="724">
        <v>125</v>
      </c>
      <c r="G45" s="724">
        <v>125</v>
      </c>
      <c r="H45" s="722">
        <v>0</v>
      </c>
      <c r="I45" s="724">
        <v>125</v>
      </c>
      <c r="J45" s="105"/>
    </row>
    <row r="46" spans="1:10">
      <c r="A46" s="170">
        <v>38</v>
      </c>
      <c r="B46" s="718">
        <v>41122</v>
      </c>
      <c r="C46" s="719" t="s">
        <v>9771</v>
      </c>
      <c r="D46" s="720" t="s">
        <v>9772</v>
      </c>
      <c r="E46" s="721" t="s">
        <v>3717</v>
      </c>
      <c r="F46" s="724">
        <v>250</v>
      </c>
      <c r="G46" s="724">
        <v>250</v>
      </c>
      <c r="H46" s="722">
        <v>0</v>
      </c>
      <c r="I46" s="724">
        <v>250</v>
      </c>
      <c r="J46" s="105"/>
    </row>
    <row r="47" spans="1:10">
      <c r="A47" s="170">
        <v>39</v>
      </c>
      <c r="B47" s="718">
        <v>41122</v>
      </c>
      <c r="C47" s="719" t="s">
        <v>9773</v>
      </c>
      <c r="D47" s="720" t="s">
        <v>9774</v>
      </c>
      <c r="E47" s="721" t="s">
        <v>3717</v>
      </c>
      <c r="F47" s="724">
        <v>375</v>
      </c>
      <c r="G47" s="724">
        <v>375</v>
      </c>
      <c r="H47" s="722">
        <v>0</v>
      </c>
      <c r="I47" s="724">
        <v>375</v>
      </c>
      <c r="J47" s="105"/>
    </row>
    <row r="48" spans="1:10">
      <c r="A48" s="170">
        <v>40</v>
      </c>
      <c r="B48" s="718">
        <v>41136</v>
      </c>
      <c r="C48" s="719" t="s">
        <v>9775</v>
      </c>
      <c r="D48" s="720" t="s">
        <v>9776</v>
      </c>
      <c r="E48" s="721" t="s">
        <v>3717</v>
      </c>
      <c r="F48" s="724">
        <v>3125</v>
      </c>
      <c r="G48" s="724">
        <v>3125</v>
      </c>
      <c r="H48" s="722">
        <v>0</v>
      </c>
      <c r="I48" s="724">
        <v>3125</v>
      </c>
      <c r="J48" s="105"/>
    </row>
    <row r="49" spans="1:10">
      <c r="A49" s="170">
        <v>41</v>
      </c>
      <c r="B49" s="718">
        <v>41136</v>
      </c>
      <c r="C49" s="719" t="s">
        <v>9777</v>
      </c>
      <c r="D49" s="720" t="s">
        <v>9778</v>
      </c>
      <c r="E49" s="721" t="s">
        <v>3717</v>
      </c>
      <c r="F49" s="724">
        <v>500</v>
      </c>
      <c r="G49" s="724">
        <v>500</v>
      </c>
      <c r="H49" s="722">
        <v>0</v>
      </c>
      <c r="I49" s="724">
        <v>500</v>
      </c>
      <c r="J49" s="105"/>
    </row>
    <row r="50" spans="1:10">
      <c r="A50" s="170">
        <v>42</v>
      </c>
      <c r="B50" s="718">
        <v>41136</v>
      </c>
      <c r="C50" s="719" t="s">
        <v>9779</v>
      </c>
      <c r="D50" s="720" t="s">
        <v>9780</v>
      </c>
      <c r="E50" s="721" t="s">
        <v>3717</v>
      </c>
      <c r="F50" s="724">
        <v>520.83000000000004</v>
      </c>
      <c r="G50" s="724">
        <v>520.83000000000004</v>
      </c>
      <c r="H50" s="726">
        <v>0</v>
      </c>
      <c r="I50" s="724">
        <v>520.83000000000004</v>
      </c>
      <c r="J50" s="105"/>
    </row>
    <row r="51" spans="1:10">
      <c r="A51" s="170">
        <v>43</v>
      </c>
      <c r="B51" s="718">
        <v>41136</v>
      </c>
      <c r="C51" s="719" t="s">
        <v>9781</v>
      </c>
      <c r="D51" s="720" t="s">
        <v>9782</v>
      </c>
      <c r="E51" s="721" t="s">
        <v>3717</v>
      </c>
      <c r="F51" s="724">
        <v>1375</v>
      </c>
      <c r="G51" s="724">
        <v>1375</v>
      </c>
      <c r="H51" s="727">
        <v>0</v>
      </c>
      <c r="I51" s="724">
        <v>1375</v>
      </c>
      <c r="J51" s="105"/>
    </row>
    <row r="52" spans="1:10">
      <c r="A52" s="170">
        <v>44</v>
      </c>
      <c r="B52" s="718">
        <v>41136</v>
      </c>
      <c r="C52" s="719" t="s">
        <v>9783</v>
      </c>
      <c r="D52" s="720" t="s">
        <v>9784</v>
      </c>
      <c r="E52" s="721" t="s">
        <v>3717</v>
      </c>
      <c r="F52" s="724">
        <v>1375</v>
      </c>
      <c r="G52" s="724">
        <v>1375</v>
      </c>
      <c r="H52" s="727">
        <v>0</v>
      </c>
      <c r="I52" s="724">
        <v>1375</v>
      </c>
      <c r="J52" s="105"/>
    </row>
    <row r="53" spans="1:10">
      <c r="A53" s="170">
        <v>45</v>
      </c>
      <c r="B53" s="718">
        <v>41145</v>
      </c>
      <c r="C53" s="719" t="s">
        <v>9785</v>
      </c>
      <c r="D53" s="720">
        <v>404897215</v>
      </c>
      <c r="E53" s="721" t="s">
        <v>9786</v>
      </c>
      <c r="F53" s="721">
        <v>110</v>
      </c>
      <c r="G53" s="721">
        <v>110</v>
      </c>
      <c r="H53" s="727">
        <v>0</v>
      </c>
      <c r="I53" s="721">
        <v>110</v>
      </c>
      <c r="J53" s="105"/>
    </row>
    <row r="54" spans="1:10">
      <c r="A54" s="170">
        <v>46</v>
      </c>
      <c r="B54" s="718">
        <v>41157</v>
      </c>
      <c r="C54" s="719" t="s">
        <v>9787</v>
      </c>
      <c r="D54" s="720"/>
      <c r="E54" s="721" t="s">
        <v>9788</v>
      </c>
      <c r="F54" s="721">
        <v>544069.96</v>
      </c>
      <c r="G54" s="721">
        <v>544069.96</v>
      </c>
      <c r="H54" s="727">
        <v>0</v>
      </c>
      <c r="I54" s="721">
        <v>544069.96</v>
      </c>
      <c r="J54" s="105"/>
    </row>
    <row r="55" spans="1:10">
      <c r="A55" s="170">
        <v>47</v>
      </c>
      <c r="B55" s="718">
        <v>41136</v>
      </c>
      <c r="C55" s="719" t="s">
        <v>9789</v>
      </c>
      <c r="D55" s="720" t="s">
        <v>9790</v>
      </c>
      <c r="E55" s="721" t="s">
        <v>7581</v>
      </c>
      <c r="F55" s="721">
        <v>0.3</v>
      </c>
      <c r="G55" s="721">
        <v>0.3</v>
      </c>
      <c r="H55" s="727">
        <v>0</v>
      </c>
      <c r="I55" s="721">
        <v>0.3</v>
      </c>
      <c r="J55" s="105"/>
    </row>
    <row r="56" spans="1:10">
      <c r="A56" s="170">
        <v>48</v>
      </c>
      <c r="B56" s="718">
        <v>41134</v>
      </c>
      <c r="C56" s="719" t="s">
        <v>9791</v>
      </c>
      <c r="D56" s="720" t="s">
        <v>9792</v>
      </c>
      <c r="E56" s="721" t="s">
        <v>7581</v>
      </c>
      <c r="F56" s="721">
        <v>1412.48</v>
      </c>
      <c r="G56" s="721">
        <v>1412.48</v>
      </c>
      <c r="H56" s="727">
        <v>0</v>
      </c>
      <c r="I56" s="721">
        <v>1412.48</v>
      </c>
      <c r="J56" s="105"/>
    </row>
    <row r="57" spans="1:10">
      <c r="A57" s="170">
        <v>49</v>
      </c>
      <c r="B57" s="718">
        <v>41130</v>
      </c>
      <c r="C57" s="719" t="s">
        <v>9793</v>
      </c>
      <c r="D57" s="720" t="s">
        <v>9794</v>
      </c>
      <c r="E57" s="721" t="s">
        <v>7581</v>
      </c>
      <c r="F57" s="721">
        <v>541.53</v>
      </c>
      <c r="G57" s="721">
        <v>541.53</v>
      </c>
      <c r="H57" s="727">
        <v>0</v>
      </c>
      <c r="I57" s="721">
        <v>541.53</v>
      </c>
      <c r="J57" s="105"/>
    </row>
    <row r="58" spans="1:10">
      <c r="A58" s="170">
        <v>50</v>
      </c>
      <c r="B58" s="718">
        <v>41182</v>
      </c>
      <c r="C58" s="719" t="s">
        <v>9795</v>
      </c>
      <c r="D58" s="720" t="s">
        <v>9796</v>
      </c>
      <c r="E58" s="721" t="s">
        <v>7581</v>
      </c>
      <c r="F58" s="721">
        <v>887.5</v>
      </c>
      <c r="G58" s="721">
        <v>887.5</v>
      </c>
      <c r="H58" s="727">
        <v>0</v>
      </c>
      <c r="I58" s="721">
        <v>887.5</v>
      </c>
      <c r="J58" s="105"/>
    </row>
    <row r="59" spans="1:10">
      <c r="A59" s="170">
        <v>51</v>
      </c>
      <c r="B59" s="718">
        <v>41177</v>
      </c>
      <c r="C59" s="719" t="s">
        <v>9797</v>
      </c>
      <c r="D59" s="720"/>
      <c r="E59" s="721" t="s">
        <v>9798</v>
      </c>
      <c r="F59" s="721">
        <v>373676.21</v>
      </c>
      <c r="G59" s="721">
        <v>373676.21</v>
      </c>
      <c r="H59" s="727">
        <v>0</v>
      </c>
      <c r="I59" s="721">
        <v>373676.21</v>
      </c>
      <c r="J59" s="105"/>
    </row>
    <row r="60" spans="1:10" ht="30">
      <c r="A60" s="170">
        <v>52</v>
      </c>
      <c r="B60" s="718">
        <v>41172</v>
      </c>
      <c r="C60" s="719" t="s">
        <v>9799</v>
      </c>
      <c r="D60" s="720" t="s">
        <v>9800</v>
      </c>
      <c r="E60" s="721" t="s">
        <v>9801</v>
      </c>
      <c r="F60" s="721">
        <v>19950</v>
      </c>
      <c r="G60" s="721">
        <v>19950</v>
      </c>
      <c r="H60" s="727">
        <v>0</v>
      </c>
      <c r="I60" s="721">
        <v>19950</v>
      </c>
      <c r="J60" s="105"/>
    </row>
    <row r="61" spans="1:10" ht="30">
      <c r="A61" s="170">
        <v>53</v>
      </c>
      <c r="B61" s="718">
        <v>41170</v>
      </c>
      <c r="C61" s="719" t="s">
        <v>9802</v>
      </c>
      <c r="D61" s="720" t="s">
        <v>9803</v>
      </c>
      <c r="E61" s="721" t="s">
        <v>9804</v>
      </c>
      <c r="F61" s="721">
        <v>625</v>
      </c>
      <c r="G61" s="721">
        <v>625</v>
      </c>
      <c r="H61" s="727">
        <v>0</v>
      </c>
      <c r="I61" s="721">
        <v>625</v>
      </c>
      <c r="J61" s="105"/>
    </row>
    <row r="62" spans="1:10" ht="30">
      <c r="A62" s="170">
        <v>54</v>
      </c>
      <c r="B62" s="718">
        <v>41176</v>
      </c>
      <c r="C62" s="719" t="s">
        <v>9805</v>
      </c>
      <c r="D62" s="720" t="s">
        <v>9806</v>
      </c>
      <c r="E62" s="721" t="s">
        <v>9804</v>
      </c>
      <c r="F62" s="721">
        <v>187.5</v>
      </c>
      <c r="G62" s="721">
        <v>187.5</v>
      </c>
      <c r="H62" s="727">
        <v>0</v>
      </c>
      <c r="I62" s="721">
        <v>187.5</v>
      </c>
      <c r="J62" s="105"/>
    </row>
    <row r="63" spans="1:10">
      <c r="A63" s="170">
        <v>55</v>
      </c>
      <c r="B63" s="718">
        <v>41759</v>
      </c>
      <c r="C63" s="719" t="s">
        <v>7710</v>
      </c>
      <c r="D63" s="720" t="s">
        <v>7709</v>
      </c>
      <c r="E63" s="721" t="s">
        <v>9807</v>
      </c>
      <c r="F63" s="728">
        <v>28327.84</v>
      </c>
      <c r="G63" s="728">
        <v>28327.84</v>
      </c>
      <c r="H63" s="721">
        <v>0</v>
      </c>
      <c r="I63" s="728">
        <v>28327.84</v>
      </c>
      <c r="J63" s="105"/>
    </row>
    <row r="64" spans="1:10">
      <c r="A64" s="170">
        <v>56</v>
      </c>
      <c r="B64" s="718">
        <v>41182</v>
      </c>
      <c r="C64" s="719" t="s">
        <v>9808</v>
      </c>
      <c r="D64" s="720" t="s">
        <v>9809</v>
      </c>
      <c r="E64" s="721" t="s">
        <v>7581</v>
      </c>
      <c r="F64" s="721">
        <v>846.78</v>
      </c>
      <c r="G64" s="721">
        <v>846.78</v>
      </c>
      <c r="H64" s="727">
        <v>0</v>
      </c>
      <c r="I64" s="721">
        <v>846.78</v>
      </c>
      <c r="J64" s="105"/>
    </row>
    <row r="65" spans="1:10">
      <c r="A65" s="170">
        <v>57</v>
      </c>
      <c r="B65" s="718">
        <v>41182</v>
      </c>
      <c r="C65" s="719" t="s">
        <v>9810</v>
      </c>
      <c r="D65" s="720" t="s">
        <v>9811</v>
      </c>
      <c r="E65" s="721" t="s">
        <v>7581</v>
      </c>
      <c r="F65" s="721">
        <v>2916.65</v>
      </c>
      <c r="G65" s="721">
        <v>2916.65</v>
      </c>
      <c r="H65" s="727">
        <v>0</v>
      </c>
      <c r="I65" s="721">
        <v>2916.65</v>
      </c>
      <c r="J65" s="105"/>
    </row>
    <row r="66" spans="1:10">
      <c r="A66" s="170">
        <v>58</v>
      </c>
      <c r="B66" s="718">
        <v>41182</v>
      </c>
      <c r="C66" s="719" t="s">
        <v>9812</v>
      </c>
      <c r="D66" s="720" t="s">
        <v>9813</v>
      </c>
      <c r="E66" s="721" t="s">
        <v>7581</v>
      </c>
      <c r="F66" s="721">
        <v>500</v>
      </c>
      <c r="G66" s="721">
        <v>500</v>
      </c>
      <c r="H66" s="727">
        <v>0</v>
      </c>
      <c r="I66" s="721">
        <v>500</v>
      </c>
      <c r="J66" s="105"/>
    </row>
    <row r="67" spans="1:10">
      <c r="A67" s="170">
        <v>59</v>
      </c>
      <c r="B67" s="718">
        <v>41182</v>
      </c>
      <c r="C67" s="719" t="s">
        <v>9814</v>
      </c>
      <c r="D67" s="720" t="s">
        <v>9815</v>
      </c>
      <c r="E67" s="721" t="s">
        <v>7581</v>
      </c>
      <c r="F67" s="721">
        <v>625</v>
      </c>
      <c r="G67" s="721">
        <v>625</v>
      </c>
      <c r="H67" s="727">
        <v>0</v>
      </c>
      <c r="I67" s="721">
        <v>625</v>
      </c>
      <c r="J67" s="105"/>
    </row>
    <row r="68" spans="1:10">
      <c r="A68" s="170">
        <v>60</v>
      </c>
      <c r="B68" s="718">
        <v>41187</v>
      </c>
      <c r="C68" s="719" t="s">
        <v>9816</v>
      </c>
      <c r="D68" s="720"/>
      <c r="E68" s="720" t="s">
        <v>9817</v>
      </c>
      <c r="F68" s="721">
        <v>52478.12</v>
      </c>
      <c r="G68" s="721">
        <v>52478.12</v>
      </c>
      <c r="H68" s="727">
        <v>0</v>
      </c>
      <c r="I68" s="721">
        <v>52478.12</v>
      </c>
      <c r="J68" s="105"/>
    </row>
    <row r="69" spans="1:10">
      <c r="A69" s="170">
        <v>61</v>
      </c>
      <c r="B69" s="718">
        <v>41153</v>
      </c>
      <c r="C69" s="729" t="s">
        <v>9818</v>
      </c>
      <c r="D69" s="730" t="s">
        <v>9819</v>
      </c>
      <c r="E69" s="721" t="s">
        <v>7581</v>
      </c>
      <c r="F69" s="731">
        <v>747.33</v>
      </c>
      <c r="G69" s="731">
        <v>747.33</v>
      </c>
      <c r="H69" s="732">
        <v>0</v>
      </c>
      <c r="I69" s="731">
        <v>747.33</v>
      </c>
      <c r="J69" s="105"/>
    </row>
    <row r="70" spans="1:10">
      <c r="A70" s="170">
        <v>62</v>
      </c>
      <c r="B70" s="718">
        <v>41059</v>
      </c>
      <c r="C70" s="729" t="s">
        <v>9820</v>
      </c>
      <c r="D70" s="730" t="s">
        <v>9821</v>
      </c>
      <c r="E70" s="733" t="s">
        <v>9822</v>
      </c>
      <c r="F70" s="731">
        <v>65</v>
      </c>
      <c r="G70" s="731">
        <v>65</v>
      </c>
      <c r="H70" s="732">
        <v>0</v>
      </c>
      <c r="I70" s="731">
        <v>65</v>
      </c>
      <c r="J70" s="105"/>
    </row>
    <row r="71" spans="1:10" ht="45">
      <c r="A71" s="170">
        <v>63</v>
      </c>
      <c r="B71" s="718">
        <v>41783</v>
      </c>
      <c r="C71" s="719" t="s">
        <v>9823</v>
      </c>
      <c r="D71" s="720" t="s">
        <v>9824</v>
      </c>
      <c r="E71" s="721" t="s">
        <v>9825</v>
      </c>
      <c r="F71" s="731">
        <v>80104.399999999994</v>
      </c>
      <c r="G71" s="731">
        <v>80104.399999999994</v>
      </c>
      <c r="H71" s="732">
        <v>0</v>
      </c>
      <c r="I71" s="731">
        <v>80104.399999999994</v>
      </c>
      <c r="J71" s="105"/>
    </row>
    <row r="72" spans="1:10">
      <c r="A72" s="170">
        <v>64</v>
      </c>
      <c r="B72" s="734" t="s">
        <v>9826</v>
      </c>
      <c r="C72" s="719" t="s">
        <v>9827</v>
      </c>
      <c r="D72" s="719">
        <v>45001015655</v>
      </c>
      <c r="E72" s="721" t="s">
        <v>9828</v>
      </c>
      <c r="F72" s="735">
        <v>104.18</v>
      </c>
      <c r="G72" s="735">
        <v>104.18</v>
      </c>
      <c r="H72" s="721">
        <v>0</v>
      </c>
      <c r="I72" s="735">
        <v>104.18</v>
      </c>
      <c r="J72" s="105"/>
    </row>
    <row r="73" spans="1:10">
      <c r="A73" s="170">
        <v>65</v>
      </c>
      <c r="B73" s="718" t="s">
        <v>9829</v>
      </c>
      <c r="C73" s="736" t="s">
        <v>9830</v>
      </c>
      <c r="D73" s="720" t="s">
        <v>9831</v>
      </c>
      <c r="E73" s="721" t="s">
        <v>9828</v>
      </c>
      <c r="F73" s="735">
        <v>0.35</v>
      </c>
      <c r="G73" s="735">
        <v>0.35</v>
      </c>
      <c r="H73" s="721">
        <v>0</v>
      </c>
      <c r="I73" s="735">
        <v>0.35</v>
      </c>
      <c r="J73" s="105"/>
    </row>
    <row r="74" spans="1:10">
      <c r="A74" s="170">
        <v>66</v>
      </c>
      <c r="B74" s="718" t="s">
        <v>9832</v>
      </c>
      <c r="C74" s="736" t="s">
        <v>9833</v>
      </c>
      <c r="D74" s="720" t="s">
        <v>9834</v>
      </c>
      <c r="E74" s="721" t="s">
        <v>9828</v>
      </c>
      <c r="F74" s="735">
        <v>500</v>
      </c>
      <c r="G74" s="735">
        <v>500</v>
      </c>
      <c r="H74" s="721">
        <v>0</v>
      </c>
      <c r="I74" s="735">
        <v>500</v>
      </c>
      <c r="J74" s="105"/>
    </row>
    <row r="75" spans="1:10">
      <c r="A75" s="170">
        <v>67</v>
      </c>
      <c r="B75" s="718" t="s">
        <v>9832</v>
      </c>
      <c r="C75" s="736" t="s">
        <v>9835</v>
      </c>
      <c r="D75" s="720" t="s">
        <v>9836</v>
      </c>
      <c r="E75" s="721" t="s">
        <v>9828</v>
      </c>
      <c r="F75" s="735">
        <v>625</v>
      </c>
      <c r="G75" s="735">
        <v>625</v>
      </c>
      <c r="H75" s="721">
        <v>0</v>
      </c>
      <c r="I75" s="735">
        <v>625</v>
      </c>
      <c r="J75" s="105"/>
    </row>
    <row r="76" spans="1:10">
      <c r="A76" s="170">
        <v>68</v>
      </c>
      <c r="B76" s="718" t="s">
        <v>9832</v>
      </c>
      <c r="C76" s="736" t="s">
        <v>9837</v>
      </c>
      <c r="D76" s="720" t="s">
        <v>9838</v>
      </c>
      <c r="E76" s="721" t="s">
        <v>9828</v>
      </c>
      <c r="F76" s="735">
        <v>226.43</v>
      </c>
      <c r="G76" s="735">
        <v>226.43</v>
      </c>
      <c r="H76" s="721">
        <v>0</v>
      </c>
      <c r="I76" s="735">
        <v>226.43</v>
      </c>
      <c r="J76" s="105"/>
    </row>
    <row r="77" spans="1:10">
      <c r="A77" s="170">
        <v>69</v>
      </c>
      <c r="B77" s="718" t="s">
        <v>9832</v>
      </c>
      <c r="C77" s="736" t="s">
        <v>9839</v>
      </c>
      <c r="D77" s="720" t="s">
        <v>9840</v>
      </c>
      <c r="E77" s="721" t="s">
        <v>9828</v>
      </c>
      <c r="F77" s="735">
        <v>563</v>
      </c>
      <c r="G77" s="735">
        <v>563</v>
      </c>
      <c r="H77" s="721">
        <v>0</v>
      </c>
      <c r="I77" s="735">
        <v>563</v>
      </c>
      <c r="J77" s="105"/>
    </row>
    <row r="78" spans="1:10">
      <c r="A78" s="170">
        <v>70</v>
      </c>
      <c r="B78" s="718" t="s">
        <v>9832</v>
      </c>
      <c r="C78" s="736" t="s">
        <v>9841</v>
      </c>
      <c r="D78" s="720" t="s">
        <v>9842</v>
      </c>
      <c r="E78" s="721" t="s">
        <v>9828</v>
      </c>
      <c r="F78" s="735">
        <v>500</v>
      </c>
      <c r="G78" s="735">
        <v>500</v>
      </c>
      <c r="H78" s="721">
        <v>0</v>
      </c>
      <c r="I78" s="735">
        <v>500</v>
      </c>
      <c r="J78" s="105"/>
    </row>
    <row r="79" spans="1:10">
      <c r="A79" s="170">
        <v>71</v>
      </c>
      <c r="B79" s="718" t="s">
        <v>9843</v>
      </c>
      <c r="C79" s="736" t="s">
        <v>7673</v>
      </c>
      <c r="D79" s="720" t="s">
        <v>3141</v>
      </c>
      <c r="E79" s="721" t="s">
        <v>9828</v>
      </c>
      <c r="F79" s="735">
        <v>3200</v>
      </c>
      <c r="G79" s="735">
        <v>3200</v>
      </c>
      <c r="H79" s="721">
        <v>0</v>
      </c>
      <c r="I79" s="735">
        <v>3200</v>
      </c>
      <c r="J79" s="105"/>
    </row>
    <row r="80" spans="1:10">
      <c r="A80" s="170">
        <v>72</v>
      </c>
      <c r="B80" s="718" t="s">
        <v>9832</v>
      </c>
      <c r="C80" s="736" t="s">
        <v>9844</v>
      </c>
      <c r="D80" s="720" t="s">
        <v>9845</v>
      </c>
      <c r="E80" s="721" t="s">
        <v>9828</v>
      </c>
      <c r="F80" s="735">
        <v>1600</v>
      </c>
      <c r="G80" s="735">
        <v>1600</v>
      </c>
      <c r="H80" s="721">
        <v>0</v>
      </c>
      <c r="I80" s="735">
        <v>1600</v>
      </c>
      <c r="J80" s="105"/>
    </row>
    <row r="81" spans="1:10">
      <c r="A81" s="170">
        <v>73</v>
      </c>
      <c r="B81" s="718" t="s">
        <v>9832</v>
      </c>
      <c r="C81" s="736" t="s">
        <v>9846</v>
      </c>
      <c r="D81" s="720">
        <v>61002014645</v>
      </c>
      <c r="E81" s="721" t="s">
        <v>9828</v>
      </c>
      <c r="F81" s="735">
        <v>522.54</v>
      </c>
      <c r="G81" s="735">
        <v>522.54</v>
      </c>
      <c r="H81" s="721">
        <v>0</v>
      </c>
      <c r="I81" s="735">
        <v>522.54</v>
      </c>
      <c r="J81" s="105"/>
    </row>
    <row r="82" spans="1:10">
      <c r="A82" s="170">
        <v>74</v>
      </c>
      <c r="B82" s="718" t="s">
        <v>9832</v>
      </c>
      <c r="C82" s="736" t="s">
        <v>9847</v>
      </c>
      <c r="D82" s="720" t="s">
        <v>9848</v>
      </c>
      <c r="E82" s="721" t="s">
        <v>9828</v>
      </c>
      <c r="F82" s="735">
        <v>873</v>
      </c>
      <c r="G82" s="735">
        <v>873</v>
      </c>
      <c r="H82" s="721">
        <v>0</v>
      </c>
      <c r="I82" s="735">
        <v>873</v>
      </c>
      <c r="J82" s="105"/>
    </row>
    <row r="83" spans="1:10">
      <c r="A83" s="170">
        <v>75</v>
      </c>
      <c r="B83" s="718" t="s">
        <v>9832</v>
      </c>
      <c r="C83" s="736" t="s">
        <v>9849</v>
      </c>
      <c r="D83" s="720" t="s">
        <v>9850</v>
      </c>
      <c r="E83" s="721" t="s">
        <v>9828</v>
      </c>
      <c r="F83" s="735">
        <v>870.9</v>
      </c>
      <c r="G83" s="735">
        <v>870.9</v>
      </c>
      <c r="H83" s="721">
        <v>0</v>
      </c>
      <c r="I83" s="735">
        <v>870.9</v>
      </c>
      <c r="J83" s="105"/>
    </row>
    <row r="84" spans="1:10">
      <c r="A84" s="170">
        <v>76</v>
      </c>
      <c r="B84" s="718" t="s">
        <v>9832</v>
      </c>
      <c r="C84" s="736" t="s">
        <v>9851</v>
      </c>
      <c r="D84" s="720" t="s">
        <v>9852</v>
      </c>
      <c r="E84" s="721" t="s">
        <v>9828</v>
      </c>
      <c r="F84" s="735">
        <v>500</v>
      </c>
      <c r="G84" s="735">
        <v>500</v>
      </c>
      <c r="H84" s="721">
        <v>0</v>
      </c>
      <c r="I84" s="735">
        <v>500</v>
      </c>
      <c r="J84" s="105"/>
    </row>
    <row r="85" spans="1:10">
      <c r="A85" s="170">
        <v>77</v>
      </c>
      <c r="B85" s="737" t="s">
        <v>9832</v>
      </c>
      <c r="C85" s="738" t="s">
        <v>9853</v>
      </c>
      <c r="D85" s="739" t="s">
        <v>9854</v>
      </c>
      <c r="E85" s="740" t="s">
        <v>9828</v>
      </c>
      <c r="F85" s="741">
        <v>200</v>
      </c>
      <c r="G85" s="741">
        <v>200</v>
      </c>
      <c r="H85" s="740">
        <v>0</v>
      </c>
      <c r="I85" s="741">
        <v>200</v>
      </c>
      <c r="J85" s="105"/>
    </row>
    <row r="86" spans="1:10" ht="30">
      <c r="A86" s="170">
        <v>78</v>
      </c>
      <c r="B86" s="742">
        <v>42646</v>
      </c>
      <c r="C86" s="563" t="s">
        <v>9855</v>
      </c>
      <c r="D86" s="743" t="s">
        <v>9856</v>
      </c>
      <c r="E86" s="721" t="s">
        <v>9857</v>
      </c>
      <c r="F86" s="744">
        <v>156.25</v>
      </c>
      <c r="G86" s="744">
        <v>156.25</v>
      </c>
      <c r="H86" s="744">
        <v>0</v>
      </c>
      <c r="I86" s="744">
        <v>156.25</v>
      </c>
      <c r="J86" s="105"/>
    </row>
    <row r="87" spans="1:10" ht="30">
      <c r="A87" s="170">
        <v>79</v>
      </c>
      <c r="B87" s="742">
        <v>42646</v>
      </c>
      <c r="C87" s="563" t="s">
        <v>9858</v>
      </c>
      <c r="D87" s="743" t="s">
        <v>9859</v>
      </c>
      <c r="E87" s="721" t="s">
        <v>9860</v>
      </c>
      <c r="F87" s="744">
        <v>50</v>
      </c>
      <c r="G87" s="744">
        <v>50</v>
      </c>
      <c r="H87" s="744">
        <v>0</v>
      </c>
      <c r="I87" s="744">
        <v>50</v>
      </c>
      <c r="J87" s="105"/>
    </row>
    <row r="88" spans="1:10" ht="45">
      <c r="A88" s="170">
        <v>80</v>
      </c>
      <c r="B88" s="742">
        <v>42614</v>
      </c>
      <c r="C88" s="563" t="s">
        <v>9861</v>
      </c>
      <c r="D88" s="743" t="s">
        <v>9862</v>
      </c>
      <c r="E88" s="721" t="s">
        <v>9863</v>
      </c>
      <c r="F88" s="744">
        <v>180</v>
      </c>
      <c r="G88" s="744">
        <v>180</v>
      </c>
      <c r="H88" s="744">
        <v>0</v>
      </c>
      <c r="I88" s="744">
        <v>180</v>
      </c>
      <c r="J88" s="105"/>
    </row>
    <row r="89" spans="1:10">
      <c r="A89" s="170">
        <v>81</v>
      </c>
      <c r="B89" s="742">
        <v>42704</v>
      </c>
      <c r="C89" s="745" t="s">
        <v>7605</v>
      </c>
      <c r="D89" s="743" t="s">
        <v>9864</v>
      </c>
      <c r="E89" s="721" t="s">
        <v>7581</v>
      </c>
      <c r="F89" s="744">
        <v>625</v>
      </c>
      <c r="G89" s="744">
        <v>625</v>
      </c>
      <c r="H89" s="744">
        <v>0</v>
      </c>
      <c r="I89" s="744">
        <v>625</v>
      </c>
      <c r="J89" s="105"/>
    </row>
    <row r="90" spans="1:10">
      <c r="A90" s="170">
        <v>82</v>
      </c>
      <c r="B90" s="742">
        <v>42704</v>
      </c>
      <c r="C90" s="745" t="s">
        <v>7708</v>
      </c>
      <c r="D90" s="743" t="s">
        <v>7707</v>
      </c>
      <c r="E90" s="721" t="s">
        <v>7581</v>
      </c>
      <c r="F90" s="744">
        <v>1250</v>
      </c>
      <c r="G90" s="744">
        <v>1250</v>
      </c>
      <c r="H90" s="744">
        <v>0</v>
      </c>
      <c r="I90" s="744">
        <v>1250</v>
      </c>
      <c r="J90" s="105"/>
    </row>
    <row r="91" spans="1:10" ht="30">
      <c r="A91" s="170">
        <v>83</v>
      </c>
      <c r="B91" s="742">
        <v>42735</v>
      </c>
      <c r="C91" s="745" t="s">
        <v>9865</v>
      </c>
      <c r="D91" s="743" t="s">
        <v>9866</v>
      </c>
      <c r="E91" s="721" t="s">
        <v>9867</v>
      </c>
      <c r="F91" s="744">
        <v>6246.45</v>
      </c>
      <c r="G91" s="744">
        <v>6246.45</v>
      </c>
      <c r="H91" s="744">
        <v>0</v>
      </c>
      <c r="I91" s="744">
        <v>6246.45</v>
      </c>
      <c r="J91" s="105"/>
    </row>
    <row r="92" spans="1:10">
      <c r="A92" s="170">
        <v>84</v>
      </c>
      <c r="B92" s="742">
        <v>42704</v>
      </c>
      <c r="C92" s="745" t="s">
        <v>9868</v>
      </c>
      <c r="D92" s="743" t="s">
        <v>9869</v>
      </c>
      <c r="E92" s="721" t="s">
        <v>7581</v>
      </c>
      <c r="F92" s="744">
        <v>500</v>
      </c>
      <c r="G92" s="744">
        <v>500</v>
      </c>
      <c r="H92" s="744">
        <v>0</v>
      </c>
      <c r="I92" s="744">
        <v>500</v>
      </c>
      <c r="J92" s="105"/>
    </row>
    <row r="93" spans="1:10">
      <c r="A93" s="170">
        <v>85</v>
      </c>
      <c r="B93" s="742">
        <v>42704</v>
      </c>
      <c r="C93" s="745" t="s">
        <v>9870</v>
      </c>
      <c r="D93" s="743" t="s">
        <v>9871</v>
      </c>
      <c r="E93" s="721" t="s">
        <v>7581</v>
      </c>
      <c r="F93" s="744">
        <v>800</v>
      </c>
      <c r="G93" s="744">
        <v>800</v>
      </c>
      <c r="H93" s="744">
        <v>0</v>
      </c>
      <c r="I93" s="744">
        <v>800</v>
      </c>
      <c r="J93" s="105"/>
    </row>
    <row r="94" spans="1:10">
      <c r="A94" s="170">
        <v>86</v>
      </c>
      <c r="B94" s="742">
        <v>42704</v>
      </c>
      <c r="C94" s="745" t="s">
        <v>9872</v>
      </c>
      <c r="D94" s="743" t="s">
        <v>7596</v>
      </c>
      <c r="E94" s="721" t="s">
        <v>7581</v>
      </c>
      <c r="F94" s="744">
        <v>1500</v>
      </c>
      <c r="G94" s="744">
        <v>1500</v>
      </c>
      <c r="H94" s="744">
        <v>0</v>
      </c>
      <c r="I94" s="744">
        <v>1500</v>
      </c>
      <c r="J94" s="105"/>
    </row>
    <row r="95" spans="1:10" ht="45">
      <c r="A95" s="170">
        <v>87</v>
      </c>
      <c r="B95" s="742">
        <v>42704</v>
      </c>
      <c r="C95" s="745" t="s">
        <v>7603</v>
      </c>
      <c r="D95" s="743" t="s">
        <v>7602</v>
      </c>
      <c r="E95" s="721" t="s">
        <v>7581</v>
      </c>
      <c r="F95" s="744">
        <v>800</v>
      </c>
      <c r="G95" s="744">
        <v>800</v>
      </c>
      <c r="H95" s="744">
        <v>0</v>
      </c>
      <c r="I95" s="744">
        <v>800</v>
      </c>
      <c r="J95" s="105"/>
    </row>
    <row r="96" spans="1:10">
      <c r="A96" s="170">
        <v>88</v>
      </c>
      <c r="B96" s="742">
        <v>42704</v>
      </c>
      <c r="C96" s="745" t="s">
        <v>7628</v>
      </c>
      <c r="D96" s="743" t="s">
        <v>7627</v>
      </c>
      <c r="E96" s="721" t="s">
        <v>7581</v>
      </c>
      <c r="F96" s="744">
        <v>375</v>
      </c>
      <c r="G96" s="744">
        <v>375</v>
      </c>
      <c r="H96" s="744">
        <v>0</v>
      </c>
      <c r="I96" s="744">
        <v>375</v>
      </c>
      <c r="J96" s="105"/>
    </row>
    <row r="97" spans="1:10">
      <c r="A97" s="170">
        <v>89</v>
      </c>
      <c r="B97" s="742">
        <v>42704</v>
      </c>
      <c r="C97" s="745" t="s">
        <v>7662</v>
      </c>
      <c r="D97" s="743" t="s">
        <v>7661</v>
      </c>
      <c r="E97" s="721" t="s">
        <v>7581</v>
      </c>
      <c r="F97" s="744">
        <v>300</v>
      </c>
      <c r="G97" s="744">
        <v>300</v>
      </c>
      <c r="H97" s="744">
        <v>0</v>
      </c>
      <c r="I97" s="744">
        <v>300</v>
      </c>
      <c r="J97" s="105"/>
    </row>
    <row r="98" spans="1:10">
      <c r="A98" s="170">
        <v>90</v>
      </c>
      <c r="B98" s="742">
        <v>42704</v>
      </c>
      <c r="C98" s="745" t="s">
        <v>7671</v>
      </c>
      <c r="D98" s="743" t="s">
        <v>7670</v>
      </c>
      <c r="E98" s="721" t="s">
        <v>7581</v>
      </c>
      <c r="F98" s="744">
        <v>550</v>
      </c>
      <c r="G98" s="744">
        <v>550</v>
      </c>
      <c r="H98" s="744">
        <v>0</v>
      </c>
      <c r="I98" s="744">
        <v>550</v>
      </c>
      <c r="J98" s="105"/>
    </row>
    <row r="99" spans="1:10">
      <c r="A99" s="170">
        <v>91</v>
      </c>
      <c r="B99" s="742">
        <v>42704</v>
      </c>
      <c r="C99" s="745" t="s">
        <v>9873</v>
      </c>
      <c r="D99" s="743" t="s">
        <v>7675</v>
      </c>
      <c r="E99" s="721" t="s">
        <v>7581</v>
      </c>
      <c r="F99" s="744">
        <v>800</v>
      </c>
      <c r="G99" s="744">
        <v>800</v>
      </c>
      <c r="H99" s="744">
        <v>0</v>
      </c>
      <c r="I99" s="744">
        <v>800</v>
      </c>
      <c r="J99" s="105"/>
    </row>
    <row r="100" spans="1:10">
      <c r="A100" s="170">
        <v>92</v>
      </c>
      <c r="B100" s="742">
        <v>42704</v>
      </c>
      <c r="C100" s="745" t="s">
        <v>9874</v>
      </c>
      <c r="D100" s="743" t="s">
        <v>7684</v>
      </c>
      <c r="E100" s="721" t="s">
        <v>7581</v>
      </c>
      <c r="F100" s="744">
        <v>875</v>
      </c>
      <c r="G100" s="744">
        <v>875</v>
      </c>
      <c r="H100" s="744">
        <v>0</v>
      </c>
      <c r="I100" s="744">
        <v>875</v>
      </c>
      <c r="J100" s="105"/>
    </row>
    <row r="101" spans="1:10">
      <c r="A101" s="170">
        <v>93</v>
      </c>
      <c r="B101" s="742">
        <v>42704</v>
      </c>
      <c r="C101" s="745" t="s">
        <v>7688</v>
      </c>
      <c r="D101" s="743" t="s">
        <v>7687</v>
      </c>
      <c r="E101" s="721" t="s">
        <v>7581</v>
      </c>
      <c r="F101" s="744">
        <v>1875</v>
      </c>
      <c r="G101" s="744">
        <v>1875</v>
      </c>
      <c r="H101" s="744">
        <v>0</v>
      </c>
      <c r="I101" s="744">
        <v>1875</v>
      </c>
      <c r="J101" s="105"/>
    </row>
    <row r="102" spans="1:10">
      <c r="A102" s="170">
        <v>94</v>
      </c>
      <c r="B102" s="742">
        <v>42704</v>
      </c>
      <c r="C102" s="745" t="s">
        <v>9875</v>
      </c>
      <c r="D102" s="743" t="s">
        <v>7679</v>
      </c>
      <c r="E102" s="721" t="s">
        <v>7581</v>
      </c>
      <c r="F102" s="744">
        <v>1250</v>
      </c>
      <c r="G102" s="744">
        <v>1250</v>
      </c>
      <c r="H102" s="744">
        <v>0</v>
      </c>
      <c r="I102" s="744">
        <v>1250</v>
      </c>
      <c r="J102" s="105"/>
    </row>
    <row r="103" spans="1:10">
      <c r="A103" s="170">
        <v>95</v>
      </c>
      <c r="B103" s="742">
        <v>42704</v>
      </c>
      <c r="C103" s="745" t="s">
        <v>7795</v>
      </c>
      <c r="D103" s="743" t="s">
        <v>7794</v>
      </c>
      <c r="E103" s="721" t="s">
        <v>7581</v>
      </c>
      <c r="F103" s="744">
        <v>800</v>
      </c>
      <c r="G103" s="744">
        <v>800</v>
      </c>
      <c r="H103" s="744">
        <v>0</v>
      </c>
      <c r="I103" s="744">
        <v>800</v>
      </c>
      <c r="J103" s="105"/>
    </row>
    <row r="104" spans="1:10">
      <c r="A104" s="170">
        <v>96</v>
      </c>
      <c r="B104" s="742">
        <v>42704</v>
      </c>
      <c r="C104" s="745" t="s">
        <v>9876</v>
      </c>
      <c r="D104" s="743" t="s">
        <v>9877</v>
      </c>
      <c r="E104" s="721" t="s">
        <v>7581</v>
      </c>
      <c r="F104" s="744">
        <v>350</v>
      </c>
      <c r="G104" s="744">
        <v>350</v>
      </c>
      <c r="H104" s="744">
        <v>0</v>
      </c>
      <c r="I104" s="744">
        <v>350</v>
      </c>
      <c r="J104" s="105"/>
    </row>
    <row r="105" spans="1:10">
      <c r="A105" s="170">
        <v>97</v>
      </c>
      <c r="B105" s="742">
        <v>42704</v>
      </c>
      <c r="C105" s="745" t="s">
        <v>9878</v>
      </c>
      <c r="D105" s="743" t="s">
        <v>9879</v>
      </c>
      <c r="E105" s="721" t="s">
        <v>7581</v>
      </c>
      <c r="F105" s="744">
        <v>875</v>
      </c>
      <c r="G105" s="744">
        <v>875</v>
      </c>
      <c r="H105" s="744">
        <v>0</v>
      </c>
      <c r="I105" s="744">
        <v>875</v>
      </c>
      <c r="J105" s="105"/>
    </row>
    <row r="106" spans="1:10">
      <c r="A106" s="170">
        <v>98</v>
      </c>
      <c r="B106" s="742">
        <v>42704</v>
      </c>
      <c r="C106" s="745" t="s">
        <v>9880</v>
      </c>
      <c r="D106" s="743" t="s">
        <v>8020</v>
      </c>
      <c r="E106" s="721" t="s">
        <v>7581</v>
      </c>
      <c r="F106" s="744">
        <v>625</v>
      </c>
      <c r="G106" s="744">
        <v>625</v>
      </c>
      <c r="H106" s="744">
        <v>0</v>
      </c>
      <c r="I106" s="744">
        <v>625</v>
      </c>
      <c r="J106" s="105"/>
    </row>
    <row r="107" spans="1:10">
      <c r="A107" s="170">
        <v>99</v>
      </c>
      <c r="B107" s="742">
        <v>42704</v>
      </c>
      <c r="C107" s="745" t="s">
        <v>9881</v>
      </c>
      <c r="D107" s="743" t="s">
        <v>7999</v>
      </c>
      <c r="E107" s="721" t="s">
        <v>7581</v>
      </c>
      <c r="F107" s="744">
        <v>562.5</v>
      </c>
      <c r="G107" s="744">
        <v>562.5</v>
      </c>
      <c r="H107" s="744">
        <v>0</v>
      </c>
      <c r="I107" s="744">
        <v>562.5</v>
      </c>
      <c r="J107" s="105"/>
    </row>
    <row r="108" spans="1:10">
      <c r="A108" s="170">
        <v>100</v>
      </c>
      <c r="B108" s="742">
        <v>42704</v>
      </c>
      <c r="C108" s="745" t="s">
        <v>9882</v>
      </c>
      <c r="D108" s="743" t="s">
        <v>9883</v>
      </c>
      <c r="E108" s="721" t="s">
        <v>7581</v>
      </c>
      <c r="F108" s="744">
        <v>500</v>
      </c>
      <c r="G108" s="744">
        <v>500</v>
      </c>
      <c r="H108" s="744">
        <v>0</v>
      </c>
      <c r="I108" s="744">
        <v>500</v>
      </c>
      <c r="J108" s="105"/>
    </row>
    <row r="109" spans="1:10">
      <c r="A109" s="170">
        <v>101</v>
      </c>
      <c r="B109" s="742">
        <v>42704</v>
      </c>
      <c r="C109" s="745" t="s">
        <v>9884</v>
      </c>
      <c r="D109" s="743" t="s">
        <v>7981</v>
      </c>
      <c r="E109" s="721" t="s">
        <v>7581</v>
      </c>
      <c r="F109" s="744">
        <v>625</v>
      </c>
      <c r="G109" s="744">
        <v>625</v>
      </c>
      <c r="H109" s="744">
        <v>0</v>
      </c>
      <c r="I109" s="744">
        <v>625</v>
      </c>
      <c r="J109" s="105"/>
    </row>
    <row r="110" spans="1:10">
      <c r="A110" s="170">
        <v>102</v>
      </c>
      <c r="B110" s="742">
        <v>42704</v>
      </c>
      <c r="C110" s="745" t="s">
        <v>9885</v>
      </c>
      <c r="D110" s="743" t="s">
        <v>9886</v>
      </c>
      <c r="E110" s="721" t="s">
        <v>7581</v>
      </c>
      <c r="F110" s="744">
        <v>400</v>
      </c>
      <c r="G110" s="744">
        <v>400</v>
      </c>
      <c r="H110" s="744">
        <v>0</v>
      </c>
      <c r="I110" s="744">
        <v>400</v>
      </c>
      <c r="J110" s="105"/>
    </row>
    <row r="111" spans="1:10">
      <c r="A111" s="170">
        <v>103</v>
      </c>
      <c r="B111" s="742">
        <v>42704</v>
      </c>
      <c r="C111" s="745" t="s">
        <v>9887</v>
      </c>
      <c r="D111" s="743" t="s">
        <v>9888</v>
      </c>
      <c r="E111" s="721" t="s">
        <v>7581</v>
      </c>
      <c r="F111" s="744">
        <v>625</v>
      </c>
      <c r="G111" s="744">
        <v>625</v>
      </c>
      <c r="H111" s="744">
        <v>0</v>
      </c>
      <c r="I111" s="744">
        <v>625</v>
      </c>
      <c r="J111" s="105"/>
    </row>
    <row r="112" spans="1:10">
      <c r="A112" s="170">
        <v>104</v>
      </c>
      <c r="B112" s="742">
        <v>42704</v>
      </c>
      <c r="C112" s="745" t="s">
        <v>9889</v>
      </c>
      <c r="D112" s="743" t="s">
        <v>9890</v>
      </c>
      <c r="E112" s="721" t="s">
        <v>7581</v>
      </c>
      <c r="F112" s="744">
        <v>525</v>
      </c>
      <c r="G112" s="744">
        <v>525</v>
      </c>
      <c r="H112" s="744">
        <v>0</v>
      </c>
      <c r="I112" s="744">
        <v>525</v>
      </c>
      <c r="J112" s="105"/>
    </row>
    <row r="113" spans="1:10">
      <c r="A113" s="170">
        <v>105</v>
      </c>
      <c r="B113" s="742">
        <v>42704</v>
      </c>
      <c r="C113" s="745" t="s">
        <v>9891</v>
      </c>
      <c r="D113" s="743" t="s">
        <v>7948</v>
      </c>
      <c r="E113" s="721" t="s">
        <v>7581</v>
      </c>
      <c r="F113" s="744">
        <v>625</v>
      </c>
      <c r="G113" s="744">
        <v>625</v>
      </c>
      <c r="H113" s="744">
        <v>0</v>
      </c>
      <c r="I113" s="744">
        <v>625</v>
      </c>
      <c r="J113" s="105"/>
    </row>
    <row r="114" spans="1:10">
      <c r="A114" s="170">
        <v>106</v>
      </c>
      <c r="B114" s="742">
        <v>42704</v>
      </c>
      <c r="C114" s="745" t="s">
        <v>9892</v>
      </c>
      <c r="D114" s="743" t="s">
        <v>7914</v>
      </c>
      <c r="E114" s="721" t="s">
        <v>7581</v>
      </c>
      <c r="F114" s="744">
        <v>4003.8</v>
      </c>
      <c r="G114" s="744">
        <v>4003.8</v>
      </c>
      <c r="H114" s="744">
        <v>0</v>
      </c>
      <c r="I114" s="744">
        <v>4003.8</v>
      </c>
      <c r="J114" s="105"/>
    </row>
    <row r="115" spans="1:10">
      <c r="A115" s="170">
        <v>107</v>
      </c>
      <c r="B115" s="742">
        <v>42704</v>
      </c>
      <c r="C115" s="745" t="s">
        <v>9893</v>
      </c>
      <c r="D115" s="743" t="s">
        <v>7991</v>
      </c>
      <c r="E115" s="721" t="s">
        <v>7581</v>
      </c>
      <c r="F115" s="744">
        <v>1125</v>
      </c>
      <c r="G115" s="744">
        <v>1125</v>
      </c>
      <c r="H115" s="744">
        <v>0</v>
      </c>
      <c r="I115" s="744">
        <v>1125</v>
      </c>
      <c r="J115" s="105"/>
    </row>
    <row r="116" spans="1:10">
      <c r="A116" s="170">
        <v>108</v>
      </c>
      <c r="B116" s="742">
        <v>42704</v>
      </c>
      <c r="C116" s="745" t="s">
        <v>9894</v>
      </c>
      <c r="D116" s="743" t="s">
        <v>7995</v>
      </c>
      <c r="E116" s="721" t="s">
        <v>7581</v>
      </c>
      <c r="F116" s="744">
        <v>800</v>
      </c>
      <c r="G116" s="744">
        <v>800</v>
      </c>
      <c r="H116" s="744">
        <v>0</v>
      </c>
      <c r="I116" s="744">
        <v>800</v>
      </c>
      <c r="J116" s="105"/>
    </row>
    <row r="117" spans="1:10">
      <c r="A117" s="170">
        <v>109</v>
      </c>
      <c r="B117" s="742">
        <v>42704</v>
      </c>
      <c r="C117" s="745" t="s">
        <v>9895</v>
      </c>
      <c r="D117" s="743" t="s">
        <v>8006</v>
      </c>
      <c r="E117" s="721" t="s">
        <v>7581</v>
      </c>
      <c r="F117" s="744">
        <v>1000</v>
      </c>
      <c r="G117" s="744">
        <v>1000</v>
      </c>
      <c r="H117" s="744">
        <v>0</v>
      </c>
      <c r="I117" s="744">
        <v>1000</v>
      </c>
      <c r="J117" s="105"/>
    </row>
    <row r="118" spans="1:10">
      <c r="A118" s="170">
        <v>110</v>
      </c>
      <c r="B118" s="742">
        <v>42704</v>
      </c>
      <c r="C118" s="745" t="s">
        <v>9896</v>
      </c>
      <c r="D118" s="743" t="s">
        <v>8010</v>
      </c>
      <c r="E118" s="721" t="s">
        <v>7581</v>
      </c>
      <c r="F118" s="744">
        <v>625</v>
      </c>
      <c r="G118" s="744">
        <v>625</v>
      </c>
      <c r="H118" s="744">
        <v>0</v>
      </c>
      <c r="I118" s="744">
        <v>625</v>
      </c>
      <c r="J118" s="105"/>
    </row>
    <row r="119" spans="1:10">
      <c r="A119" s="170">
        <v>111</v>
      </c>
      <c r="B119" s="742">
        <v>42704</v>
      </c>
      <c r="C119" s="745" t="s">
        <v>9897</v>
      </c>
      <c r="D119" s="743" t="s">
        <v>9898</v>
      </c>
      <c r="E119" s="721" t="s">
        <v>7581</v>
      </c>
      <c r="F119" s="744">
        <v>1000</v>
      </c>
      <c r="G119" s="744">
        <v>1000</v>
      </c>
      <c r="H119" s="744">
        <v>0</v>
      </c>
      <c r="I119" s="744">
        <v>1000</v>
      </c>
      <c r="J119" s="105"/>
    </row>
    <row r="120" spans="1:10">
      <c r="A120" s="170">
        <v>112</v>
      </c>
      <c r="B120" s="742">
        <v>42704</v>
      </c>
      <c r="C120" s="745" t="s">
        <v>9899</v>
      </c>
      <c r="D120" s="743" t="s">
        <v>8028</v>
      </c>
      <c r="E120" s="721" t="s">
        <v>7581</v>
      </c>
      <c r="F120" s="744">
        <v>875</v>
      </c>
      <c r="G120" s="744">
        <v>875</v>
      </c>
      <c r="H120" s="744">
        <v>0</v>
      </c>
      <c r="I120" s="744">
        <v>875</v>
      </c>
      <c r="J120" s="105"/>
    </row>
    <row r="121" spans="1:10">
      <c r="A121" s="170">
        <v>113</v>
      </c>
      <c r="B121" s="742">
        <v>42704</v>
      </c>
      <c r="C121" s="745" t="s">
        <v>9900</v>
      </c>
      <c r="D121" s="743" t="s">
        <v>8042</v>
      </c>
      <c r="E121" s="721" t="s">
        <v>7581</v>
      </c>
      <c r="F121" s="744">
        <v>2669.2</v>
      </c>
      <c r="G121" s="744">
        <v>2669.2</v>
      </c>
      <c r="H121" s="744">
        <v>0</v>
      </c>
      <c r="I121" s="744">
        <v>2669.2</v>
      </c>
      <c r="J121" s="105"/>
    </row>
    <row r="122" spans="1:10">
      <c r="A122" s="170">
        <v>114</v>
      </c>
      <c r="B122" s="742">
        <v>42704</v>
      </c>
      <c r="C122" s="745" t="s">
        <v>9901</v>
      </c>
      <c r="D122" s="743" t="s">
        <v>8047</v>
      </c>
      <c r="E122" s="721" t="s">
        <v>7581</v>
      </c>
      <c r="F122" s="744">
        <v>1250</v>
      </c>
      <c r="G122" s="744">
        <v>1250</v>
      </c>
      <c r="H122" s="744">
        <v>0</v>
      </c>
      <c r="I122" s="744">
        <v>1250</v>
      </c>
      <c r="J122" s="105"/>
    </row>
    <row r="123" spans="1:10">
      <c r="A123" s="170">
        <v>115</v>
      </c>
      <c r="B123" s="742">
        <v>42704</v>
      </c>
      <c r="C123" s="745" t="s">
        <v>9902</v>
      </c>
      <c r="D123" s="743" t="s">
        <v>8055</v>
      </c>
      <c r="E123" s="721" t="s">
        <v>7581</v>
      </c>
      <c r="F123" s="744">
        <v>2669.2</v>
      </c>
      <c r="G123" s="744">
        <v>2669.2</v>
      </c>
      <c r="H123" s="744">
        <v>0</v>
      </c>
      <c r="I123" s="744">
        <v>2669.2</v>
      </c>
      <c r="J123" s="105"/>
    </row>
    <row r="124" spans="1:10">
      <c r="A124" s="170">
        <v>116</v>
      </c>
      <c r="B124" s="742">
        <v>42704</v>
      </c>
      <c r="C124" s="745" t="s">
        <v>9903</v>
      </c>
      <c r="D124" s="743" t="s">
        <v>8064</v>
      </c>
      <c r="E124" s="721" t="s">
        <v>7581</v>
      </c>
      <c r="F124" s="744">
        <v>600</v>
      </c>
      <c r="G124" s="744">
        <v>600</v>
      </c>
      <c r="H124" s="744">
        <v>0</v>
      </c>
      <c r="I124" s="744">
        <v>600</v>
      </c>
      <c r="J124" s="105"/>
    </row>
    <row r="125" spans="1:10">
      <c r="A125" s="170">
        <v>117</v>
      </c>
      <c r="B125" s="742">
        <v>42730</v>
      </c>
      <c r="C125" s="745" t="s">
        <v>9904</v>
      </c>
      <c r="D125" s="743" t="s">
        <v>8065</v>
      </c>
      <c r="E125" s="721" t="s">
        <v>7581</v>
      </c>
      <c r="F125" s="744">
        <v>193.73</v>
      </c>
      <c r="G125" s="744">
        <v>193.73</v>
      </c>
      <c r="H125" s="744">
        <v>0</v>
      </c>
      <c r="I125" s="744">
        <v>193.73</v>
      </c>
      <c r="J125" s="105"/>
    </row>
    <row r="126" spans="1:10">
      <c r="A126" s="170">
        <v>118</v>
      </c>
      <c r="B126" s="742">
        <v>42704</v>
      </c>
      <c r="C126" s="745" t="s">
        <v>9905</v>
      </c>
      <c r="D126" s="743" t="s">
        <v>7962</v>
      </c>
      <c r="E126" s="721" t="s">
        <v>7581</v>
      </c>
      <c r="F126" s="744">
        <v>500</v>
      </c>
      <c r="G126" s="744">
        <v>500</v>
      </c>
      <c r="H126" s="744">
        <v>0</v>
      </c>
      <c r="I126" s="744">
        <v>500</v>
      </c>
      <c r="J126" s="105"/>
    </row>
    <row r="127" spans="1:10">
      <c r="A127" s="170" t="s">
        <v>278</v>
      </c>
      <c r="B127" s="206"/>
      <c r="C127" s="177"/>
      <c r="D127" s="177"/>
      <c r="E127" s="176"/>
      <c r="F127" s="176"/>
      <c r="G127" s="271"/>
      <c r="H127" s="280" t="s">
        <v>432</v>
      </c>
      <c r="I127" s="388">
        <f>SUM(I9:I126)</f>
        <v>1417782.2</v>
      </c>
      <c r="J127" s="105"/>
    </row>
    <row r="129" spans="1:12">
      <c r="A129" s="184" t="s">
        <v>463</v>
      </c>
    </row>
    <row r="131" spans="1:12">
      <c r="B131" s="186" t="s">
        <v>107</v>
      </c>
      <c r="F131" s="187"/>
    </row>
    <row r="132" spans="1:12">
      <c r="F132" s="185"/>
      <c r="I132" s="185"/>
      <c r="J132" s="185"/>
      <c r="K132" s="185"/>
      <c r="L132" s="185"/>
    </row>
    <row r="133" spans="1:12">
      <c r="C133" s="188"/>
      <c r="F133" s="188"/>
      <c r="G133" s="188"/>
      <c r="H133" s="191"/>
      <c r="I133" s="189"/>
      <c r="J133" s="185"/>
      <c r="K133" s="185"/>
      <c r="L133" s="185"/>
    </row>
    <row r="134" spans="1:12">
      <c r="A134" s="185"/>
      <c r="C134" s="190" t="s">
        <v>268</v>
      </c>
      <c r="F134" s="191" t="s">
        <v>273</v>
      </c>
      <c r="G134" s="190"/>
      <c r="H134" s="190"/>
      <c r="I134" s="189"/>
      <c r="J134" s="185"/>
      <c r="K134" s="185"/>
      <c r="L134" s="185"/>
    </row>
    <row r="135" spans="1:12">
      <c r="A135" s="185"/>
      <c r="C135" s="192" t="s">
        <v>139</v>
      </c>
      <c r="F135" s="184" t="s">
        <v>269</v>
      </c>
      <c r="I135" s="185"/>
      <c r="J135" s="185"/>
      <c r="K135" s="185"/>
      <c r="L135" s="185"/>
    </row>
    <row r="136" spans="1:12" s="185" customFormat="1">
      <c r="B136" s="184"/>
      <c r="C136" s="192"/>
      <c r="G136" s="192"/>
      <c r="H136" s="192"/>
    </row>
    <row r="137" spans="1:12" s="185" customFormat="1" ht="12.75"/>
    <row r="138" spans="1:12" s="185" customFormat="1" ht="12.75"/>
    <row r="139" spans="1:12" s="185" customFormat="1" ht="12.75"/>
    <row r="140" spans="1:12" s="185" customFormat="1" ht="12.75"/>
  </sheetData>
  <mergeCells count="1">
    <mergeCell ref="I2:K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127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3"/>
  <sheetViews>
    <sheetView showGridLines="0" view="pageBreakPreview" zoomScale="80" zoomScaleNormal="100" zoomScaleSheetLayoutView="80" workbookViewId="0">
      <selection activeCell="H14" sqref="H14"/>
    </sheetView>
  </sheetViews>
  <sheetFormatPr defaultRowHeight="12.75"/>
  <cols>
    <col min="1" max="1" width="2.7109375" style="196" customWidth="1"/>
    <col min="2" max="2" width="9" style="196" customWidth="1"/>
    <col min="3" max="3" width="23.42578125" style="196" customWidth="1"/>
    <col min="4" max="4" width="13.28515625" style="196" customWidth="1"/>
    <col min="5" max="5" width="9.5703125" style="196" customWidth="1"/>
    <col min="6" max="6" width="11.5703125" style="196" customWidth="1"/>
    <col min="7" max="7" width="12.28515625" style="196" customWidth="1"/>
    <col min="8" max="8" width="15.28515625" style="196" customWidth="1"/>
    <col min="9" max="9" width="17.5703125" style="196" customWidth="1"/>
    <col min="10" max="11" width="12.42578125" style="196" customWidth="1"/>
    <col min="12" max="12" width="23.5703125" style="196" customWidth="1"/>
    <col min="13" max="13" width="18.5703125" style="196" customWidth="1"/>
    <col min="14" max="14" width="0.85546875" style="196" customWidth="1"/>
    <col min="15" max="16384" width="9.140625" style="196"/>
  </cols>
  <sheetData>
    <row r="1" spans="1:15">
      <c r="A1" s="193" t="s">
        <v>465</v>
      </c>
      <c r="B1" s="194"/>
      <c r="C1" s="194"/>
      <c r="D1" s="194"/>
      <c r="E1" s="194"/>
      <c r="F1" s="194"/>
      <c r="G1" s="194"/>
      <c r="H1" s="194"/>
      <c r="I1" s="197"/>
      <c r="J1" s="259"/>
      <c r="K1" s="259"/>
      <c r="L1" s="259"/>
      <c r="M1" s="259" t="s">
        <v>421</v>
      </c>
      <c r="N1" s="197"/>
    </row>
    <row r="2" spans="1:15" ht="15">
      <c r="A2" s="197" t="s">
        <v>317</v>
      </c>
      <c r="B2" s="194"/>
      <c r="C2" s="194"/>
      <c r="D2" s="195"/>
      <c r="E2" s="195"/>
      <c r="F2" s="195"/>
      <c r="G2" s="195"/>
      <c r="H2" s="195"/>
      <c r="I2" s="194"/>
      <c r="J2" s="194"/>
      <c r="K2" s="194"/>
      <c r="L2" s="194"/>
      <c r="M2" s="775" t="s">
        <v>515</v>
      </c>
      <c r="N2" s="775"/>
      <c r="O2" s="776"/>
    </row>
    <row r="3" spans="1:15">
      <c r="A3" s="197"/>
      <c r="B3" s="194"/>
      <c r="C3" s="194"/>
      <c r="D3" s="195"/>
      <c r="E3" s="195"/>
      <c r="F3" s="195"/>
      <c r="G3" s="195"/>
      <c r="H3" s="195"/>
      <c r="I3" s="194"/>
      <c r="J3" s="194"/>
      <c r="K3" s="194"/>
      <c r="L3" s="194"/>
      <c r="M3" s="194"/>
      <c r="N3" s="197"/>
    </row>
    <row r="4" spans="1:15" ht="15">
      <c r="A4" s="114" t="s">
        <v>274</v>
      </c>
      <c r="B4" s="194"/>
      <c r="C4" s="194"/>
      <c r="D4" s="198"/>
      <c r="E4" s="260"/>
      <c r="F4" s="198"/>
      <c r="G4" s="195"/>
      <c r="H4" s="195"/>
      <c r="I4" s="195"/>
      <c r="J4" s="195"/>
      <c r="K4" s="195"/>
      <c r="L4" s="194"/>
      <c r="M4" s="195"/>
      <c r="N4" s="197"/>
    </row>
    <row r="5" spans="1:15">
      <c r="A5" s="199" t="str">
        <f>'ფორმა N1'!D4</f>
        <v>მ.პ.გ. ქართული ოცნება - დემოკრატიული საქართველო</v>
      </c>
      <c r="B5" s="199"/>
      <c r="C5" s="199"/>
      <c r="D5" s="199"/>
      <c r="E5" s="200"/>
      <c r="F5" s="200"/>
      <c r="G5" s="200"/>
      <c r="H5" s="200"/>
      <c r="I5" s="200"/>
      <c r="J5" s="200"/>
      <c r="K5" s="200"/>
      <c r="L5" s="200"/>
      <c r="M5" s="200"/>
      <c r="N5" s="197"/>
    </row>
    <row r="6" spans="1:15" ht="13.5" thickBot="1">
      <c r="A6" s="261"/>
      <c r="B6" s="261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197"/>
    </row>
    <row r="7" spans="1:15" ht="51">
      <c r="A7" s="262" t="s">
        <v>64</v>
      </c>
      <c r="B7" s="263" t="s">
        <v>422</v>
      </c>
      <c r="C7" s="263" t="s">
        <v>423</v>
      </c>
      <c r="D7" s="264" t="s">
        <v>424</v>
      </c>
      <c r="E7" s="264" t="s">
        <v>275</v>
      </c>
      <c r="F7" s="264" t="s">
        <v>425</v>
      </c>
      <c r="G7" s="264" t="s">
        <v>426</v>
      </c>
      <c r="H7" s="263" t="s">
        <v>427</v>
      </c>
      <c r="I7" s="265" t="s">
        <v>428</v>
      </c>
      <c r="J7" s="265" t="s">
        <v>429</v>
      </c>
      <c r="K7" s="266" t="s">
        <v>430</v>
      </c>
      <c r="L7" s="266" t="s">
        <v>431</v>
      </c>
      <c r="M7" s="264" t="s">
        <v>421</v>
      </c>
      <c r="N7" s="197"/>
    </row>
    <row r="8" spans="1:15">
      <c r="A8" s="202">
        <v>1</v>
      </c>
      <c r="B8" s="203">
        <v>2</v>
      </c>
      <c r="C8" s="203">
        <v>3</v>
      </c>
      <c r="D8" s="204">
        <v>4</v>
      </c>
      <c r="E8" s="204">
        <v>5</v>
      </c>
      <c r="F8" s="204">
        <v>6</v>
      </c>
      <c r="G8" s="204">
        <v>7</v>
      </c>
      <c r="H8" s="204">
        <v>8</v>
      </c>
      <c r="I8" s="204">
        <v>9</v>
      </c>
      <c r="J8" s="204">
        <v>10</v>
      </c>
      <c r="K8" s="204">
        <v>11</v>
      </c>
      <c r="L8" s="204">
        <v>12</v>
      </c>
      <c r="M8" s="204">
        <v>13</v>
      </c>
      <c r="N8" s="197"/>
    </row>
    <row r="9" spans="1:15" ht="63.75">
      <c r="A9" s="205">
        <v>1</v>
      </c>
      <c r="B9" s="682" t="s">
        <v>2751</v>
      </c>
      <c r="C9" s="683" t="s">
        <v>526</v>
      </c>
      <c r="D9" s="110" t="s">
        <v>7578</v>
      </c>
      <c r="E9" s="684" t="s">
        <v>221</v>
      </c>
      <c r="F9" s="685">
        <v>1000000</v>
      </c>
      <c r="G9" s="685">
        <v>4</v>
      </c>
      <c r="H9" s="685">
        <v>11</v>
      </c>
      <c r="I9" s="685"/>
      <c r="J9" s="686" t="s">
        <v>7579</v>
      </c>
      <c r="K9" s="685"/>
      <c r="L9" s="685"/>
      <c r="M9" s="687" t="str">
        <f t="shared" ref="M9" si="0">IF(ISBLANK(B9),"",$M$2)</f>
        <v>01.01-31.12.2016</v>
      </c>
      <c r="N9" s="197"/>
    </row>
    <row r="10" spans="1:15" ht="15">
      <c r="A10" s="205">
        <v>2</v>
      </c>
      <c r="B10" s="206"/>
      <c r="C10" s="267"/>
      <c r="D10" s="205"/>
      <c r="E10" s="205"/>
      <c r="F10" s="205"/>
      <c r="G10" s="205"/>
      <c r="H10" s="205"/>
      <c r="I10" s="205"/>
      <c r="J10" s="205"/>
      <c r="K10" s="205"/>
      <c r="L10" s="205"/>
      <c r="M10" s="268" t="str">
        <f t="shared" ref="M10:M33" si="1">IF(ISBLANK(B10),"",$M$2)</f>
        <v/>
      </c>
      <c r="N10" s="197"/>
    </row>
    <row r="11" spans="1:15" ht="15">
      <c r="A11" s="205">
        <v>3</v>
      </c>
      <c r="B11" s="206"/>
      <c r="C11" s="267"/>
      <c r="D11" s="205"/>
      <c r="E11" s="205"/>
      <c r="F11" s="205"/>
      <c r="G11" s="205"/>
      <c r="H11" s="205"/>
      <c r="I11" s="205"/>
      <c r="J11" s="205"/>
      <c r="K11" s="205"/>
      <c r="L11" s="205"/>
      <c r="M11" s="268" t="str">
        <f t="shared" si="1"/>
        <v/>
      </c>
      <c r="N11" s="197"/>
    </row>
    <row r="12" spans="1:15" ht="15">
      <c r="A12" s="205">
        <v>4</v>
      </c>
      <c r="B12" s="206"/>
      <c r="C12" s="267"/>
      <c r="D12" s="205"/>
      <c r="E12" s="205"/>
      <c r="F12" s="205"/>
      <c r="G12" s="205"/>
      <c r="H12" s="205"/>
      <c r="I12" s="205"/>
      <c r="J12" s="205"/>
      <c r="K12" s="205"/>
      <c r="L12" s="205"/>
      <c r="M12" s="268" t="str">
        <f t="shared" si="1"/>
        <v/>
      </c>
      <c r="N12" s="197"/>
    </row>
    <row r="13" spans="1:15" ht="15">
      <c r="A13" s="205">
        <v>5</v>
      </c>
      <c r="B13" s="206"/>
      <c r="C13" s="267"/>
      <c r="D13" s="205"/>
      <c r="E13" s="205"/>
      <c r="F13" s="205"/>
      <c r="G13" s="205"/>
      <c r="H13" s="205"/>
      <c r="I13" s="205"/>
      <c r="J13" s="205"/>
      <c r="K13" s="205"/>
      <c r="L13" s="205"/>
      <c r="M13" s="268" t="str">
        <f t="shared" si="1"/>
        <v/>
      </c>
      <c r="N13" s="197"/>
    </row>
    <row r="14" spans="1:15" ht="15">
      <c r="A14" s="205">
        <v>6</v>
      </c>
      <c r="B14" s="206"/>
      <c r="C14" s="267"/>
      <c r="D14" s="205"/>
      <c r="E14" s="205"/>
      <c r="F14" s="205"/>
      <c r="G14" s="205"/>
      <c r="H14" s="205"/>
      <c r="I14" s="205"/>
      <c r="J14" s="205"/>
      <c r="K14" s="205"/>
      <c r="L14" s="205"/>
      <c r="M14" s="268" t="str">
        <f t="shared" si="1"/>
        <v/>
      </c>
      <c r="N14" s="197"/>
    </row>
    <row r="15" spans="1:15" ht="15">
      <c r="A15" s="205">
        <v>7</v>
      </c>
      <c r="B15" s="206"/>
      <c r="C15" s="267"/>
      <c r="D15" s="205"/>
      <c r="E15" s="205"/>
      <c r="F15" s="205"/>
      <c r="G15" s="205"/>
      <c r="H15" s="205"/>
      <c r="I15" s="205"/>
      <c r="J15" s="205"/>
      <c r="K15" s="205"/>
      <c r="L15" s="205"/>
      <c r="M15" s="268" t="str">
        <f t="shared" si="1"/>
        <v/>
      </c>
      <c r="N15" s="197"/>
    </row>
    <row r="16" spans="1:15" ht="15">
      <c r="A16" s="205">
        <v>8</v>
      </c>
      <c r="B16" s="206"/>
      <c r="C16" s="267"/>
      <c r="D16" s="205"/>
      <c r="E16" s="205"/>
      <c r="F16" s="205"/>
      <c r="G16" s="205"/>
      <c r="H16" s="205"/>
      <c r="I16" s="205"/>
      <c r="J16" s="205"/>
      <c r="K16" s="205"/>
      <c r="L16" s="205"/>
      <c r="M16" s="268" t="str">
        <f t="shared" si="1"/>
        <v/>
      </c>
      <c r="N16" s="197"/>
    </row>
    <row r="17" spans="1:14" ht="15">
      <c r="A17" s="205">
        <v>9</v>
      </c>
      <c r="B17" s="206"/>
      <c r="C17" s="267"/>
      <c r="D17" s="205"/>
      <c r="E17" s="205"/>
      <c r="F17" s="205"/>
      <c r="G17" s="205"/>
      <c r="H17" s="205"/>
      <c r="I17" s="205"/>
      <c r="J17" s="205"/>
      <c r="K17" s="205"/>
      <c r="L17" s="205"/>
      <c r="M17" s="268" t="str">
        <f t="shared" si="1"/>
        <v/>
      </c>
      <c r="N17" s="197"/>
    </row>
    <row r="18" spans="1:14" ht="15">
      <c r="A18" s="205">
        <v>10</v>
      </c>
      <c r="B18" s="206"/>
      <c r="C18" s="267"/>
      <c r="D18" s="205"/>
      <c r="E18" s="205"/>
      <c r="F18" s="205"/>
      <c r="G18" s="205"/>
      <c r="H18" s="205"/>
      <c r="I18" s="205"/>
      <c r="J18" s="205"/>
      <c r="K18" s="205"/>
      <c r="L18" s="205"/>
      <c r="M18" s="268" t="str">
        <f t="shared" si="1"/>
        <v/>
      </c>
      <c r="N18" s="197"/>
    </row>
    <row r="19" spans="1:14" ht="15">
      <c r="A19" s="205">
        <v>11</v>
      </c>
      <c r="B19" s="206"/>
      <c r="C19" s="267"/>
      <c r="D19" s="205"/>
      <c r="E19" s="205"/>
      <c r="F19" s="205"/>
      <c r="G19" s="205"/>
      <c r="H19" s="205"/>
      <c r="I19" s="205"/>
      <c r="J19" s="205"/>
      <c r="K19" s="205"/>
      <c r="L19" s="205"/>
      <c r="M19" s="268" t="str">
        <f t="shared" si="1"/>
        <v/>
      </c>
      <c r="N19" s="197"/>
    </row>
    <row r="20" spans="1:14" ht="15">
      <c r="A20" s="205">
        <v>12</v>
      </c>
      <c r="B20" s="206"/>
      <c r="C20" s="267"/>
      <c r="D20" s="205"/>
      <c r="E20" s="205"/>
      <c r="F20" s="205"/>
      <c r="G20" s="205"/>
      <c r="H20" s="205"/>
      <c r="I20" s="205"/>
      <c r="J20" s="205"/>
      <c r="K20" s="205"/>
      <c r="L20" s="205"/>
      <c r="M20" s="268" t="str">
        <f t="shared" si="1"/>
        <v/>
      </c>
      <c r="N20" s="197"/>
    </row>
    <row r="21" spans="1:14" ht="15">
      <c r="A21" s="205">
        <v>13</v>
      </c>
      <c r="B21" s="206"/>
      <c r="C21" s="267"/>
      <c r="D21" s="205"/>
      <c r="E21" s="205"/>
      <c r="F21" s="205"/>
      <c r="G21" s="205"/>
      <c r="H21" s="205"/>
      <c r="I21" s="205"/>
      <c r="J21" s="205"/>
      <c r="K21" s="205"/>
      <c r="L21" s="205"/>
      <c r="M21" s="268" t="str">
        <f t="shared" si="1"/>
        <v/>
      </c>
      <c r="N21" s="197"/>
    </row>
    <row r="22" spans="1:14" ht="15">
      <c r="A22" s="205">
        <v>14</v>
      </c>
      <c r="B22" s="206"/>
      <c r="C22" s="267"/>
      <c r="D22" s="205"/>
      <c r="E22" s="205"/>
      <c r="F22" s="205"/>
      <c r="G22" s="205"/>
      <c r="H22" s="205"/>
      <c r="I22" s="205"/>
      <c r="J22" s="205"/>
      <c r="K22" s="205"/>
      <c r="L22" s="205"/>
      <c r="M22" s="268" t="str">
        <f t="shared" si="1"/>
        <v/>
      </c>
      <c r="N22" s="197"/>
    </row>
    <row r="23" spans="1:14" ht="15">
      <c r="A23" s="205">
        <v>15</v>
      </c>
      <c r="B23" s="206"/>
      <c r="C23" s="267"/>
      <c r="D23" s="205"/>
      <c r="E23" s="205"/>
      <c r="F23" s="205"/>
      <c r="G23" s="205"/>
      <c r="H23" s="205"/>
      <c r="I23" s="205"/>
      <c r="J23" s="205"/>
      <c r="K23" s="205"/>
      <c r="L23" s="205"/>
      <c r="M23" s="268" t="str">
        <f t="shared" si="1"/>
        <v/>
      </c>
      <c r="N23" s="197"/>
    </row>
    <row r="24" spans="1:14" ht="15">
      <c r="A24" s="205">
        <v>16</v>
      </c>
      <c r="B24" s="206"/>
      <c r="C24" s="267"/>
      <c r="D24" s="205"/>
      <c r="E24" s="205"/>
      <c r="F24" s="205"/>
      <c r="G24" s="205"/>
      <c r="H24" s="205"/>
      <c r="I24" s="205"/>
      <c r="J24" s="205"/>
      <c r="K24" s="205"/>
      <c r="L24" s="205"/>
      <c r="M24" s="268" t="str">
        <f t="shared" si="1"/>
        <v/>
      </c>
      <c r="N24" s="197"/>
    </row>
    <row r="25" spans="1:14" ht="15">
      <c r="A25" s="205">
        <v>17</v>
      </c>
      <c r="B25" s="206"/>
      <c r="C25" s="267"/>
      <c r="D25" s="205"/>
      <c r="E25" s="205"/>
      <c r="F25" s="205"/>
      <c r="G25" s="205"/>
      <c r="H25" s="205"/>
      <c r="I25" s="205"/>
      <c r="J25" s="205"/>
      <c r="K25" s="205"/>
      <c r="L25" s="205"/>
      <c r="M25" s="268" t="str">
        <f t="shared" si="1"/>
        <v/>
      </c>
      <c r="N25" s="197"/>
    </row>
    <row r="26" spans="1:14" ht="15">
      <c r="A26" s="205">
        <v>18</v>
      </c>
      <c r="B26" s="206"/>
      <c r="C26" s="267"/>
      <c r="D26" s="205"/>
      <c r="E26" s="205"/>
      <c r="F26" s="205"/>
      <c r="G26" s="205"/>
      <c r="H26" s="205"/>
      <c r="I26" s="205"/>
      <c r="J26" s="205"/>
      <c r="K26" s="205"/>
      <c r="L26" s="205"/>
      <c r="M26" s="268" t="str">
        <f t="shared" si="1"/>
        <v/>
      </c>
      <c r="N26" s="197"/>
    </row>
    <row r="27" spans="1:14" ht="15">
      <c r="A27" s="205">
        <v>19</v>
      </c>
      <c r="B27" s="206"/>
      <c r="C27" s="267"/>
      <c r="D27" s="205"/>
      <c r="E27" s="205"/>
      <c r="F27" s="205"/>
      <c r="G27" s="205"/>
      <c r="H27" s="205"/>
      <c r="I27" s="205"/>
      <c r="J27" s="205"/>
      <c r="K27" s="205"/>
      <c r="L27" s="205"/>
      <c r="M27" s="268" t="str">
        <f t="shared" si="1"/>
        <v/>
      </c>
      <c r="N27" s="197"/>
    </row>
    <row r="28" spans="1:14" ht="15">
      <c r="A28" s="205">
        <v>20</v>
      </c>
      <c r="B28" s="206"/>
      <c r="C28" s="267"/>
      <c r="D28" s="205"/>
      <c r="E28" s="205"/>
      <c r="F28" s="205"/>
      <c r="G28" s="205"/>
      <c r="H28" s="205"/>
      <c r="I28" s="205"/>
      <c r="J28" s="205"/>
      <c r="K28" s="205"/>
      <c r="L28" s="205"/>
      <c r="M28" s="268" t="str">
        <f t="shared" si="1"/>
        <v/>
      </c>
      <c r="N28" s="197"/>
    </row>
    <row r="29" spans="1:14" ht="15">
      <c r="A29" s="205">
        <v>21</v>
      </c>
      <c r="B29" s="206"/>
      <c r="C29" s="267"/>
      <c r="D29" s="205"/>
      <c r="E29" s="205"/>
      <c r="F29" s="205"/>
      <c r="G29" s="205"/>
      <c r="H29" s="205"/>
      <c r="I29" s="205"/>
      <c r="J29" s="205"/>
      <c r="K29" s="205"/>
      <c r="L29" s="205"/>
      <c r="M29" s="268" t="str">
        <f t="shared" si="1"/>
        <v/>
      </c>
      <c r="N29" s="197"/>
    </row>
    <row r="30" spans="1:14" ht="15">
      <c r="A30" s="205">
        <v>22</v>
      </c>
      <c r="B30" s="206"/>
      <c r="C30" s="267"/>
      <c r="D30" s="205"/>
      <c r="E30" s="205"/>
      <c r="F30" s="205"/>
      <c r="G30" s="205"/>
      <c r="H30" s="205"/>
      <c r="I30" s="205"/>
      <c r="J30" s="205"/>
      <c r="K30" s="205"/>
      <c r="L30" s="205"/>
      <c r="M30" s="268" t="str">
        <f t="shared" si="1"/>
        <v/>
      </c>
      <c r="N30" s="197"/>
    </row>
    <row r="31" spans="1:14" ht="15">
      <c r="A31" s="205">
        <v>23</v>
      </c>
      <c r="B31" s="206"/>
      <c r="C31" s="267"/>
      <c r="D31" s="205"/>
      <c r="E31" s="205"/>
      <c r="F31" s="205"/>
      <c r="G31" s="205"/>
      <c r="H31" s="205"/>
      <c r="I31" s="205"/>
      <c r="J31" s="205"/>
      <c r="K31" s="205"/>
      <c r="L31" s="205"/>
      <c r="M31" s="268" t="str">
        <f t="shared" si="1"/>
        <v/>
      </c>
      <c r="N31" s="197"/>
    </row>
    <row r="32" spans="1:14" ht="15">
      <c r="A32" s="205">
        <v>24</v>
      </c>
      <c r="B32" s="206"/>
      <c r="C32" s="267"/>
      <c r="D32" s="205"/>
      <c r="E32" s="205"/>
      <c r="F32" s="205"/>
      <c r="G32" s="205"/>
      <c r="H32" s="205"/>
      <c r="I32" s="205"/>
      <c r="J32" s="205"/>
      <c r="K32" s="205"/>
      <c r="L32" s="205"/>
      <c r="M32" s="268" t="str">
        <f t="shared" si="1"/>
        <v/>
      </c>
      <c r="N32" s="197"/>
    </row>
    <row r="33" spans="1:14" ht="15">
      <c r="A33" s="269" t="s">
        <v>278</v>
      </c>
      <c r="B33" s="206"/>
      <c r="C33" s="267"/>
      <c r="D33" s="205"/>
      <c r="E33" s="205"/>
      <c r="F33" s="205"/>
      <c r="G33" s="205"/>
      <c r="H33" s="205"/>
      <c r="I33" s="205"/>
      <c r="J33" s="205"/>
      <c r="K33" s="205"/>
      <c r="L33" s="205"/>
      <c r="M33" s="268" t="str">
        <f t="shared" si="1"/>
        <v/>
      </c>
      <c r="N33" s="197"/>
    </row>
    <row r="34" spans="1:14" s="212" customFormat="1"/>
    <row r="37" spans="1:14" s="21" customFormat="1" ht="15">
      <c r="B37" s="207" t="s">
        <v>107</v>
      </c>
    </row>
    <row r="38" spans="1:14" s="21" customFormat="1" ht="15">
      <c r="B38" s="207"/>
    </row>
    <row r="39" spans="1:14" s="21" customFormat="1" ht="15">
      <c r="C39" s="209"/>
      <c r="D39" s="208"/>
      <c r="E39" s="208"/>
      <c r="H39" s="209"/>
      <c r="I39" s="209"/>
      <c r="J39" s="208"/>
      <c r="K39" s="208"/>
      <c r="L39" s="208"/>
    </row>
    <row r="40" spans="1:14" s="21" customFormat="1" ht="15">
      <c r="C40" s="210" t="s">
        <v>268</v>
      </c>
      <c r="D40" s="208"/>
      <c r="E40" s="208"/>
      <c r="H40" s="207" t="s">
        <v>319</v>
      </c>
      <c r="M40" s="208"/>
    </row>
    <row r="41" spans="1:14" s="21" customFormat="1" ht="15">
      <c r="C41" s="210" t="s">
        <v>139</v>
      </c>
      <c r="D41" s="208"/>
      <c r="E41" s="208"/>
      <c r="H41" s="211" t="s">
        <v>269</v>
      </c>
      <c r="M41" s="208"/>
    </row>
    <row r="42" spans="1:14" ht="15">
      <c r="C42" s="210"/>
      <c r="F42" s="211"/>
      <c r="J42" s="213"/>
      <c r="K42" s="213"/>
      <c r="L42" s="213"/>
      <c r="M42" s="213"/>
    </row>
    <row r="43" spans="1:14" ht="15">
      <c r="C43" s="210"/>
    </row>
  </sheetData>
  <sheetProtection insertColumns="0" insertRows="0" deleteRows="0"/>
  <mergeCells count="1">
    <mergeCell ref="M2:O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46"/>
  <sheetViews>
    <sheetView showGridLines="0" view="pageBreakPreview" zoomScale="80" zoomScaleNormal="100" zoomScaleSheetLayoutView="80" workbookViewId="0">
      <selection activeCell="F1" sqref="F1:U1048576"/>
    </sheetView>
  </sheetViews>
  <sheetFormatPr defaultRowHeight="15"/>
  <cols>
    <col min="1" max="1" width="14.28515625" style="21" bestFit="1" customWidth="1"/>
    <col min="2" max="2" width="80" style="253" customWidth="1"/>
    <col min="3" max="3" width="16.5703125" style="21" customWidth="1"/>
    <col min="4" max="4" width="14.28515625" style="21" customWidth="1"/>
    <col min="5" max="5" width="0.42578125" style="19" customWidth="1"/>
    <col min="6" max="6" width="0" style="21" hidden="1" customWidth="1"/>
    <col min="7" max="7" width="12.7109375" style="21" hidden="1" customWidth="1"/>
    <col min="8" max="8" width="15.5703125" style="21" hidden="1" customWidth="1"/>
    <col min="9" max="12" width="0" style="21" hidden="1" customWidth="1"/>
    <col min="13" max="13" width="11" style="21" hidden="1" customWidth="1"/>
    <col min="14" max="14" width="10.42578125" style="21" hidden="1" customWidth="1"/>
    <col min="15" max="15" width="0" style="21" hidden="1" customWidth="1"/>
    <col min="16" max="16" width="15" style="21" hidden="1" customWidth="1"/>
    <col min="17" max="17" width="11.42578125" style="21" hidden="1" customWidth="1"/>
    <col min="18" max="21" width="0" style="21" hidden="1" customWidth="1"/>
    <col min="22" max="16384" width="9.140625" style="21"/>
  </cols>
  <sheetData>
    <row r="1" spans="1:20" s="6" customFormat="1">
      <c r="A1" s="74" t="s">
        <v>272</v>
      </c>
      <c r="B1" s="249"/>
      <c r="C1" s="763" t="s">
        <v>109</v>
      </c>
      <c r="D1" s="763"/>
      <c r="E1" s="113"/>
      <c r="G1" s="6">
        <f>J:J+M:M+P:P+S:S</f>
        <v>0</v>
      </c>
      <c r="H1" s="6">
        <f>K:K+N:N+Q:Q+T:T</f>
        <v>0</v>
      </c>
    </row>
    <row r="2" spans="1:20" s="6" customFormat="1">
      <c r="A2" s="76" t="s">
        <v>140</v>
      </c>
      <c r="B2" s="249"/>
      <c r="C2" s="753" t="s">
        <v>515</v>
      </c>
      <c r="D2" s="754"/>
      <c r="E2" s="113"/>
      <c r="G2" s="6">
        <f t="shared" ref="G2:G35" si="0">J:J+M:M+P:P+S:S</f>
        <v>0</v>
      </c>
      <c r="H2" s="6">
        <f t="shared" ref="H2:H35" si="1">K:K+N:N+Q:Q+T:T</f>
        <v>0</v>
      </c>
    </row>
    <row r="3" spans="1:20" s="6" customFormat="1">
      <c r="A3" s="76"/>
      <c r="B3" s="249"/>
      <c r="C3" s="75"/>
      <c r="D3" s="75"/>
      <c r="E3" s="113"/>
      <c r="G3" s="6">
        <f t="shared" si="0"/>
        <v>0</v>
      </c>
      <c r="H3" s="6">
        <f t="shared" si="1"/>
        <v>0</v>
      </c>
    </row>
    <row r="4" spans="1:20" s="2" customFormat="1">
      <c r="A4" s="77" t="str">
        <f>'ფორმა N2'!A4</f>
        <v>ანგარიშვალდებული პირის დასახელება:</v>
      </c>
      <c r="B4" s="250"/>
      <c r="C4" s="76"/>
      <c r="D4" s="76"/>
      <c r="E4" s="108"/>
      <c r="G4" s="6">
        <f t="shared" si="0"/>
        <v>0</v>
      </c>
      <c r="H4" s="6">
        <f t="shared" si="1"/>
        <v>0</v>
      </c>
      <c r="M4" s="6"/>
    </row>
    <row r="5" spans="1:20" s="2" customFormat="1">
      <c r="A5" s="119" t="str">
        <f>'ფორმა N1'!D4</f>
        <v>მ.პ.გ. ქართული ოცნება - დემოკრატიული საქართველო</v>
      </c>
      <c r="B5" s="251"/>
      <c r="C5" s="59"/>
      <c r="D5" s="59"/>
      <c r="E5" s="108"/>
      <c r="G5" s="6">
        <f t="shared" si="0"/>
        <v>0</v>
      </c>
      <c r="H5" s="6">
        <f t="shared" si="1"/>
        <v>0</v>
      </c>
    </row>
    <row r="6" spans="1:20" s="2" customFormat="1">
      <c r="A6" s="77"/>
      <c r="B6" s="250"/>
      <c r="C6" s="76"/>
      <c r="D6" s="76"/>
      <c r="E6" s="108"/>
      <c r="G6" s="6">
        <f t="shared" si="0"/>
        <v>0</v>
      </c>
      <c r="H6" s="6">
        <f t="shared" si="1"/>
        <v>0</v>
      </c>
    </row>
    <row r="7" spans="1:20" s="6" customFormat="1" ht="18">
      <c r="A7" s="100"/>
      <c r="B7" s="112"/>
      <c r="C7" s="78"/>
      <c r="D7" s="78"/>
      <c r="E7" s="113"/>
      <c r="G7" s="6">
        <f t="shared" si="0"/>
        <v>0</v>
      </c>
      <c r="H7" s="6">
        <f t="shared" si="1"/>
        <v>0</v>
      </c>
    </row>
    <row r="8" spans="1:20" s="6" customFormat="1" ht="30">
      <c r="A8" s="106" t="s">
        <v>64</v>
      </c>
      <c r="B8" s="79" t="s">
        <v>249</v>
      </c>
      <c r="C8" s="79" t="s">
        <v>66</v>
      </c>
      <c r="D8" s="79" t="s">
        <v>67</v>
      </c>
      <c r="E8" s="113"/>
      <c r="F8" s="20"/>
      <c r="G8" s="6" t="e">
        <f t="shared" si="0"/>
        <v>#VALUE!</v>
      </c>
      <c r="H8" s="6">
        <f t="shared" si="1"/>
        <v>0</v>
      </c>
      <c r="J8" s="6" t="s">
        <v>3713</v>
      </c>
      <c r="M8" s="6" t="s">
        <v>3714</v>
      </c>
      <c r="P8" s="6" t="s">
        <v>3711</v>
      </c>
      <c r="S8" s="6" t="s">
        <v>3712</v>
      </c>
    </row>
    <row r="9" spans="1:20" s="7" customFormat="1">
      <c r="A9" s="237">
        <v>1</v>
      </c>
      <c r="B9" s="237" t="s">
        <v>65</v>
      </c>
      <c r="C9" s="486">
        <f>SUM(C10,C26)</f>
        <v>21329546.23</v>
      </c>
      <c r="D9" s="486">
        <f>SUM(D10,D26)</f>
        <v>22307858.149999999</v>
      </c>
      <c r="E9" s="113"/>
      <c r="G9" s="6">
        <f t="shared" si="0"/>
        <v>21329546.23</v>
      </c>
      <c r="H9" s="6">
        <f t="shared" si="1"/>
        <v>22307858.149999999</v>
      </c>
      <c r="J9" s="85">
        <f>SUM(J10,J26)</f>
        <v>111954</v>
      </c>
      <c r="K9" s="85">
        <f>SUM(K10,K26)</f>
        <v>113304</v>
      </c>
      <c r="M9" s="85">
        <f>SUM(M10,M26)</f>
        <v>1581389</v>
      </c>
      <c r="N9" s="85">
        <f>SUM(N10,N26)</f>
        <v>1581564</v>
      </c>
      <c r="P9" s="85">
        <f>SUM(P10,P26)</f>
        <v>19636203.23</v>
      </c>
      <c r="Q9" s="486">
        <f>SUM(Q10,Q26)</f>
        <v>20612990.149999999</v>
      </c>
      <c r="S9" s="85">
        <f>SUM(S10,S25)</f>
        <v>0</v>
      </c>
      <c r="T9" s="85">
        <f>SUM(T10,T25)</f>
        <v>0</v>
      </c>
    </row>
    <row r="10" spans="1:20" s="7" customFormat="1">
      <c r="A10" s="87">
        <v>1.1000000000000001</v>
      </c>
      <c r="B10" s="87" t="s">
        <v>80</v>
      </c>
      <c r="C10" s="85">
        <f>SUM(C11,C12,C16,C19,C25)</f>
        <v>21294456</v>
      </c>
      <c r="D10" s="486">
        <f>SUM(D11,D12,D16,D19,D24,D25)</f>
        <v>22307858.149999999</v>
      </c>
      <c r="E10" s="113"/>
      <c r="G10" s="6">
        <f t="shared" si="0"/>
        <v>21294456</v>
      </c>
      <c r="H10" s="6">
        <f t="shared" si="1"/>
        <v>22307858.149999999</v>
      </c>
      <c r="J10" s="85">
        <f>SUM(J11,J12,J16,J19,J25)</f>
        <v>111454</v>
      </c>
      <c r="K10" s="85">
        <f>SUM(K11,K12,K16,K19,K24,K25)</f>
        <v>113304</v>
      </c>
      <c r="M10" s="85">
        <f>SUM(M11,M12,M16,M19,M25)</f>
        <v>1581164</v>
      </c>
      <c r="N10" s="85">
        <f>SUM(N11,N12,N16,N19,N24,N25)</f>
        <v>1581564</v>
      </c>
      <c r="P10" s="85">
        <f>SUM(P11,P12,P16,P19,P25)</f>
        <v>19601838</v>
      </c>
      <c r="Q10" s="486">
        <f>SUM(Q11,Q12,Q16,Q19,Q24,Q25)</f>
        <v>20612990.149999999</v>
      </c>
      <c r="S10" s="85">
        <f>SUM(S11,S12,S15,S18,S24)</f>
        <v>0</v>
      </c>
      <c r="T10" s="85">
        <f>SUM(T11,T12,T15,T18,T23,T24)</f>
        <v>0</v>
      </c>
    </row>
    <row r="11" spans="1:20" s="9" customFormat="1" ht="18">
      <c r="A11" s="88" t="s">
        <v>30</v>
      </c>
      <c r="B11" s="88" t="s">
        <v>79</v>
      </c>
      <c r="C11" s="8">
        <v>180</v>
      </c>
      <c r="D11" s="8">
        <v>180</v>
      </c>
      <c r="E11" s="113"/>
      <c r="G11" s="6">
        <f t="shared" si="0"/>
        <v>180</v>
      </c>
      <c r="H11" s="6">
        <f t="shared" si="1"/>
        <v>180</v>
      </c>
      <c r="J11" s="8">
        <v>40</v>
      </c>
      <c r="K11" s="8">
        <v>40</v>
      </c>
      <c r="M11" s="8">
        <f>20+20</f>
        <v>40</v>
      </c>
      <c r="N11" s="8">
        <f>20+20</f>
        <v>40</v>
      </c>
      <c r="P11" s="8">
        <f>80+20</f>
        <v>100</v>
      </c>
      <c r="Q11" s="8">
        <f>80+20</f>
        <v>100</v>
      </c>
      <c r="S11" s="8"/>
      <c r="T11" s="8"/>
    </row>
    <row r="12" spans="1:20" s="10" customFormat="1">
      <c r="A12" s="88" t="s">
        <v>31</v>
      </c>
      <c r="B12" s="88" t="s">
        <v>308</v>
      </c>
      <c r="C12" s="107">
        <f>SUM(C13:C15)</f>
        <v>20134969</v>
      </c>
      <c r="D12" s="107">
        <f>SUM(D13:D15)</f>
        <v>20134969</v>
      </c>
      <c r="E12" s="113"/>
      <c r="G12" s="6">
        <f t="shared" si="0"/>
        <v>20134969</v>
      </c>
      <c r="H12" s="6">
        <f t="shared" si="1"/>
        <v>20134969</v>
      </c>
      <c r="J12" s="107">
        <f>SUM(J13:J15)</f>
        <v>20000</v>
      </c>
      <c r="K12" s="107">
        <f>SUM(K13:K15)</f>
        <v>20000</v>
      </c>
      <c r="M12" s="107">
        <f>SUM(M13:M15)</f>
        <v>1445500</v>
      </c>
      <c r="N12" s="107">
        <f>SUM(N13:N15)</f>
        <v>1445500</v>
      </c>
      <c r="P12" s="107">
        <f>SUM(P13:P15)</f>
        <v>18669469</v>
      </c>
      <c r="Q12" s="107">
        <f>SUM(Q13:Q15)</f>
        <v>18669469</v>
      </c>
      <c r="S12" s="107">
        <f>SUM(S13:S14)</f>
        <v>0</v>
      </c>
      <c r="T12" s="107">
        <f>SUM(T13:T14)</f>
        <v>0</v>
      </c>
    </row>
    <row r="13" spans="1:20" s="3" customFormat="1">
      <c r="A13" s="97" t="s">
        <v>81</v>
      </c>
      <c r="B13" s="97" t="s">
        <v>311</v>
      </c>
      <c r="C13" s="8">
        <v>16946943</v>
      </c>
      <c r="D13" s="8">
        <v>16946943</v>
      </c>
      <c r="E13" s="113"/>
      <c r="G13" s="6">
        <f t="shared" si="0"/>
        <v>16946943</v>
      </c>
      <c r="H13" s="6">
        <f t="shared" si="1"/>
        <v>16946943</v>
      </c>
      <c r="J13" s="8">
        <v>20000</v>
      </c>
      <c r="K13" s="8">
        <v>20000</v>
      </c>
      <c r="M13" s="8">
        <f>75000+910800+459700</f>
        <v>1445500</v>
      </c>
      <c r="N13" s="8">
        <f>75000+910800+459700</f>
        <v>1445500</v>
      </c>
      <c r="P13" s="8">
        <f>Q13</f>
        <v>15481443</v>
      </c>
      <c r="Q13" s="8">
        <f>15441443+160000-120000</f>
        <v>15481443</v>
      </c>
      <c r="S13" s="8"/>
      <c r="T13" s="8"/>
    </row>
    <row r="14" spans="1:20" s="3" customFormat="1">
      <c r="A14" s="97" t="s">
        <v>506</v>
      </c>
      <c r="B14" s="97" t="s">
        <v>505</v>
      </c>
      <c r="C14" s="8">
        <v>3188026</v>
      </c>
      <c r="D14" s="8">
        <v>3188026</v>
      </c>
      <c r="E14" s="113"/>
      <c r="G14" s="6">
        <f t="shared" si="0"/>
        <v>3188026</v>
      </c>
      <c r="H14" s="6">
        <f t="shared" si="1"/>
        <v>3188026</v>
      </c>
      <c r="P14" s="8">
        <f>Q14</f>
        <v>3188026</v>
      </c>
      <c r="Q14" s="8">
        <f>3018026+50000+120000</f>
        <v>3188026</v>
      </c>
      <c r="S14" s="8"/>
      <c r="T14" s="8"/>
    </row>
    <row r="15" spans="1:20" s="3" customFormat="1">
      <c r="A15" s="97" t="s">
        <v>507</v>
      </c>
      <c r="B15" s="97" t="s">
        <v>97</v>
      </c>
      <c r="C15" s="8"/>
      <c r="D15" s="8"/>
      <c r="E15" s="113"/>
      <c r="G15" s="6">
        <f t="shared" si="0"/>
        <v>0</v>
      </c>
      <c r="H15" s="6">
        <f t="shared" si="1"/>
        <v>0</v>
      </c>
      <c r="J15" s="8"/>
      <c r="K15" s="8"/>
      <c r="M15" s="8"/>
      <c r="N15" s="8"/>
      <c r="P15" s="8"/>
      <c r="Q15" s="8"/>
      <c r="S15" s="107">
        <f>SUM(S16:S17)</f>
        <v>0</v>
      </c>
      <c r="T15" s="107">
        <f>SUM(T16:T17)</f>
        <v>0</v>
      </c>
    </row>
    <row r="16" spans="1:20" s="3" customFormat="1">
      <c r="A16" s="88" t="s">
        <v>82</v>
      </c>
      <c r="B16" s="88" t="s">
        <v>83</v>
      </c>
      <c r="C16" s="107">
        <f>SUM(C17:C18)</f>
        <v>1159082</v>
      </c>
      <c r="D16" s="107">
        <f>SUM(D17:D18)</f>
        <v>1170957</v>
      </c>
      <c r="E16" s="113"/>
      <c r="G16" s="6">
        <f t="shared" si="0"/>
        <v>1159082</v>
      </c>
      <c r="H16" s="6">
        <f t="shared" si="1"/>
        <v>1170957</v>
      </c>
      <c r="J16" s="107">
        <f>SUM(J17:J18)</f>
        <v>91414</v>
      </c>
      <c r="K16" s="107">
        <f>SUM(K17:K18)</f>
        <v>93264</v>
      </c>
      <c r="M16" s="107">
        <f>SUM(M17:M18)</f>
        <v>135624</v>
      </c>
      <c r="N16" s="107">
        <f>SUM(N17:N18)</f>
        <v>135624</v>
      </c>
      <c r="P16" s="107">
        <f>SUM(P17:P18)</f>
        <v>932044</v>
      </c>
      <c r="Q16" s="107">
        <f>SUM(Q17:Q18)</f>
        <v>942069</v>
      </c>
      <c r="S16" s="8"/>
      <c r="T16" s="8"/>
    </row>
    <row r="17" spans="1:20" s="3" customFormat="1">
      <c r="A17" s="97" t="s">
        <v>84</v>
      </c>
      <c r="B17" s="97" t="s">
        <v>86</v>
      </c>
      <c r="C17" s="8">
        <v>1099901</v>
      </c>
      <c r="D17" s="8">
        <v>1111776</v>
      </c>
      <c r="E17" s="113"/>
      <c r="G17" s="6">
        <f t="shared" si="0"/>
        <v>1099901</v>
      </c>
      <c r="H17" s="6">
        <f t="shared" si="1"/>
        <v>1111776</v>
      </c>
      <c r="J17" s="8">
        <f>63737+7950</f>
        <v>71687</v>
      </c>
      <c r="K17" s="8">
        <f>63737+9800</f>
        <v>73537</v>
      </c>
      <c r="M17" s="8">
        <f>63737+63737+8150</f>
        <v>135624</v>
      </c>
      <c r="N17" s="8">
        <f>63737+63737+8150</f>
        <v>135624</v>
      </c>
      <c r="P17" s="8">
        <f>862248+30342</f>
        <v>892590</v>
      </c>
      <c r="Q17" s="8">
        <f>862248+40367</f>
        <v>902615</v>
      </c>
      <c r="S17" s="8">
        <v>0</v>
      </c>
      <c r="T17" s="8">
        <v>0</v>
      </c>
    </row>
    <row r="18" spans="1:20" s="3" customFormat="1" ht="30">
      <c r="A18" s="97" t="s">
        <v>85</v>
      </c>
      <c r="B18" s="97" t="s">
        <v>110</v>
      </c>
      <c r="C18" s="8">
        <v>59181</v>
      </c>
      <c r="D18" s="8">
        <v>59181</v>
      </c>
      <c r="E18" s="113"/>
      <c r="G18" s="6">
        <f t="shared" si="0"/>
        <v>59181</v>
      </c>
      <c r="H18" s="6">
        <f t="shared" si="1"/>
        <v>59181</v>
      </c>
      <c r="J18" s="8">
        <v>19727</v>
      </c>
      <c r="K18" s="8">
        <v>19727</v>
      </c>
      <c r="M18" s="8">
        <v>0</v>
      </c>
      <c r="N18" s="8">
        <v>0</v>
      </c>
      <c r="P18" s="8">
        <f>Q18</f>
        <v>39454</v>
      </c>
      <c r="Q18" s="8">
        <v>39454</v>
      </c>
      <c r="S18" s="107">
        <f>SUM(S19:S22)</f>
        <v>0</v>
      </c>
      <c r="T18" s="107">
        <f>SUM(T19:T22)</f>
        <v>0</v>
      </c>
    </row>
    <row r="19" spans="1:20" s="3" customFormat="1">
      <c r="A19" s="88" t="s">
        <v>87</v>
      </c>
      <c r="B19" s="88" t="s">
        <v>418</v>
      </c>
      <c r="C19" s="107">
        <f>SUM(C20:C23)</f>
        <v>0</v>
      </c>
      <c r="D19" s="107">
        <f>SUM(D20:D23)</f>
        <v>0</v>
      </c>
      <c r="E19" s="113"/>
      <c r="G19" s="6">
        <f t="shared" si="0"/>
        <v>0</v>
      </c>
      <c r="H19" s="6">
        <f t="shared" si="1"/>
        <v>0</v>
      </c>
      <c r="J19" s="107">
        <f>SUM(J20:J23)</f>
        <v>0</v>
      </c>
      <c r="K19" s="107">
        <f>SUM(K20:K23)</f>
        <v>0</v>
      </c>
      <c r="M19" s="107">
        <f>SUM(M20:M23)</f>
        <v>0</v>
      </c>
      <c r="N19" s="107">
        <f>SUM(N20:N23)</f>
        <v>0</v>
      </c>
      <c r="P19" s="107">
        <f>SUM(P20:P23)</f>
        <v>0</v>
      </c>
      <c r="Q19" s="107">
        <f>SUM(Q20:Q23)</f>
        <v>0</v>
      </c>
      <c r="S19" s="8"/>
      <c r="T19" s="8"/>
    </row>
    <row r="20" spans="1:20" s="3" customFormat="1">
      <c r="A20" s="97" t="s">
        <v>88</v>
      </c>
      <c r="B20" s="97" t="s">
        <v>89</v>
      </c>
      <c r="C20" s="8"/>
      <c r="D20" s="8"/>
      <c r="E20" s="113"/>
      <c r="G20" s="6">
        <f t="shared" si="0"/>
        <v>0</v>
      </c>
      <c r="H20" s="6">
        <f t="shared" si="1"/>
        <v>0</v>
      </c>
      <c r="J20" s="8"/>
      <c r="K20" s="8"/>
      <c r="M20" s="8"/>
      <c r="N20" s="8"/>
      <c r="P20" s="8"/>
      <c r="Q20" s="8"/>
      <c r="S20" s="8"/>
      <c r="T20" s="8"/>
    </row>
    <row r="21" spans="1:20" s="3" customFormat="1" ht="30">
      <c r="A21" s="97" t="s">
        <v>92</v>
      </c>
      <c r="B21" s="97" t="s">
        <v>90</v>
      </c>
      <c r="C21" s="8"/>
      <c r="D21" s="8"/>
      <c r="E21" s="113"/>
      <c r="G21" s="6">
        <f t="shared" si="0"/>
        <v>0</v>
      </c>
      <c r="H21" s="6">
        <f t="shared" si="1"/>
        <v>0</v>
      </c>
      <c r="J21" s="8"/>
      <c r="K21" s="8"/>
      <c r="M21" s="8"/>
      <c r="N21" s="8"/>
      <c r="P21" s="8"/>
      <c r="Q21" s="8"/>
      <c r="S21" s="8"/>
      <c r="T21" s="8"/>
    </row>
    <row r="22" spans="1:20" s="3" customFormat="1">
      <c r="A22" s="97" t="s">
        <v>93</v>
      </c>
      <c r="B22" s="97" t="s">
        <v>91</v>
      </c>
      <c r="C22" s="8"/>
      <c r="D22" s="8"/>
      <c r="E22" s="113"/>
      <c r="G22" s="6">
        <f t="shared" si="0"/>
        <v>0</v>
      </c>
      <c r="H22" s="6">
        <f t="shared" si="1"/>
        <v>0</v>
      </c>
      <c r="J22" s="8"/>
      <c r="K22" s="8"/>
      <c r="M22" s="8"/>
      <c r="N22" s="8"/>
      <c r="P22" s="8"/>
      <c r="Q22" s="8"/>
      <c r="S22" s="8"/>
      <c r="T22" s="8"/>
    </row>
    <row r="23" spans="1:20" s="3" customFormat="1">
      <c r="A23" s="97" t="s">
        <v>94</v>
      </c>
      <c r="B23" s="97" t="s">
        <v>446</v>
      </c>
      <c r="C23" s="8"/>
      <c r="D23" s="8"/>
      <c r="E23" s="113"/>
      <c r="G23" s="6">
        <f t="shared" si="0"/>
        <v>0</v>
      </c>
      <c r="H23" s="6">
        <f t="shared" si="1"/>
        <v>0</v>
      </c>
      <c r="J23" s="8"/>
      <c r="K23" s="8"/>
      <c r="M23" s="8"/>
      <c r="N23" s="8"/>
      <c r="P23" s="8"/>
      <c r="Q23" s="8"/>
      <c r="S23" s="272"/>
      <c r="T23" s="8"/>
    </row>
    <row r="24" spans="1:20" s="3" customFormat="1">
      <c r="A24" s="88" t="s">
        <v>95</v>
      </c>
      <c r="B24" s="88" t="s">
        <v>447</v>
      </c>
      <c r="C24" s="272"/>
      <c r="D24" s="8">
        <v>1000000</v>
      </c>
      <c r="E24" s="113"/>
      <c r="G24" s="6">
        <f t="shared" si="0"/>
        <v>0</v>
      </c>
      <c r="H24" s="6">
        <f t="shared" si="1"/>
        <v>1000000</v>
      </c>
      <c r="J24" s="272"/>
      <c r="K24" s="8"/>
      <c r="M24" s="272"/>
      <c r="N24" s="8"/>
      <c r="P24" s="272"/>
      <c r="Q24" s="8">
        <v>1000000</v>
      </c>
      <c r="S24" s="8"/>
      <c r="T24" s="8"/>
    </row>
    <row r="25" spans="1:20" s="3" customFormat="1">
      <c r="A25" s="88" t="s">
        <v>251</v>
      </c>
      <c r="B25" s="88" t="s">
        <v>453</v>
      </c>
      <c r="C25" s="8">
        <v>225</v>
      </c>
      <c r="D25" s="8">
        <v>1752.15</v>
      </c>
      <c r="E25" s="113"/>
      <c r="G25" s="6">
        <f t="shared" si="0"/>
        <v>225</v>
      </c>
      <c r="H25" s="6">
        <f t="shared" si="1"/>
        <v>1752.1500000000015</v>
      </c>
      <c r="J25" s="8"/>
      <c r="K25" s="8"/>
      <c r="M25" s="8"/>
      <c r="N25" s="8">
        <v>400</v>
      </c>
      <c r="P25" s="8">
        <v>225</v>
      </c>
      <c r="Q25" s="487">
        <f>23787.47+334-22769.32</f>
        <v>1352.1500000000015</v>
      </c>
      <c r="S25" s="85">
        <f>SUM(S26,S30)</f>
        <v>0</v>
      </c>
      <c r="T25" s="85">
        <f>SUM(T26,T30)</f>
        <v>0</v>
      </c>
    </row>
    <row r="26" spans="1:20">
      <c r="A26" s="87">
        <v>1.2</v>
      </c>
      <c r="B26" s="87" t="s">
        <v>96</v>
      </c>
      <c r="C26" s="85">
        <f>SUM(C27,C31,C35)</f>
        <v>35090.230000000003</v>
      </c>
      <c r="D26" s="85">
        <f>SUM(D27,D35)</f>
        <v>0</v>
      </c>
      <c r="E26" s="113"/>
      <c r="G26" s="6">
        <f t="shared" si="0"/>
        <v>35090.230000000003</v>
      </c>
      <c r="H26" s="6">
        <f t="shared" si="1"/>
        <v>0</v>
      </c>
      <c r="J26" s="85">
        <f>SUM(J27,J31)</f>
        <v>500</v>
      </c>
      <c r="K26" s="85">
        <f>SUM(K27,K31)</f>
        <v>0</v>
      </c>
      <c r="L26" s="3"/>
      <c r="M26" s="85">
        <f>SUM(M27,M31)</f>
        <v>225</v>
      </c>
      <c r="N26" s="85">
        <f>SUM(N27,N31)</f>
        <v>0</v>
      </c>
      <c r="P26" s="85">
        <f>SUM(P27,P31,P35)</f>
        <v>34365.230000000003</v>
      </c>
      <c r="Q26" s="85">
        <f>SUM(Q27,Q35)</f>
        <v>0</v>
      </c>
      <c r="S26" s="107">
        <f>SUM(S27:S29)</f>
        <v>0</v>
      </c>
      <c r="T26" s="107">
        <f>SUM(T27:T29)</f>
        <v>0</v>
      </c>
    </row>
    <row r="27" spans="1:20">
      <c r="A27" s="88" t="s">
        <v>32</v>
      </c>
      <c r="B27" s="88" t="s">
        <v>311</v>
      </c>
      <c r="C27" s="107">
        <f>SUM(C28:C30)</f>
        <v>8225</v>
      </c>
      <c r="D27" s="107">
        <f>SUM(D28:D30)</f>
        <v>0</v>
      </c>
      <c r="E27" s="113"/>
      <c r="G27" s="6">
        <f t="shared" si="0"/>
        <v>8225</v>
      </c>
      <c r="H27" s="6">
        <f t="shared" si="1"/>
        <v>0</v>
      </c>
      <c r="J27" s="107">
        <f>SUM(J28:J30)</f>
        <v>500</v>
      </c>
      <c r="K27" s="107">
        <f>SUM(K28:K30)</f>
        <v>0</v>
      </c>
      <c r="M27" s="107">
        <f>SUM(M28:M30)</f>
        <v>225</v>
      </c>
      <c r="N27" s="107">
        <f>SUM(N28:N30)</f>
        <v>0</v>
      </c>
      <c r="P27" s="107">
        <f>SUM(P28:P30)</f>
        <v>7500</v>
      </c>
      <c r="Q27" s="107">
        <f>SUM(Q28:Q30)</f>
        <v>0</v>
      </c>
      <c r="S27" s="8"/>
      <c r="T27" s="8"/>
    </row>
    <row r="28" spans="1:20">
      <c r="A28" s="244" t="s">
        <v>98</v>
      </c>
      <c r="B28" s="244" t="s">
        <v>309</v>
      </c>
      <c r="C28" s="8">
        <v>7725</v>
      </c>
      <c r="D28" s="8">
        <v>0</v>
      </c>
      <c r="E28" s="113"/>
      <c r="G28" s="6">
        <f t="shared" si="0"/>
        <v>7725</v>
      </c>
      <c r="H28" s="6">
        <f t="shared" si="1"/>
        <v>0</v>
      </c>
      <c r="J28" s="8">
        <v>0</v>
      </c>
      <c r="K28" s="8"/>
      <c r="M28" s="8">
        <v>225</v>
      </c>
      <c r="N28" s="8"/>
      <c r="P28" s="8">
        <v>7500</v>
      </c>
      <c r="Q28" s="8"/>
      <c r="S28" s="8"/>
      <c r="T28" s="8"/>
    </row>
    <row r="29" spans="1:20">
      <c r="A29" s="244" t="s">
        <v>99</v>
      </c>
      <c r="B29" s="244" t="s">
        <v>312</v>
      </c>
      <c r="C29" s="8">
        <v>0</v>
      </c>
      <c r="D29" s="8">
        <v>0</v>
      </c>
      <c r="E29" s="113"/>
      <c r="G29" s="6">
        <f t="shared" si="0"/>
        <v>0</v>
      </c>
      <c r="H29" s="6">
        <f t="shared" si="1"/>
        <v>0</v>
      </c>
      <c r="J29" s="8"/>
      <c r="K29" s="8"/>
      <c r="M29" s="8"/>
      <c r="N29" s="8"/>
      <c r="P29" s="8"/>
      <c r="Q29" s="8"/>
      <c r="S29" s="8">
        <v>0</v>
      </c>
      <c r="T29" s="8"/>
    </row>
    <row r="30" spans="1:20">
      <c r="A30" s="244" t="s">
        <v>455</v>
      </c>
      <c r="B30" s="244" t="s">
        <v>310</v>
      </c>
      <c r="C30" s="8">
        <v>500</v>
      </c>
      <c r="D30" s="8">
        <v>0</v>
      </c>
      <c r="E30" s="113"/>
      <c r="G30" s="6">
        <f t="shared" si="0"/>
        <v>500</v>
      </c>
      <c r="H30" s="6">
        <f t="shared" si="1"/>
        <v>0</v>
      </c>
      <c r="J30" s="8">
        <v>500</v>
      </c>
      <c r="K30" s="8"/>
      <c r="M30" s="8">
        <v>0</v>
      </c>
      <c r="N30" s="8"/>
      <c r="P30" s="8"/>
      <c r="Q30" s="8"/>
      <c r="S30" s="8"/>
      <c r="T30" s="8"/>
    </row>
    <row r="31" spans="1:20">
      <c r="A31" s="88" t="s">
        <v>33</v>
      </c>
      <c r="B31" s="88" t="s">
        <v>505</v>
      </c>
      <c r="C31" s="107">
        <f>SUM(C32:C34)</f>
        <v>24250</v>
      </c>
      <c r="D31" s="107">
        <f>SUM(D32:D34)</f>
        <v>0</v>
      </c>
      <c r="E31" s="113"/>
      <c r="G31" s="6">
        <f t="shared" si="0"/>
        <v>24250</v>
      </c>
      <c r="H31" s="6">
        <f t="shared" si="1"/>
        <v>0</v>
      </c>
      <c r="J31" s="8">
        <v>0</v>
      </c>
      <c r="K31" s="8"/>
      <c r="M31" s="8"/>
      <c r="N31" s="8"/>
      <c r="P31" s="107">
        <f>SUM(P32:P34)</f>
        <v>24250</v>
      </c>
      <c r="Q31" s="107">
        <f>SUM(Q32:Q34)</f>
        <v>0</v>
      </c>
    </row>
    <row r="32" spans="1:20">
      <c r="A32" s="244" t="s">
        <v>12</v>
      </c>
      <c r="B32" s="244" t="s">
        <v>508</v>
      </c>
      <c r="C32" s="8">
        <v>0</v>
      </c>
      <c r="D32" s="8">
        <v>0</v>
      </c>
      <c r="E32" s="113"/>
      <c r="G32" s="6">
        <f t="shared" si="0"/>
        <v>0</v>
      </c>
      <c r="H32" s="6">
        <f t="shared" si="1"/>
        <v>0</v>
      </c>
      <c r="P32" s="8"/>
      <c r="Q32" s="8"/>
    </row>
    <row r="33" spans="1:17">
      <c r="A33" s="244" t="s">
        <v>13</v>
      </c>
      <c r="B33" s="244" t="s">
        <v>509</v>
      </c>
      <c r="C33" s="8">
        <f>1000+1200</f>
        <v>2200</v>
      </c>
      <c r="D33" s="8">
        <v>0</v>
      </c>
      <c r="E33" s="113"/>
      <c r="G33" s="6">
        <f t="shared" si="0"/>
        <v>1000</v>
      </c>
      <c r="H33" s="6">
        <f t="shared" si="1"/>
        <v>0</v>
      </c>
      <c r="P33" s="8">
        <v>1000</v>
      </c>
      <c r="Q33" s="8"/>
    </row>
    <row r="34" spans="1:17">
      <c r="A34" s="244" t="s">
        <v>281</v>
      </c>
      <c r="B34" s="244" t="s">
        <v>510</v>
      </c>
      <c r="C34" s="8">
        <f>23250-1200</f>
        <v>22050</v>
      </c>
      <c r="D34" s="8">
        <v>0</v>
      </c>
      <c r="E34" s="113"/>
      <c r="G34" s="6">
        <f t="shared" si="0"/>
        <v>23250</v>
      </c>
      <c r="H34" s="6">
        <f t="shared" si="1"/>
        <v>0</v>
      </c>
      <c r="P34" s="8">
        <v>23250</v>
      </c>
      <c r="Q34" s="8"/>
    </row>
    <row r="35" spans="1:17" s="23" customFormat="1">
      <c r="A35" s="88" t="s">
        <v>34</v>
      </c>
      <c r="B35" s="258" t="s">
        <v>452</v>
      </c>
      <c r="C35" s="8">
        <v>2615.23</v>
      </c>
      <c r="D35" s="8">
        <v>0</v>
      </c>
      <c r="G35" s="6">
        <f t="shared" si="0"/>
        <v>2615.23</v>
      </c>
      <c r="H35" s="6">
        <f t="shared" si="1"/>
        <v>0</v>
      </c>
      <c r="P35" s="8">
        <f>16.2+2599.03</f>
        <v>2615.23</v>
      </c>
      <c r="Q35" s="8"/>
    </row>
    <row r="36" spans="1:17" s="2" customFormat="1">
      <c r="A36" s="1"/>
      <c r="B36" s="252"/>
      <c r="E36" s="5"/>
    </row>
    <row r="37" spans="1:17" s="2" customFormat="1">
      <c r="B37" s="252"/>
      <c r="E37" s="5"/>
    </row>
    <row r="38" spans="1:17">
      <c r="A38" s="1"/>
    </row>
    <row r="39" spans="1:17">
      <c r="A39" s="2"/>
    </row>
    <row r="40" spans="1:17" s="2" customFormat="1">
      <c r="A40" s="69" t="s">
        <v>107</v>
      </c>
      <c r="B40" s="252"/>
      <c r="E40" s="5"/>
    </row>
    <row r="41" spans="1:17" s="2" customFormat="1">
      <c r="B41" s="252"/>
      <c r="E41"/>
      <c r="F41"/>
      <c r="G41"/>
      <c r="H41"/>
      <c r="I41"/>
      <c r="J41"/>
    </row>
    <row r="42" spans="1:17" s="2" customFormat="1">
      <c r="B42" s="252"/>
      <c r="D42" s="12"/>
      <c r="E42"/>
      <c r="F42"/>
      <c r="G42"/>
      <c r="H42"/>
      <c r="I42"/>
      <c r="J42"/>
    </row>
    <row r="43" spans="1:17" s="2" customFormat="1">
      <c r="A43"/>
      <c r="B43" s="254" t="s">
        <v>450</v>
      </c>
      <c r="D43" s="12"/>
      <c r="E43"/>
      <c r="F43"/>
      <c r="G43"/>
      <c r="H43"/>
      <c r="I43"/>
      <c r="J43"/>
    </row>
    <row r="44" spans="1:17" s="2" customFormat="1">
      <c r="A44"/>
      <c r="B44" s="252" t="s">
        <v>270</v>
      </c>
      <c r="D44" s="12"/>
      <c r="E44"/>
      <c r="F44"/>
      <c r="G44"/>
      <c r="H44"/>
      <c r="I44"/>
      <c r="J44"/>
    </row>
    <row r="45" spans="1:17" customFormat="1" ht="12.75">
      <c r="B45" s="255" t="s">
        <v>139</v>
      </c>
    </row>
    <row r="46" spans="1:17" customFormat="1" ht="12.75">
      <c r="B46" s="25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3" t="s">
        <v>237</v>
      </c>
    </row>
    <row r="3" spans="1:7" ht="15">
      <c r="A3" s="62">
        <v>40908</v>
      </c>
      <c r="C3" t="s">
        <v>201</v>
      </c>
      <c r="E3" t="s">
        <v>232</v>
      </c>
      <c r="G3" s="63" t="s">
        <v>238</v>
      </c>
    </row>
    <row r="4" spans="1:7" ht="15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showGridLines="0" view="pageBreakPreview" topLeftCell="C1" zoomScale="80" zoomScaleNormal="100" zoomScaleSheetLayoutView="80" workbookViewId="0">
      <selection activeCell="F1" sqref="F1:T1048576"/>
    </sheetView>
  </sheetViews>
  <sheetFormatPr defaultRowHeight="15"/>
  <cols>
    <col min="1" max="1" width="15.85546875" style="2" customWidth="1"/>
    <col min="2" max="2" width="76.7109375" style="2" customWidth="1"/>
    <col min="3" max="3" width="12.5703125" style="2" customWidth="1"/>
    <col min="4" max="4" width="13.5703125" style="2" customWidth="1"/>
    <col min="5" max="5" width="0.7109375" style="2" customWidth="1"/>
    <col min="6" max="6" width="8.140625" style="2" hidden="1" customWidth="1"/>
    <col min="7" max="8" width="0" style="2" hidden="1" customWidth="1"/>
    <col min="9" max="9" width="10.28515625" style="2" hidden="1" customWidth="1"/>
    <col min="10" max="18" width="0" style="2" hidden="1" customWidth="1"/>
    <col min="19" max="20" width="13.42578125" style="2" hidden="1" customWidth="1"/>
    <col min="21" max="16384" width="9.140625" style="2"/>
  </cols>
  <sheetData>
    <row r="1" spans="1:20" s="6" customFormat="1">
      <c r="A1" s="74" t="s">
        <v>406</v>
      </c>
      <c r="B1" s="234"/>
      <c r="C1" s="763" t="s">
        <v>109</v>
      </c>
      <c r="D1" s="763"/>
      <c r="E1" s="91"/>
      <c r="F1" s="91"/>
      <c r="G1" s="6">
        <f>J:J+M:M+P:P+S:S</f>
        <v>0</v>
      </c>
      <c r="H1" s="6">
        <f>K:K+N:N+Q:Q+T:T</f>
        <v>0</v>
      </c>
    </row>
    <row r="2" spans="1:20" s="6" customFormat="1">
      <c r="A2" s="74" t="s">
        <v>407</v>
      </c>
      <c r="B2" s="234"/>
      <c r="C2" s="753" t="s">
        <v>515</v>
      </c>
      <c r="D2" s="754"/>
      <c r="E2" s="91"/>
      <c r="F2" s="91"/>
      <c r="G2" s="6">
        <f t="shared" ref="G2:G65" si="0">J:J+M:M+P:P+S:S</f>
        <v>0</v>
      </c>
      <c r="H2" s="6">
        <f t="shared" ref="H2:H65" si="1">K:K+N:N+Q:Q+T:T</f>
        <v>0</v>
      </c>
    </row>
    <row r="3" spans="1:20" s="6" customFormat="1">
      <c r="A3" s="74" t="s">
        <v>408</v>
      </c>
      <c r="B3" s="234"/>
      <c r="C3" s="235"/>
      <c r="D3" s="235"/>
      <c r="E3" s="91"/>
      <c r="F3" s="91"/>
      <c r="G3" s="6">
        <f t="shared" si="0"/>
        <v>0</v>
      </c>
      <c r="H3" s="6">
        <f t="shared" si="1"/>
        <v>0</v>
      </c>
    </row>
    <row r="4" spans="1:20" s="6" customFormat="1">
      <c r="A4" s="76" t="s">
        <v>140</v>
      </c>
      <c r="B4" s="234"/>
      <c r="C4" s="235"/>
      <c r="D4" s="235"/>
      <c r="E4" s="91"/>
      <c r="F4" s="91"/>
      <c r="G4" s="6">
        <f t="shared" si="0"/>
        <v>0</v>
      </c>
      <c r="H4" s="6">
        <f t="shared" si="1"/>
        <v>0</v>
      </c>
    </row>
    <row r="5" spans="1:20" s="6" customFormat="1">
      <c r="A5" s="76"/>
      <c r="B5" s="234"/>
      <c r="C5" s="235"/>
      <c r="D5" s="235"/>
      <c r="E5" s="91"/>
      <c r="F5" s="91"/>
      <c r="G5" s="6">
        <f t="shared" si="0"/>
        <v>0</v>
      </c>
      <c r="H5" s="6">
        <f t="shared" si="1"/>
        <v>0</v>
      </c>
    </row>
    <row r="6" spans="1:20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  <c r="F6" s="92"/>
      <c r="G6" s="6">
        <f t="shared" si="0"/>
        <v>0</v>
      </c>
      <c r="H6" s="6">
        <f t="shared" si="1"/>
        <v>0</v>
      </c>
    </row>
    <row r="7" spans="1:20">
      <c r="A7" s="236" t="str">
        <f>'ფორმა N1'!D4</f>
        <v>მ.პ.გ. ქართული ოცნება - დემოკრატიული საქართველო</v>
      </c>
      <c r="B7" s="80"/>
      <c r="C7" s="81"/>
      <c r="D7" s="81"/>
      <c r="E7" s="92"/>
      <c r="F7" s="92"/>
      <c r="G7" s="6">
        <f t="shared" si="0"/>
        <v>0</v>
      </c>
      <c r="H7" s="6">
        <f t="shared" si="1"/>
        <v>0</v>
      </c>
    </row>
    <row r="8" spans="1:20">
      <c r="A8" s="77"/>
      <c r="B8" s="77"/>
      <c r="C8" s="76"/>
      <c r="D8" s="76"/>
      <c r="E8" s="92"/>
      <c r="F8" s="92"/>
      <c r="G8" s="6">
        <f t="shared" si="0"/>
        <v>0</v>
      </c>
      <c r="H8" s="6">
        <f t="shared" si="1"/>
        <v>0</v>
      </c>
    </row>
    <row r="9" spans="1:20" s="6" customFormat="1">
      <c r="A9" s="234"/>
      <c r="B9" s="234"/>
      <c r="C9" s="78"/>
      <c r="D9" s="78"/>
      <c r="E9" s="91"/>
      <c r="F9" s="91"/>
      <c r="G9" s="6">
        <f t="shared" si="0"/>
        <v>0</v>
      </c>
      <c r="H9" s="6">
        <f t="shared" si="1"/>
        <v>0</v>
      </c>
    </row>
    <row r="10" spans="1:20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  <c r="F10" s="91"/>
      <c r="G10" s="6" t="e">
        <f t="shared" si="0"/>
        <v>#VALUE!</v>
      </c>
      <c r="H10" s="6">
        <f t="shared" si="1"/>
        <v>0</v>
      </c>
      <c r="J10" s="6" t="s">
        <v>3709</v>
      </c>
      <c r="M10" s="6" t="s">
        <v>3714</v>
      </c>
      <c r="P10" s="6" t="s">
        <v>3711</v>
      </c>
      <c r="S10" s="6" t="s">
        <v>3712</v>
      </c>
    </row>
    <row r="11" spans="1:20" s="7" customFormat="1">
      <c r="A11" s="237">
        <v>1</v>
      </c>
      <c r="B11" s="237" t="s">
        <v>57</v>
      </c>
      <c r="C11" s="82">
        <f>SUM(C12,C15,C55,C58,C59,C60,C78)</f>
        <v>1732766.3399999999</v>
      </c>
      <c r="D11" s="82">
        <f>SUM(D12,D15,D55,D58,D59,D60,D66,D74,D75)</f>
        <v>2843329.5</v>
      </c>
      <c r="E11" s="238"/>
      <c r="F11" s="238"/>
      <c r="G11" s="6">
        <f t="shared" si="0"/>
        <v>1746387.13</v>
      </c>
      <c r="H11" s="6">
        <f t="shared" si="1"/>
        <v>2856949.85</v>
      </c>
      <c r="J11" s="490">
        <f>SUM(J12,J15,J55,J58,J59,J60,J78)</f>
        <v>410604.7</v>
      </c>
      <c r="K11" s="490">
        <f>SUM(K12,K15,K55,K58,K59,K60,K66,K74,K75)</f>
        <v>402543.7</v>
      </c>
      <c r="M11" s="490">
        <f>SUM(M12,M15,M55,M58,M59,M60,M78)</f>
        <v>425127.7</v>
      </c>
      <c r="N11" s="490">
        <f>SUM(N12,N15,N55,N58,N59,N60,N66,N74,N75)</f>
        <v>667415.03</v>
      </c>
      <c r="P11" s="82">
        <f>SUM(P12,P15,P55,P58,P59,P60,P78)</f>
        <v>0</v>
      </c>
      <c r="Q11" s="82">
        <f>SUM(Q12,Q15,Q55,Q58,Q59,Q60,Q66,Q74,Q75)</f>
        <v>0</v>
      </c>
      <c r="S11" s="490">
        <f>SUM(S12,S15,S55,S58,S59,S60,S78)</f>
        <v>910654.72999999986</v>
      </c>
      <c r="T11" s="490">
        <f>SUM(T12,T15,T55,T58,T59,T60,T66,T74,T75)</f>
        <v>1786991.12</v>
      </c>
    </row>
    <row r="12" spans="1:20" s="9" customFormat="1" ht="18">
      <c r="A12" s="87">
        <v>1.1000000000000001</v>
      </c>
      <c r="B12" s="87" t="s">
        <v>58</v>
      </c>
      <c r="C12" s="83">
        <f>SUM(C13:C14)</f>
        <v>43548.4</v>
      </c>
      <c r="D12" s="83">
        <f>SUM(D13:D14)</f>
        <v>43548.4</v>
      </c>
      <c r="E12" s="93"/>
      <c r="F12" s="93"/>
      <c r="G12" s="6">
        <f t="shared" si="0"/>
        <v>43548.39</v>
      </c>
      <c r="H12" s="6">
        <f t="shared" si="1"/>
        <v>43548.39</v>
      </c>
      <c r="J12" s="491">
        <f>SUM(J13:J14)</f>
        <v>11250</v>
      </c>
      <c r="K12" s="491">
        <f>SUM(K13:K14)</f>
        <v>11250</v>
      </c>
      <c r="M12" s="491">
        <f>SUM(M13:M14)</f>
        <v>12500</v>
      </c>
      <c r="N12" s="491">
        <f>SUM(N13:N14)</f>
        <v>12500</v>
      </c>
      <c r="P12" s="83">
        <f>SUM(P13:P14)</f>
        <v>0</v>
      </c>
      <c r="Q12" s="83">
        <f>SUM(Q13:Q14)</f>
        <v>0</v>
      </c>
      <c r="S12" s="491">
        <f>SUM(S13:S14)</f>
        <v>19798.39</v>
      </c>
      <c r="T12" s="491">
        <f>SUM(T13:T14)</f>
        <v>19798.39</v>
      </c>
    </row>
    <row r="13" spans="1:20" s="10" customFormat="1">
      <c r="A13" s="88" t="s">
        <v>30</v>
      </c>
      <c r="B13" s="88" t="s">
        <v>59</v>
      </c>
      <c r="C13" s="4">
        <v>43548.4</v>
      </c>
      <c r="D13" s="4">
        <v>43548.4</v>
      </c>
      <c r="E13" s="94"/>
      <c r="F13" s="94"/>
      <c r="G13" s="6">
        <f t="shared" si="0"/>
        <v>43548.39</v>
      </c>
      <c r="H13" s="6">
        <f t="shared" si="1"/>
        <v>43548.39</v>
      </c>
      <c r="J13" s="4">
        <v>11250</v>
      </c>
      <c r="K13" s="4">
        <v>11250</v>
      </c>
      <c r="M13" s="4">
        <v>12500</v>
      </c>
      <c r="N13" s="4">
        <v>12500</v>
      </c>
      <c r="P13" s="4"/>
      <c r="Q13" s="4"/>
      <c r="S13" s="4">
        <v>19798.39</v>
      </c>
      <c r="T13" s="4">
        <f>12500+7298.39</f>
        <v>19798.39</v>
      </c>
    </row>
    <row r="14" spans="1:20" s="3" customFormat="1">
      <c r="A14" s="88" t="s">
        <v>31</v>
      </c>
      <c r="B14" s="88" t="s">
        <v>0</v>
      </c>
      <c r="C14" s="4"/>
      <c r="D14" s="4"/>
      <c r="E14" s="95"/>
      <c r="F14" s="95"/>
      <c r="G14" s="6">
        <f t="shared" si="0"/>
        <v>0</v>
      </c>
      <c r="H14" s="6">
        <f t="shared" si="1"/>
        <v>0</v>
      </c>
      <c r="J14" s="4"/>
      <c r="K14" s="4"/>
      <c r="M14" s="4"/>
      <c r="N14" s="4"/>
      <c r="P14" s="4"/>
      <c r="Q14" s="4"/>
      <c r="S14" s="4"/>
      <c r="T14" s="4"/>
    </row>
    <row r="15" spans="1:20" s="7" customFormat="1">
      <c r="A15" s="87">
        <v>1.2</v>
      </c>
      <c r="B15" s="87" t="s">
        <v>60</v>
      </c>
      <c r="C15" s="84">
        <f>SUM(C16,C19,C31,C32,C33,C34,C37,C38,C45:C49,C53,C54)</f>
        <v>1610202.65</v>
      </c>
      <c r="D15" s="84">
        <f>SUM(D16,D19,D31,D32,D33,D34,D37,D38,D45:D49,D53,D54)</f>
        <v>1634846.85</v>
      </c>
      <c r="E15" s="238"/>
      <c r="F15" s="238"/>
      <c r="G15" s="6">
        <f t="shared" si="0"/>
        <v>1623823.44</v>
      </c>
      <c r="H15" s="6">
        <f t="shared" si="1"/>
        <v>1648466.81</v>
      </c>
      <c r="I15" s="515"/>
      <c r="J15" s="79">
        <f>SUM(J16,J19,J31,J32,J33,J34,J37,J38,J45:J49,J53,J54)</f>
        <v>394452.7</v>
      </c>
      <c r="K15" s="79">
        <f>SUM(K16,K19,K31,K32,K33,K34,K37,K38,K45:K49,K53,K54)</f>
        <v>384245.7</v>
      </c>
      <c r="M15" s="79">
        <f>SUM(M16,M19,M31,M32,M33,M34,M37,M38,M45:M49,M53,M54)</f>
        <v>412413.31</v>
      </c>
      <c r="N15" s="79">
        <f>SUM(N16,N19,N31,N32,N33,N34,N37,N38,N45:N49,N53,N54)</f>
        <v>497561.24</v>
      </c>
      <c r="P15" s="84">
        <f>SUM(P16,P19,P31,P32,P33,P34,P37,P38,P45:P49,P53,P54)</f>
        <v>0</v>
      </c>
      <c r="Q15" s="84">
        <f>SUM(Q16,Q19,Q31,Q32,Q33,Q34,Q37,Q38,Q45:Q49,Q53,Q54)</f>
        <v>0</v>
      </c>
      <c r="S15" s="79">
        <f>SUM(S16,S19,S31,S32,S33,S34,S37,S38,S45:S49,S53,S54)</f>
        <v>816957.42999999982</v>
      </c>
      <c r="T15" s="79">
        <f>SUM(T16,T19,T31,T32,T33,T34,T37,T38,T45:T49,T53,T54)</f>
        <v>766659.87</v>
      </c>
    </row>
    <row r="16" spans="1:20" s="3" customFormat="1">
      <c r="A16" s="88" t="s">
        <v>32</v>
      </c>
      <c r="B16" s="88" t="s">
        <v>1</v>
      </c>
      <c r="C16" s="83">
        <f>SUM(C17:C18)</f>
        <v>0</v>
      </c>
      <c r="D16" s="83">
        <f>SUM(D17:D18)</f>
        <v>0</v>
      </c>
      <c r="E16" s="95"/>
      <c r="F16" s="95"/>
      <c r="G16" s="6">
        <f t="shared" si="0"/>
        <v>13620</v>
      </c>
      <c r="H16" s="6">
        <f t="shared" si="1"/>
        <v>13620</v>
      </c>
      <c r="J16" s="491">
        <f>SUM(J17:J18)</f>
        <v>13620</v>
      </c>
      <c r="K16" s="491">
        <f>SUM(K17:K18)</f>
        <v>13620</v>
      </c>
      <c r="M16" s="491">
        <f>SUM(M17:M18)</f>
        <v>0</v>
      </c>
      <c r="N16" s="491">
        <f>SUM(N17:N18)</f>
        <v>0</v>
      </c>
      <c r="P16" s="83">
        <f>SUM(P17:P18)</f>
        <v>0</v>
      </c>
      <c r="Q16" s="83">
        <f>SUM(Q17:Q18)</f>
        <v>0</v>
      </c>
      <c r="S16" s="491">
        <f>SUM(S17:S18)</f>
        <v>0</v>
      </c>
      <c r="T16" s="491">
        <f>SUM(T17:T18)</f>
        <v>0</v>
      </c>
    </row>
    <row r="17" spans="1:20" s="3" customFormat="1">
      <c r="A17" s="97" t="s">
        <v>98</v>
      </c>
      <c r="B17" s="97" t="s">
        <v>61</v>
      </c>
      <c r="C17" s="4"/>
      <c r="D17" s="239"/>
      <c r="E17" s="95"/>
      <c r="F17" s="95"/>
      <c r="G17" s="6">
        <f t="shared" si="0"/>
        <v>0</v>
      </c>
      <c r="H17" s="6">
        <f t="shared" si="1"/>
        <v>0</v>
      </c>
      <c r="J17" s="4">
        <v>0</v>
      </c>
      <c r="K17" s="239">
        <v>0</v>
      </c>
      <c r="M17" s="502"/>
      <c r="N17" s="239"/>
      <c r="P17" s="4"/>
      <c r="Q17" s="239"/>
      <c r="S17" s="502"/>
      <c r="T17" s="239"/>
    </row>
    <row r="18" spans="1:20" s="3" customFormat="1">
      <c r="A18" s="97" t="s">
        <v>99</v>
      </c>
      <c r="B18" s="97" t="s">
        <v>62</v>
      </c>
      <c r="C18" s="4">
        <f>13620-13620</f>
        <v>0</v>
      </c>
      <c r="D18" s="239">
        <f>13620-13620</f>
        <v>0</v>
      </c>
      <c r="E18" s="95"/>
      <c r="F18" s="95"/>
      <c r="G18" s="6">
        <f t="shared" si="0"/>
        <v>13620</v>
      </c>
      <c r="H18" s="6">
        <f t="shared" si="1"/>
        <v>13620</v>
      </c>
      <c r="J18" s="4">
        <v>13620</v>
      </c>
      <c r="K18" s="239">
        <v>13620</v>
      </c>
      <c r="M18" s="4"/>
      <c r="N18" s="239"/>
      <c r="P18" s="4"/>
      <c r="Q18" s="239"/>
      <c r="S18" s="4"/>
      <c r="T18" s="239"/>
    </row>
    <row r="19" spans="1:20" s="3" customFormat="1">
      <c r="A19" s="88" t="s">
        <v>33</v>
      </c>
      <c r="B19" s="88" t="s">
        <v>2</v>
      </c>
      <c r="C19" s="83">
        <f>SUM(C20:C25,C30)</f>
        <v>150018.34</v>
      </c>
      <c r="D19" s="83">
        <f>SUM(D20:D25,D30)</f>
        <v>145578.09</v>
      </c>
      <c r="E19" s="240"/>
      <c r="F19" s="240"/>
      <c r="G19" s="6">
        <f t="shared" si="0"/>
        <v>150018.31</v>
      </c>
      <c r="H19" s="6">
        <f t="shared" si="1"/>
        <v>145578.08000000002</v>
      </c>
      <c r="J19" s="491">
        <f>SUM(J20:J25,J30)</f>
        <v>65091.7</v>
      </c>
      <c r="K19" s="491">
        <f>SUM(K20:K25,K30)</f>
        <v>65292.7</v>
      </c>
      <c r="M19" s="491">
        <f>SUM(M20:M25,M30)</f>
        <v>44318.5</v>
      </c>
      <c r="N19" s="491">
        <f>SUM(N20:N25,N30)</f>
        <v>44300.740000000005</v>
      </c>
      <c r="P19" s="83">
        <f>SUM(P20:P25,P30)</f>
        <v>0</v>
      </c>
      <c r="Q19" s="83">
        <f>SUM(Q20:Q25,Q30)</f>
        <v>0</v>
      </c>
      <c r="S19" s="491">
        <f>SUM(S20:S25,S30)</f>
        <v>40608.11</v>
      </c>
      <c r="T19" s="491">
        <f>SUM(T20:T25,T30)</f>
        <v>35984.639999999999</v>
      </c>
    </row>
    <row r="20" spans="1:20" s="243" customFormat="1" ht="30">
      <c r="A20" s="97" t="s">
        <v>12</v>
      </c>
      <c r="B20" s="97" t="s">
        <v>250</v>
      </c>
      <c r="C20" s="494">
        <v>7578.4</v>
      </c>
      <c r="D20" s="38">
        <v>7578.4</v>
      </c>
      <c r="E20" s="242"/>
      <c r="F20" s="242"/>
      <c r="G20" s="6">
        <f t="shared" si="0"/>
        <v>7578.4</v>
      </c>
      <c r="H20" s="6">
        <f t="shared" si="1"/>
        <v>7578.4</v>
      </c>
      <c r="J20" s="492">
        <v>2450.6999999999998</v>
      </c>
      <c r="K20" s="493">
        <v>2450.6999999999998</v>
      </c>
      <c r="M20" s="492">
        <v>5127.7</v>
      </c>
      <c r="N20" s="492">
        <v>5127.7</v>
      </c>
      <c r="P20" s="241"/>
      <c r="Q20" s="38"/>
      <c r="S20" s="492"/>
      <c r="T20" s="492"/>
    </row>
    <row r="21" spans="1:20" s="243" customFormat="1">
      <c r="A21" s="97" t="s">
        <v>13</v>
      </c>
      <c r="B21" s="97" t="s">
        <v>14</v>
      </c>
      <c r="C21" s="241"/>
      <c r="D21" s="39"/>
      <c r="E21" s="242"/>
      <c r="F21" s="242"/>
      <c r="G21" s="6">
        <f t="shared" si="0"/>
        <v>0</v>
      </c>
      <c r="H21" s="6">
        <f t="shared" si="1"/>
        <v>0</v>
      </c>
      <c r="J21" s="494"/>
      <c r="K21" s="495"/>
      <c r="M21" s="494"/>
      <c r="N21" s="495"/>
      <c r="P21" s="241"/>
      <c r="Q21" s="39"/>
      <c r="S21" s="494"/>
      <c r="T21" s="495"/>
    </row>
    <row r="22" spans="1:20" s="243" customFormat="1" ht="30">
      <c r="A22" s="97" t="s">
        <v>281</v>
      </c>
      <c r="B22" s="97" t="s">
        <v>22</v>
      </c>
      <c r="C22" s="494">
        <v>3613.3</v>
      </c>
      <c r="D22" s="40">
        <v>3613.3</v>
      </c>
      <c r="E22" s="242"/>
      <c r="F22" s="242"/>
      <c r="G22" s="6">
        <f t="shared" si="0"/>
        <v>3613.3</v>
      </c>
      <c r="H22" s="6">
        <f t="shared" si="1"/>
        <v>3613.3</v>
      </c>
      <c r="J22" s="494">
        <v>409</v>
      </c>
      <c r="K22" s="496">
        <v>409</v>
      </c>
      <c r="M22" s="492">
        <v>3204.3</v>
      </c>
      <c r="N22" s="497">
        <v>3204.3</v>
      </c>
      <c r="P22" s="241"/>
      <c r="Q22" s="40"/>
      <c r="S22" s="492"/>
      <c r="T22" s="497"/>
    </row>
    <row r="23" spans="1:20" s="243" customFormat="1" ht="16.5" customHeight="1">
      <c r="A23" s="97" t="s">
        <v>282</v>
      </c>
      <c r="B23" s="97" t="s">
        <v>15</v>
      </c>
      <c r="C23" s="494">
        <v>57774.400000000001</v>
      </c>
      <c r="D23" s="40">
        <v>53211.8</v>
      </c>
      <c r="E23" s="242"/>
      <c r="F23" s="242"/>
      <c r="G23" s="6">
        <f t="shared" si="0"/>
        <v>57774.36</v>
      </c>
      <c r="H23" s="6">
        <f t="shared" si="1"/>
        <v>53211.83</v>
      </c>
      <c r="J23" s="494">
        <v>22639</v>
      </c>
      <c r="K23" s="496">
        <v>22540</v>
      </c>
      <c r="M23" s="492">
        <v>16703.3</v>
      </c>
      <c r="N23" s="497">
        <v>16685.39</v>
      </c>
      <c r="P23" s="241"/>
      <c r="Q23" s="40"/>
      <c r="S23" s="492">
        <v>18432.060000000001</v>
      </c>
      <c r="T23" s="497">
        <f>497.36+13489.08</f>
        <v>13986.44</v>
      </c>
    </row>
    <row r="24" spans="1:20" s="243" customFormat="1" ht="16.5" customHeight="1">
      <c r="A24" s="97" t="s">
        <v>283</v>
      </c>
      <c r="B24" s="97" t="s">
        <v>16</v>
      </c>
      <c r="C24" s="494">
        <v>243.9</v>
      </c>
      <c r="D24" s="40">
        <v>243.9</v>
      </c>
      <c r="E24" s="242"/>
      <c r="F24" s="242"/>
      <c r="G24" s="6">
        <f t="shared" si="0"/>
        <v>243.9</v>
      </c>
      <c r="H24" s="6">
        <f t="shared" si="1"/>
        <v>243.9</v>
      </c>
      <c r="J24" s="494">
        <v>0</v>
      </c>
      <c r="K24" s="496">
        <v>0</v>
      </c>
      <c r="M24" s="494"/>
      <c r="N24" s="496"/>
      <c r="P24" s="241"/>
      <c r="Q24" s="40"/>
      <c r="S24" s="494">
        <v>243.9</v>
      </c>
      <c r="T24" s="496">
        <v>243.9</v>
      </c>
    </row>
    <row r="25" spans="1:20" s="243" customFormat="1" ht="16.5" customHeight="1">
      <c r="A25" s="97" t="s">
        <v>284</v>
      </c>
      <c r="B25" s="97" t="s">
        <v>17</v>
      </c>
      <c r="C25" s="83">
        <f>SUM(C26:C29)</f>
        <v>80808.34</v>
      </c>
      <c r="D25" s="83">
        <f>SUM(D26:D29)</f>
        <v>80930.69</v>
      </c>
      <c r="E25" s="242"/>
      <c r="F25" s="242"/>
      <c r="G25" s="6">
        <f t="shared" si="0"/>
        <v>80808.350000000006</v>
      </c>
      <c r="H25" s="6">
        <f t="shared" si="1"/>
        <v>80930.650000000009</v>
      </c>
      <c r="J25" s="491">
        <f>SUM(J26:J29)</f>
        <v>39593</v>
      </c>
      <c r="K25" s="491">
        <f>SUM(K26:K29)</f>
        <v>39893</v>
      </c>
      <c r="M25" s="491">
        <f>SUM(M26:M29)</f>
        <v>19283.2</v>
      </c>
      <c r="N25" s="491">
        <f>SUM(N26:N29)</f>
        <v>19283.350000000002</v>
      </c>
      <c r="P25" s="83">
        <f>SUM(P26:P29)</f>
        <v>0</v>
      </c>
      <c r="Q25" s="83">
        <f>SUM(Q26:Q29)</f>
        <v>0</v>
      </c>
      <c r="S25" s="491">
        <f>SUM(S26:S29)</f>
        <v>21932.15</v>
      </c>
      <c r="T25" s="491">
        <f>SUM(T26:T29)</f>
        <v>21754.3</v>
      </c>
    </row>
    <row r="26" spans="1:20" s="243" customFormat="1" ht="16.5" customHeight="1">
      <c r="A26" s="244" t="s">
        <v>285</v>
      </c>
      <c r="B26" s="244" t="s">
        <v>18</v>
      </c>
      <c r="C26" s="494">
        <v>44407.1</v>
      </c>
      <c r="D26" s="40">
        <v>44529.3</v>
      </c>
      <c r="E26" s="242"/>
      <c r="F26" s="242"/>
      <c r="G26" s="6">
        <f t="shared" si="0"/>
        <v>44407.1</v>
      </c>
      <c r="H26" s="6">
        <f t="shared" si="1"/>
        <v>44529.25</v>
      </c>
      <c r="J26" s="494">
        <v>18252</v>
      </c>
      <c r="K26" s="497">
        <v>18552</v>
      </c>
      <c r="M26" s="492">
        <v>11797.92</v>
      </c>
      <c r="N26" s="497">
        <v>11797.92</v>
      </c>
      <c r="P26" s="241"/>
      <c r="Q26" s="40"/>
      <c r="S26" s="492">
        <v>14357.18</v>
      </c>
      <c r="T26" s="497">
        <f>2276.1+11903.23</f>
        <v>14179.33</v>
      </c>
    </row>
    <row r="27" spans="1:20" s="243" customFormat="1" ht="16.5" customHeight="1">
      <c r="A27" s="244" t="s">
        <v>286</v>
      </c>
      <c r="B27" s="244" t="s">
        <v>19</v>
      </c>
      <c r="C27" s="494">
        <v>5938.92</v>
      </c>
      <c r="D27" s="40">
        <v>5939.07</v>
      </c>
      <c r="E27" s="242"/>
      <c r="F27" s="242"/>
      <c r="G27" s="6">
        <f t="shared" si="0"/>
        <v>5938.92</v>
      </c>
      <c r="H27" s="6">
        <f t="shared" si="1"/>
        <v>5939.0700000000006</v>
      </c>
      <c r="J27" s="494">
        <v>2345</v>
      </c>
      <c r="K27" s="497">
        <v>2345</v>
      </c>
      <c r="M27" s="492">
        <v>2132.88</v>
      </c>
      <c r="N27" s="497">
        <v>2133.0300000000002</v>
      </c>
      <c r="P27" s="241"/>
      <c r="Q27" s="40"/>
      <c r="S27" s="492">
        <v>1461.04</v>
      </c>
      <c r="T27" s="497">
        <f>311.44+1149.6</f>
        <v>1461.04</v>
      </c>
    </row>
    <row r="28" spans="1:20" s="243" customFormat="1" ht="16.5" customHeight="1">
      <c r="A28" s="244" t="s">
        <v>287</v>
      </c>
      <c r="B28" s="244" t="s">
        <v>20</v>
      </c>
      <c r="C28" s="494">
        <v>30076.3</v>
      </c>
      <c r="D28" s="40">
        <v>30076.3</v>
      </c>
      <c r="E28" s="242"/>
      <c r="F28" s="242"/>
      <c r="G28" s="6">
        <f t="shared" si="0"/>
        <v>30076.31</v>
      </c>
      <c r="H28" s="6">
        <f t="shared" si="1"/>
        <v>30076.31</v>
      </c>
      <c r="J28" s="494">
        <v>18869</v>
      </c>
      <c r="K28" s="497">
        <v>18869</v>
      </c>
      <c r="M28" s="492">
        <v>5239.0600000000004</v>
      </c>
      <c r="N28" s="497">
        <v>5239.0600000000004</v>
      </c>
      <c r="P28" s="241"/>
      <c r="Q28" s="40"/>
      <c r="S28" s="492">
        <v>5968.25</v>
      </c>
      <c r="T28" s="497">
        <v>5968.25</v>
      </c>
    </row>
    <row r="29" spans="1:20" s="243" customFormat="1" ht="16.5" customHeight="1">
      <c r="A29" s="244" t="s">
        <v>288</v>
      </c>
      <c r="B29" s="244" t="s">
        <v>23</v>
      </c>
      <c r="C29" s="494">
        <v>386.02</v>
      </c>
      <c r="D29" s="37">
        <v>386.02</v>
      </c>
      <c r="E29" s="242"/>
      <c r="F29" s="242"/>
      <c r="G29" s="6">
        <f t="shared" si="0"/>
        <v>386.02</v>
      </c>
      <c r="H29" s="6">
        <f t="shared" si="1"/>
        <v>386.02</v>
      </c>
      <c r="J29" s="494">
        <v>127</v>
      </c>
      <c r="K29" s="497">
        <v>127</v>
      </c>
      <c r="M29" s="492">
        <v>113.34</v>
      </c>
      <c r="N29" s="497">
        <v>113.34</v>
      </c>
      <c r="P29" s="241"/>
      <c r="Q29" s="41"/>
      <c r="S29" s="492">
        <v>145.68</v>
      </c>
      <c r="T29" s="497">
        <f>29.5+116.18</f>
        <v>145.68</v>
      </c>
    </row>
    <row r="30" spans="1:20" s="243" customFormat="1" ht="16.5" customHeight="1">
      <c r="A30" s="97" t="s">
        <v>289</v>
      </c>
      <c r="B30" s="97" t="s">
        <v>21</v>
      </c>
      <c r="C30" s="241"/>
      <c r="D30" s="41"/>
      <c r="E30" s="242"/>
      <c r="F30" s="242"/>
      <c r="G30" s="6">
        <f t="shared" si="0"/>
        <v>0</v>
      </c>
      <c r="H30" s="6">
        <f t="shared" si="1"/>
        <v>0</v>
      </c>
      <c r="J30" s="492">
        <v>0</v>
      </c>
      <c r="K30" s="497">
        <v>0</v>
      </c>
      <c r="M30" s="494"/>
      <c r="N30" s="503"/>
      <c r="P30" s="241"/>
      <c r="Q30" s="41"/>
      <c r="S30" s="494"/>
      <c r="T30" s="503"/>
    </row>
    <row r="31" spans="1:20" s="3" customFormat="1" ht="16.5" customHeight="1">
      <c r="A31" s="88" t="s">
        <v>34</v>
      </c>
      <c r="B31" s="88" t="s">
        <v>3</v>
      </c>
      <c r="C31" s="4">
        <v>7680.8</v>
      </c>
      <c r="D31" s="239">
        <v>7680.8</v>
      </c>
      <c r="E31" s="240"/>
      <c r="F31" s="240"/>
      <c r="G31" s="6">
        <f t="shared" si="0"/>
        <v>7680.8</v>
      </c>
      <c r="H31" s="6">
        <f t="shared" si="1"/>
        <v>7680.8</v>
      </c>
      <c r="J31" s="4">
        <v>4510</v>
      </c>
      <c r="K31" s="239">
        <v>4510</v>
      </c>
      <c r="M31" s="4">
        <v>2540.8000000000002</v>
      </c>
      <c r="N31" s="239">
        <v>2540.8000000000002</v>
      </c>
      <c r="P31" s="4"/>
      <c r="Q31" s="239"/>
      <c r="S31" s="4">
        <v>630</v>
      </c>
      <c r="T31" s="239">
        <f>198+432</f>
        <v>630</v>
      </c>
    </row>
    <row r="32" spans="1:20" s="3" customFormat="1" ht="16.5" customHeight="1">
      <c r="A32" s="88" t="s">
        <v>35</v>
      </c>
      <c r="B32" s="88" t="s">
        <v>4</v>
      </c>
      <c r="C32" s="4"/>
      <c r="D32" s="239"/>
      <c r="E32" s="95"/>
      <c r="F32" s="95"/>
      <c r="G32" s="6">
        <f t="shared" si="0"/>
        <v>0</v>
      </c>
      <c r="H32" s="6">
        <f t="shared" si="1"/>
        <v>0</v>
      </c>
      <c r="J32" s="4"/>
      <c r="K32" s="239"/>
      <c r="M32" s="4"/>
      <c r="N32" s="239"/>
      <c r="P32" s="4"/>
      <c r="Q32" s="239"/>
      <c r="S32" s="4"/>
      <c r="T32" s="239"/>
    </row>
    <row r="33" spans="1:20" s="3" customFormat="1" ht="16.5" customHeight="1">
      <c r="A33" s="88" t="s">
        <v>36</v>
      </c>
      <c r="B33" s="88" t="s">
        <v>5</v>
      </c>
      <c r="C33" s="4"/>
      <c r="D33" s="239"/>
      <c r="E33" s="95"/>
      <c r="F33" s="95"/>
      <c r="G33" s="6">
        <f t="shared" si="0"/>
        <v>0</v>
      </c>
      <c r="H33" s="6">
        <f t="shared" si="1"/>
        <v>0</v>
      </c>
      <c r="J33" s="4"/>
      <c r="K33" s="239"/>
      <c r="M33" s="4"/>
      <c r="N33" s="239"/>
      <c r="P33" s="4"/>
      <c r="Q33" s="239"/>
      <c r="S33" s="4"/>
      <c r="T33" s="239"/>
    </row>
    <row r="34" spans="1:20" s="3" customFormat="1">
      <c r="A34" s="88" t="s">
        <v>37</v>
      </c>
      <c r="B34" s="88" t="s">
        <v>63</v>
      </c>
      <c r="C34" s="83">
        <f>SUM(C35:C36)</f>
        <v>1058.5</v>
      </c>
      <c r="D34" s="83">
        <f>SUM(D35:D36)</f>
        <v>3918.5</v>
      </c>
      <c r="E34" s="95"/>
      <c r="F34" s="95"/>
      <c r="G34" s="6">
        <f t="shared" si="0"/>
        <v>1058.5</v>
      </c>
      <c r="H34" s="6">
        <f t="shared" si="1"/>
        <v>3918.5</v>
      </c>
      <c r="J34" s="491">
        <f>SUM(J35:J36)</f>
        <v>0</v>
      </c>
      <c r="K34" s="491">
        <f>SUM(K35:K36)</f>
        <v>0</v>
      </c>
      <c r="M34" s="491">
        <f>SUM(M35:M36)</f>
        <v>920</v>
      </c>
      <c r="N34" s="491">
        <f>SUM(N35:N36)</f>
        <v>3780</v>
      </c>
      <c r="P34" s="83">
        <f>SUM(P35:P36)</f>
        <v>0</v>
      </c>
      <c r="Q34" s="83">
        <f>SUM(Q35:Q36)</f>
        <v>0</v>
      </c>
      <c r="S34" s="491">
        <f>SUM(S35:S36)</f>
        <v>138.5</v>
      </c>
      <c r="T34" s="491">
        <f>SUM(T35:T36)</f>
        <v>138.5</v>
      </c>
    </row>
    <row r="35" spans="1:20" s="3" customFormat="1" ht="16.5" customHeight="1">
      <c r="A35" s="97" t="s">
        <v>290</v>
      </c>
      <c r="B35" s="97" t="s">
        <v>56</v>
      </c>
      <c r="C35" s="4"/>
      <c r="D35" s="239">
        <v>2860</v>
      </c>
      <c r="E35" s="95"/>
      <c r="F35" s="95"/>
      <c r="G35" s="6">
        <f t="shared" si="0"/>
        <v>0</v>
      </c>
      <c r="H35" s="6">
        <f t="shared" si="1"/>
        <v>2860</v>
      </c>
      <c r="J35" s="4"/>
      <c r="K35" s="239"/>
      <c r="M35" s="4"/>
      <c r="N35" s="239">
        <v>2860</v>
      </c>
      <c r="P35" s="4"/>
      <c r="Q35" s="239"/>
      <c r="S35" s="4"/>
      <c r="T35" s="239"/>
    </row>
    <row r="36" spans="1:20" s="3" customFormat="1" ht="16.5" customHeight="1">
      <c r="A36" s="97" t="s">
        <v>291</v>
      </c>
      <c r="B36" s="97" t="s">
        <v>55</v>
      </c>
      <c r="C36" s="4">
        <v>1058.5</v>
      </c>
      <c r="D36" s="239">
        <v>1058.5</v>
      </c>
      <c r="E36" s="95"/>
      <c r="F36" s="95"/>
      <c r="G36" s="6">
        <f t="shared" si="0"/>
        <v>1058.5</v>
      </c>
      <c r="H36" s="6">
        <f t="shared" si="1"/>
        <v>1058.5</v>
      </c>
      <c r="J36" s="4">
        <v>0</v>
      </c>
      <c r="K36" s="239">
        <v>0</v>
      </c>
      <c r="M36" s="4">
        <v>920</v>
      </c>
      <c r="N36" s="239">
        <v>920</v>
      </c>
      <c r="P36" s="4"/>
      <c r="Q36" s="239"/>
      <c r="S36" s="4">
        <v>138.5</v>
      </c>
      <c r="T36" s="239">
        <f>122.5+16</f>
        <v>138.5</v>
      </c>
    </row>
    <row r="37" spans="1:20" s="3" customFormat="1" ht="16.5" customHeight="1">
      <c r="A37" s="88" t="s">
        <v>38</v>
      </c>
      <c r="B37" s="88" t="s">
        <v>49</v>
      </c>
      <c r="C37" s="4">
        <v>2094.0100000000002</v>
      </c>
      <c r="D37" s="239">
        <v>2094.0100000000002</v>
      </c>
      <c r="E37" s="95"/>
      <c r="F37" s="95"/>
      <c r="G37" s="6">
        <f t="shared" si="0"/>
        <v>2094.0100000000002</v>
      </c>
      <c r="H37" s="6">
        <f t="shared" si="1"/>
        <v>2094.0100000000002</v>
      </c>
      <c r="J37" s="4">
        <v>450</v>
      </c>
      <c r="K37" s="239">
        <v>450</v>
      </c>
      <c r="M37" s="4">
        <v>767.8</v>
      </c>
      <c r="N37" s="239">
        <v>767.8</v>
      </c>
      <c r="P37" s="4"/>
      <c r="Q37" s="239"/>
      <c r="S37" s="4">
        <v>876.21</v>
      </c>
      <c r="T37" s="239">
        <f>86.42+204.51+585.28</f>
        <v>876.21</v>
      </c>
    </row>
    <row r="38" spans="1:20" s="3" customFormat="1" ht="16.5" customHeight="1">
      <c r="A38" s="88" t="s">
        <v>39</v>
      </c>
      <c r="B38" s="88" t="s">
        <v>409</v>
      </c>
      <c r="C38" s="83">
        <f>SUM(C39:C44)</f>
        <v>0</v>
      </c>
      <c r="D38" s="83">
        <f>SUM(D39:D44)</f>
        <v>18000</v>
      </c>
      <c r="E38" s="95"/>
      <c r="F38" s="95"/>
      <c r="G38" s="6">
        <f t="shared" si="0"/>
        <v>0</v>
      </c>
      <c r="H38" s="6">
        <f t="shared" si="1"/>
        <v>18000</v>
      </c>
      <c r="J38" s="491">
        <f>SUM(J39:J43)</f>
        <v>0</v>
      </c>
      <c r="K38" s="491">
        <f>SUM(K39:K43)</f>
        <v>0</v>
      </c>
      <c r="M38" s="491">
        <f>SUM(M39:M43)</f>
        <v>0</v>
      </c>
      <c r="N38" s="491">
        <f>SUM(N39:N43)</f>
        <v>0</v>
      </c>
      <c r="P38" s="83">
        <f>SUM(P39:P44)</f>
        <v>0</v>
      </c>
      <c r="Q38" s="83">
        <f>SUM(Q39:Q44)</f>
        <v>0</v>
      </c>
      <c r="S38" s="491">
        <f>SUM(S39:S43)</f>
        <v>0</v>
      </c>
      <c r="T38" s="491">
        <f>SUM(T39:T43)</f>
        <v>18000</v>
      </c>
    </row>
    <row r="39" spans="1:20" s="3" customFormat="1" ht="16.5" customHeight="1">
      <c r="A39" s="17" t="s">
        <v>355</v>
      </c>
      <c r="B39" s="17" t="s">
        <v>359</v>
      </c>
      <c r="C39" s="4"/>
      <c r="D39" s="239"/>
      <c r="E39" s="95"/>
      <c r="F39" s="95"/>
      <c r="G39" s="6">
        <f t="shared" si="0"/>
        <v>0</v>
      </c>
      <c r="H39" s="6">
        <f t="shared" si="1"/>
        <v>0</v>
      </c>
      <c r="J39" s="4"/>
      <c r="K39" s="239"/>
      <c r="M39" s="4"/>
      <c r="N39" s="239"/>
      <c r="P39" s="4"/>
      <c r="Q39" s="239"/>
      <c r="S39" s="4"/>
      <c r="T39" s="239"/>
    </row>
    <row r="40" spans="1:20" s="3" customFormat="1" ht="16.5" customHeight="1">
      <c r="A40" s="17" t="s">
        <v>356</v>
      </c>
      <c r="B40" s="17" t="s">
        <v>360</v>
      </c>
      <c r="C40" s="4"/>
      <c r="D40" s="239"/>
      <c r="E40" s="95"/>
      <c r="F40" s="95"/>
      <c r="G40" s="6">
        <f t="shared" si="0"/>
        <v>0</v>
      </c>
      <c r="H40" s="6">
        <f t="shared" si="1"/>
        <v>0</v>
      </c>
      <c r="J40" s="4"/>
      <c r="K40" s="239"/>
      <c r="M40" s="4"/>
      <c r="N40" s="239"/>
      <c r="P40" s="4"/>
      <c r="Q40" s="239"/>
      <c r="S40" s="4"/>
      <c r="T40" s="239"/>
    </row>
    <row r="41" spans="1:20" s="3" customFormat="1" ht="16.5" customHeight="1">
      <c r="A41" s="17" t="s">
        <v>357</v>
      </c>
      <c r="B41" s="17" t="s">
        <v>363</v>
      </c>
      <c r="C41" s="4"/>
      <c r="D41" s="239">
        <f>18000-6720</f>
        <v>11280</v>
      </c>
      <c r="E41" s="95"/>
      <c r="F41" s="95"/>
      <c r="G41" s="6">
        <f t="shared" si="0"/>
        <v>0</v>
      </c>
      <c r="H41" s="6">
        <f t="shared" si="1"/>
        <v>18000</v>
      </c>
      <c r="J41" s="4"/>
      <c r="K41" s="239"/>
      <c r="M41" s="4"/>
      <c r="N41" s="239"/>
      <c r="P41" s="4"/>
      <c r="Q41" s="239"/>
      <c r="S41" s="4"/>
      <c r="T41" s="239">
        <v>18000</v>
      </c>
    </row>
    <row r="42" spans="1:20" s="3" customFormat="1" ht="16.5" customHeight="1">
      <c r="A42" s="17" t="s">
        <v>362</v>
      </c>
      <c r="B42" s="17" t="s">
        <v>364</v>
      </c>
      <c r="C42" s="4"/>
      <c r="D42" s="239"/>
      <c r="E42" s="95"/>
      <c r="F42" s="95"/>
      <c r="G42" s="6">
        <f t="shared" si="0"/>
        <v>0</v>
      </c>
      <c r="H42" s="6">
        <f t="shared" si="1"/>
        <v>0</v>
      </c>
      <c r="J42" s="4"/>
      <c r="K42" s="239"/>
      <c r="M42" s="4"/>
      <c r="N42" s="239"/>
      <c r="P42" s="4"/>
      <c r="Q42" s="239"/>
      <c r="S42" s="4"/>
      <c r="T42" s="239"/>
    </row>
    <row r="43" spans="1:20" s="3" customFormat="1" ht="16.5" customHeight="1">
      <c r="A43" s="17" t="s">
        <v>365</v>
      </c>
      <c r="B43" s="17" t="s">
        <v>498</v>
      </c>
      <c r="C43" s="4"/>
      <c r="D43" s="239"/>
      <c r="E43" s="95"/>
      <c r="F43" s="95"/>
      <c r="G43" s="6">
        <f t="shared" si="0"/>
        <v>0</v>
      </c>
      <c r="H43" s="6">
        <f t="shared" si="1"/>
        <v>0</v>
      </c>
      <c r="J43" s="4"/>
      <c r="K43" s="239"/>
      <c r="M43" s="4"/>
      <c r="N43" s="239"/>
      <c r="P43" s="4"/>
      <c r="Q43" s="239"/>
      <c r="S43" s="4"/>
      <c r="T43" s="239"/>
    </row>
    <row r="44" spans="1:20" s="3" customFormat="1" ht="16.5" customHeight="1">
      <c r="A44" s="17" t="s">
        <v>499</v>
      </c>
      <c r="B44" s="17" t="s">
        <v>361</v>
      </c>
      <c r="C44" s="4"/>
      <c r="D44" s="239">
        <v>6720</v>
      </c>
      <c r="E44" s="95"/>
      <c r="F44" s="95"/>
      <c r="G44" s="6">
        <f t="shared" si="0"/>
        <v>0</v>
      </c>
      <c r="H44" s="6">
        <f t="shared" si="1"/>
        <v>0</v>
      </c>
      <c r="P44" s="4"/>
      <c r="Q44" s="239"/>
    </row>
    <row r="45" spans="1:20" s="3" customFormat="1" ht="30">
      <c r="A45" s="88" t="s">
        <v>40</v>
      </c>
      <c r="B45" s="88" t="s">
        <v>28</v>
      </c>
      <c r="C45" s="4">
        <v>219365</v>
      </c>
      <c r="D45" s="239">
        <v>219765</v>
      </c>
      <c r="E45" s="95"/>
      <c r="F45" s="95"/>
      <c r="G45" s="6">
        <f t="shared" si="0"/>
        <v>219365.35</v>
      </c>
      <c r="H45" s="6">
        <f t="shared" si="1"/>
        <v>219765.4</v>
      </c>
      <c r="J45" s="4">
        <v>16410</v>
      </c>
      <c r="K45" s="239">
        <v>15510</v>
      </c>
      <c r="M45" s="4">
        <v>202955.35</v>
      </c>
      <c r="N45" s="239">
        <v>204255.4</v>
      </c>
      <c r="P45" s="4"/>
      <c r="Q45" s="239"/>
      <c r="S45" s="4"/>
      <c r="T45" s="239"/>
    </row>
    <row r="46" spans="1:20" s="3" customFormat="1" ht="16.5" customHeight="1">
      <c r="A46" s="88" t="s">
        <v>41</v>
      </c>
      <c r="B46" s="88" t="s">
        <v>24</v>
      </c>
      <c r="C46" s="4">
        <v>498931</v>
      </c>
      <c r="D46" s="239">
        <v>498931</v>
      </c>
      <c r="E46" s="95"/>
      <c r="F46" s="95"/>
      <c r="G46" s="6">
        <f t="shared" si="0"/>
        <v>498930.72</v>
      </c>
      <c r="H46" s="6">
        <f t="shared" si="1"/>
        <v>498930.72</v>
      </c>
      <c r="J46" s="4">
        <v>2627</v>
      </c>
      <c r="K46" s="239">
        <v>2627</v>
      </c>
      <c r="M46" s="4">
        <v>40</v>
      </c>
      <c r="N46" s="239">
        <v>40</v>
      </c>
      <c r="P46" s="4"/>
      <c r="Q46" s="239"/>
      <c r="S46" s="4">
        <v>496263.72</v>
      </c>
      <c r="T46" s="239">
        <f>106086.47+390177.25</f>
        <v>496263.72</v>
      </c>
    </row>
    <row r="47" spans="1:20" s="3" customFormat="1" ht="16.5" customHeight="1">
      <c r="A47" s="88" t="s">
        <v>42</v>
      </c>
      <c r="B47" s="88" t="s">
        <v>25</v>
      </c>
      <c r="C47" s="4">
        <v>40000</v>
      </c>
      <c r="D47" s="239">
        <v>25000</v>
      </c>
      <c r="E47" s="95"/>
      <c r="F47" s="95"/>
      <c r="G47" s="6">
        <f t="shared" si="0"/>
        <v>40000</v>
      </c>
      <c r="H47" s="6">
        <f t="shared" si="1"/>
        <v>25000</v>
      </c>
      <c r="J47" s="4">
        <v>10000</v>
      </c>
      <c r="K47" s="239">
        <v>10000</v>
      </c>
      <c r="M47" s="4"/>
      <c r="N47" s="239">
        <v>0</v>
      </c>
      <c r="P47" s="4"/>
      <c r="Q47" s="239"/>
      <c r="S47" s="513">
        <v>30000</v>
      </c>
      <c r="T47" s="514">
        <v>15000</v>
      </c>
    </row>
    <row r="48" spans="1:20" s="3" customFormat="1" ht="16.5" customHeight="1">
      <c r="A48" s="88" t="s">
        <v>43</v>
      </c>
      <c r="B48" s="88" t="s">
        <v>26</v>
      </c>
      <c r="C48" s="4">
        <v>1908</v>
      </c>
      <c r="D48" s="239">
        <v>1908</v>
      </c>
      <c r="E48" s="95"/>
      <c r="F48" s="95"/>
      <c r="G48" s="6">
        <f t="shared" si="0"/>
        <v>1908</v>
      </c>
      <c r="H48" s="6">
        <f t="shared" si="1"/>
        <v>1908</v>
      </c>
      <c r="J48" s="4">
        <v>954</v>
      </c>
      <c r="K48" s="239">
        <v>954</v>
      </c>
      <c r="M48" s="4">
        <v>636</v>
      </c>
      <c r="N48" s="239">
        <v>636</v>
      </c>
      <c r="P48" s="4"/>
      <c r="Q48" s="239"/>
      <c r="S48" s="4">
        <v>318</v>
      </c>
      <c r="T48" s="239">
        <v>318</v>
      </c>
    </row>
    <row r="49" spans="1:20" s="3" customFormat="1" ht="16.5" customHeight="1">
      <c r="A49" s="88" t="s">
        <v>44</v>
      </c>
      <c r="B49" s="88" t="s">
        <v>410</v>
      </c>
      <c r="C49" s="83">
        <f>SUM(C50:C52)</f>
        <v>565766</v>
      </c>
      <c r="D49" s="83">
        <f>SUM(D50:D52)</f>
        <v>533580.44999999995</v>
      </c>
      <c r="E49" s="95"/>
      <c r="F49" s="95"/>
      <c r="G49" s="6">
        <f t="shared" si="0"/>
        <v>565766.42999999993</v>
      </c>
      <c r="H49" s="6">
        <f t="shared" si="1"/>
        <v>533580.78</v>
      </c>
      <c r="J49" s="491">
        <f>SUM(J50:J52)</f>
        <v>207043</v>
      </c>
      <c r="K49" s="491">
        <f>SUM(K50:K52)</f>
        <v>203378</v>
      </c>
      <c r="M49" s="491">
        <f>SUM(M50:M52)</f>
        <v>160134.85999999999</v>
      </c>
      <c r="N49" s="491">
        <f>SUM(N50:N52)</f>
        <v>178446.85</v>
      </c>
      <c r="P49" s="83">
        <f>SUM(P50:P52)</f>
        <v>0</v>
      </c>
      <c r="Q49" s="83">
        <f>SUM(Q50:Q52)</f>
        <v>0</v>
      </c>
      <c r="S49" s="491">
        <f>SUM(S50:S52)</f>
        <v>198588.57</v>
      </c>
      <c r="T49" s="491">
        <f>SUM(T50:T52)</f>
        <v>151755.93</v>
      </c>
    </row>
    <row r="50" spans="1:20" s="3" customFormat="1" ht="16.5" customHeight="1">
      <c r="A50" s="97" t="s">
        <v>371</v>
      </c>
      <c r="B50" s="97" t="s">
        <v>374</v>
      </c>
      <c r="C50" s="4">
        <v>564566</v>
      </c>
      <c r="D50" s="239">
        <v>531599</v>
      </c>
      <c r="E50" s="95"/>
      <c r="F50" s="95"/>
      <c r="G50" s="6">
        <f t="shared" si="0"/>
        <v>564566.42999999993</v>
      </c>
      <c r="H50" s="6">
        <f t="shared" si="1"/>
        <v>531599.33000000007</v>
      </c>
      <c r="J50" s="4">
        <v>207043</v>
      </c>
      <c r="K50" s="239">
        <v>203378</v>
      </c>
      <c r="M50" s="4">
        <v>160134.85999999999</v>
      </c>
      <c r="N50" s="239">
        <v>178040.4</v>
      </c>
      <c r="P50" s="4"/>
      <c r="Q50" s="239"/>
      <c r="S50" s="4">
        <f>197763.57-375</f>
        <v>197388.57</v>
      </c>
      <c r="T50" s="239">
        <f>46898.93+103282</f>
        <v>150180.93</v>
      </c>
    </row>
    <row r="51" spans="1:20" s="3" customFormat="1" ht="16.5" customHeight="1">
      <c r="A51" s="97" t="s">
        <v>372</v>
      </c>
      <c r="B51" s="97" t="s">
        <v>373</v>
      </c>
      <c r="C51" s="4">
        <v>1200</v>
      </c>
      <c r="D51" s="239">
        <v>1981.45</v>
      </c>
      <c r="E51" s="95"/>
      <c r="F51" s="95"/>
      <c r="G51" s="6">
        <f t="shared" si="0"/>
        <v>1200</v>
      </c>
      <c r="H51" s="6">
        <f t="shared" si="1"/>
        <v>1981.45</v>
      </c>
      <c r="J51" s="4"/>
      <c r="K51" s="239"/>
      <c r="M51" s="4"/>
      <c r="N51" s="239">
        <v>406.45</v>
      </c>
      <c r="P51" s="4"/>
      <c r="Q51" s="239"/>
      <c r="S51" s="4">
        <v>1200</v>
      </c>
      <c r="T51" s="239">
        <f>375+1200</f>
        <v>1575</v>
      </c>
    </row>
    <row r="52" spans="1:20" s="3" customFormat="1" ht="16.5" customHeight="1">
      <c r="A52" s="97" t="s">
        <v>375</v>
      </c>
      <c r="B52" s="97" t="s">
        <v>376</v>
      </c>
      <c r="C52" s="4"/>
      <c r="D52" s="239"/>
      <c r="E52" s="95"/>
      <c r="F52" s="95"/>
      <c r="G52" s="6">
        <f t="shared" si="0"/>
        <v>0</v>
      </c>
      <c r="H52" s="6">
        <f t="shared" si="1"/>
        <v>0</v>
      </c>
      <c r="J52" s="4"/>
      <c r="K52" s="239"/>
      <c r="M52" s="4"/>
      <c r="N52" s="239"/>
      <c r="P52" s="4"/>
      <c r="Q52" s="239"/>
      <c r="S52" s="4"/>
      <c r="T52" s="239"/>
    </row>
    <row r="53" spans="1:20" s="3" customFormat="1">
      <c r="A53" s="88" t="s">
        <v>45</v>
      </c>
      <c r="B53" s="88" t="s">
        <v>29</v>
      </c>
      <c r="C53" s="4"/>
      <c r="D53" s="239"/>
      <c r="E53" s="95"/>
      <c r="F53" s="95"/>
      <c r="G53" s="6">
        <f t="shared" si="0"/>
        <v>0</v>
      </c>
      <c r="H53" s="6">
        <f t="shared" si="1"/>
        <v>0</v>
      </c>
      <c r="J53" s="4"/>
      <c r="K53" s="239"/>
      <c r="M53" s="4"/>
      <c r="N53" s="239"/>
      <c r="P53" s="4"/>
      <c r="Q53" s="239"/>
      <c r="S53" s="4"/>
      <c r="T53" s="239"/>
    </row>
    <row r="54" spans="1:20" s="3" customFormat="1" ht="16.5" customHeight="1">
      <c r="A54" s="88" t="s">
        <v>46</v>
      </c>
      <c r="B54" s="88" t="s">
        <v>6</v>
      </c>
      <c r="C54" s="4">
        <v>123381</v>
      </c>
      <c r="D54" s="239">
        <v>178391</v>
      </c>
      <c r="E54" s="240"/>
      <c r="F54" s="240"/>
      <c r="G54" s="6">
        <f t="shared" si="0"/>
        <v>123381.32</v>
      </c>
      <c r="H54" s="6">
        <f t="shared" si="1"/>
        <v>178390.52</v>
      </c>
      <c r="J54" s="4">
        <v>73747</v>
      </c>
      <c r="K54" s="239">
        <v>67904</v>
      </c>
      <c r="M54" s="4">
        <v>100</v>
      </c>
      <c r="N54" s="239">
        <v>62793.65</v>
      </c>
      <c r="P54" s="4"/>
      <c r="Q54" s="239"/>
      <c r="S54" s="4">
        <f>13450+12219.85+56.25+23808.22</f>
        <v>49534.32</v>
      </c>
      <c r="T54" s="239">
        <f>125+180+2500+1100+23808.22+5973.4+250+10760+56.25+2690+250</f>
        <v>47692.87</v>
      </c>
    </row>
    <row r="55" spans="1:20" s="3" customFormat="1" ht="30">
      <c r="A55" s="87">
        <v>1.3</v>
      </c>
      <c r="B55" s="87" t="s">
        <v>415</v>
      </c>
      <c r="C55" s="84">
        <f>SUM(C56:C57)</f>
        <v>4530</v>
      </c>
      <c r="D55" s="84">
        <f>SUM(D56:D57)</f>
        <v>4530</v>
      </c>
      <c r="E55" s="240"/>
      <c r="F55" s="240"/>
      <c r="G55" s="6">
        <f t="shared" si="0"/>
        <v>4530</v>
      </c>
      <c r="H55" s="6">
        <f t="shared" si="1"/>
        <v>4530</v>
      </c>
      <c r="J55" s="79">
        <f>SUM(J56:J57)</f>
        <v>4530</v>
      </c>
      <c r="K55" s="79">
        <f>SUM(K56:K57)</f>
        <v>4530</v>
      </c>
      <c r="M55" s="79">
        <f>SUM(M56:M57)</f>
        <v>0</v>
      </c>
      <c r="N55" s="79">
        <f>SUM(N56:N57)</f>
        <v>0</v>
      </c>
      <c r="P55" s="84">
        <f>SUM(P56:P57)</f>
        <v>0</v>
      </c>
      <c r="Q55" s="84">
        <f>SUM(Q56:Q57)</f>
        <v>0</v>
      </c>
      <c r="S55" s="79">
        <f>SUM(S56:S57)</f>
        <v>0</v>
      </c>
      <c r="T55" s="79">
        <f>SUM(T56:T57)</f>
        <v>0</v>
      </c>
    </row>
    <row r="56" spans="1:20" s="3" customFormat="1" ht="30">
      <c r="A56" s="88" t="s">
        <v>50</v>
      </c>
      <c r="B56" s="88" t="s">
        <v>48</v>
      </c>
      <c r="C56" s="4">
        <v>4530</v>
      </c>
      <c r="D56" s="239">
        <v>4530</v>
      </c>
      <c r="E56" s="240"/>
      <c r="F56" s="240"/>
      <c r="G56" s="6">
        <f t="shared" si="0"/>
        <v>4530</v>
      </c>
      <c r="H56" s="6">
        <f t="shared" si="1"/>
        <v>4530</v>
      </c>
      <c r="J56" s="4">
        <v>4530</v>
      </c>
      <c r="K56" s="239">
        <v>4530</v>
      </c>
      <c r="M56" s="4"/>
      <c r="N56" s="239"/>
      <c r="P56" s="4"/>
      <c r="Q56" s="239"/>
      <c r="S56" s="4"/>
      <c r="T56" s="239"/>
    </row>
    <row r="57" spans="1:20" s="3" customFormat="1" ht="16.5" customHeight="1">
      <c r="A57" s="88" t="s">
        <v>51</v>
      </c>
      <c r="B57" s="88" t="s">
        <v>47</v>
      </c>
      <c r="C57" s="4"/>
      <c r="D57" s="239"/>
      <c r="E57" s="240"/>
      <c r="F57" s="240"/>
      <c r="G57" s="6">
        <f t="shared" si="0"/>
        <v>0</v>
      </c>
      <c r="H57" s="6">
        <f t="shared" si="1"/>
        <v>0</v>
      </c>
      <c r="J57" s="4"/>
      <c r="K57" s="239"/>
      <c r="M57" s="4"/>
      <c r="N57" s="239"/>
      <c r="P57" s="4"/>
      <c r="Q57" s="239"/>
      <c r="S57" s="4"/>
      <c r="T57" s="239"/>
    </row>
    <row r="58" spans="1:20" s="3" customFormat="1">
      <c r="A58" s="87">
        <v>1.4</v>
      </c>
      <c r="B58" s="87" t="s">
        <v>417</v>
      </c>
      <c r="C58" s="4"/>
      <c r="D58" s="239"/>
      <c r="E58" s="240"/>
      <c r="F58" s="240"/>
      <c r="G58" s="6">
        <f t="shared" si="0"/>
        <v>0</v>
      </c>
      <c r="H58" s="6">
        <f t="shared" si="1"/>
        <v>0</v>
      </c>
      <c r="J58" s="4"/>
      <c r="K58" s="239"/>
      <c r="M58" s="4"/>
      <c r="N58" s="239"/>
      <c r="P58" s="4"/>
      <c r="Q58" s="239"/>
      <c r="S58" s="4"/>
      <c r="T58" s="239"/>
    </row>
    <row r="59" spans="1:20" s="243" customFormat="1">
      <c r="A59" s="87">
        <v>1.5</v>
      </c>
      <c r="B59" s="87" t="s">
        <v>7</v>
      </c>
      <c r="C59" s="241"/>
      <c r="D59" s="40"/>
      <c r="E59" s="242"/>
      <c r="F59" s="242"/>
      <c r="G59" s="6">
        <f t="shared" si="0"/>
        <v>0</v>
      </c>
      <c r="H59" s="6">
        <f t="shared" si="1"/>
        <v>0</v>
      </c>
      <c r="J59" s="494"/>
      <c r="K59" s="496"/>
      <c r="M59" s="494"/>
      <c r="N59" s="496"/>
      <c r="P59" s="241"/>
      <c r="Q59" s="40"/>
      <c r="S59" s="494"/>
      <c r="T59" s="496"/>
    </row>
    <row r="60" spans="1:20" s="243" customFormat="1">
      <c r="A60" s="87">
        <v>1.6</v>
      </c>
      <c r="B60" s="45" t="s">
        <v>8</v>
      </c>
      <c r="C60" s="85">
        <f>SUM(C61:C65)</f>
        <v>1483.29</v>
      </c>
      <c r="D60" s="86">
        <f>SUM(D61:D65)</f>
        <v>1047.25</v>
      </c>
      <c r="E60" s="242"/>
      <c r="F60" s="242"/>
      <c r="G60" s="6">
        <f t="shared" si="0"/>
        <v>1483.29</v>
      </c>
      <c r="H60" s="6">
        <f t="shared" si="1"/>
        <v>1047.25</v>
      </c>
      <c r="J60" s="498">
        <f>SUM(J61:J65)</f>
        <v>372</v>
      </c>
      <c r="K60" s="499">
        <f>SUM(K61:K65)</f>
        <v>300</v>
      </c>
      <c r="M60" s="504">
        <f>SUM(M61:M65)</f>
        <v>214.39</v>
      </c>
      <c r="N60" s="505">
        <f>SUM(N61:N65)</f>
        <v>214.39</v>
      </c>
      <c r="P60" s="85">
        <f>SUM(P61:P65)</f>
        <v>0</v>
      </c>
      <c r="Q60" s="86">
        <f>SUM(Q61:Q65)</f>
        <v>0</v>
      </c>
      <c r="S60" s="504">
        <f>SUM(S61:S65)</f>
        <v>896.90000000000009</v>
      </c>
      <c r="T60" s="505">
        <f>SUM(T61:T65)</f>
        <v>532.86</v>
      </c>
    </row>
    <row r="61" spans="1:20" s="243" customFormat="1">
      <c r="A61" s="88" t="s">
        <v>297</v>
      </c>
      <c r="B61" s="46" t="s">
        <v>52</v>
      </c>
      <c r="C61" s="241"/>
      <c r="D61" s="40"/>
      <c r="E61" s="242"/>
      <c r="F61" s="242"/>
      <c r="G61" s="6">
        <f t="shared" si="0"/>
        <v>0</v>
      </c>
      <c r="H61" s="6">
        <f t="shared" si="1"/>
        <v>0</v>
      </c>
      <c r="J61" s="494"/>
      <c r="K61" s="496"/>
      <c r="M61" s="494"/>
      <c r="N61" s="496"/>
      <c r="P61" s="241"/>
      <c r="Q61" s="40"/>
      <c r="S61" s="494"/>
      <c r="T61" s="496"/>
    </row>
    <row r="62" spans="1:20" s="243" customFormat="1" ht="30">
      <c r="A62" s="88" t="s">
        <v>298</v>
      </c>
      <c r="B62" s="46" t="s">
        <v>54</v>
      </c>
      <c r="C62" s="241"/>
      <c r="D62" s="40"/>
      <c r="E62" s="242"/>
      <c r="F62" s="242"/>
      <c r="G62" s="6">
        <f t="shared" si="0"/>
        <v>0</v>
      </c>
      <c r="H62" s="6">
        <f t="shared" si="1"/>
        <v>0</v>
      </c>
      <c r="J62" s="494"/>
      <c r="K62" s="496"/>
      <c r="M62" s="494"/>
      <c r="N62" s="496"/>
      <c r="P62" s="241"/>
      <c r="Q62" s="40"/>
      <c r="S62" s="494"/>
      <c r="T62" s="496"/>
    </row>
    <row r="63" spans="1:20" s="243" customFormat="1">
      <c r="A63" s="88" t="s">
        <v>299</v>
      </c>
      <c r="B63" s="46" t="s">
        <v>53</v>
      </c>
      <c r="C63" s="40"/>
      <c r="D63" s="40"/>
      <c r="E63" s="242"/>
      <c r="F63" s="242"/>
      <c r="G63" s="6">
        <f t="shared" si="0"/>
        <v>0</v>
      </c>
      <c r="H63" s="6">
        <f t="shared" si="1"/>
        <v>0</v>
      </c>
      <c r="J63" s="496">
        <v>0</v>
      </c>
      <c r="K63" s="496">
        <v>0</v>
      </c>
      <c r="M63" s="496"/>
      <c r="N63" s="496"/>
      <c r="P63" s="40"/>
      <c r="Q63" s="40"/>
      <c r="S63" s="496"/>
      <c r="T63" s="496"/>
    </row>
    <row r="64" spans="1:20" s="243" customFormat="1">
      <c r="A64" s="88" t="s">
        <v>300</v>
      </c>
      <c r="B64" s="46" t="s">
        <v>27</v>
      </c>
      <c r="C64" s="494">
        <v>425</v>
      </c>
      <c r="D64" s="496">
        <v>425</v>
      </c>
      <c r="E64" s="242"/>
      <c r="F64" s="242"/>
      <c r="G64" s="6">
        <f t="shared" si="0"/>
        <v>425</v>
      </c>
      <c r="H64" s="6">
        <f t="shared" si="1"/>
        <v>425</v>
      </c>
      <c r="J64" s="494">
        <v>300</v>
      </c>
      <c r="K64" s="496">
        <v>300</v>
      </c>
      <c r="M64" s="494">
        <v>125</v>
      </c>
      <c r="N64" s="497">
        <v>125</v>
      </c>
      <c r="P64" s="241"/>
      <c r="Q64" s="40"/>
      <c r="S64" s="494"/>
      <c r="T64" s="497"/>
    </row>
    <row r="65" spans="1:20" s="243" customFormat="1">
      <c r="A65" s="88" t="s">
        <v>337</v>
      </c>
      <c r="B65" s="46" t="s">
        <v>338</v>
      </c>
      <c r="C65" s="494">
        <v>1058.29</v>
      </c>
      <c r="D65" s="496">
        <v>622.25</v>
      </c>
      <c r="E65" s="242"/>
      <c r="F65" s="242"/>
      <c r="G65" s="6">
        <f t="shared" si="0"/>
        <v>1058.29</v>
      </c>
      <c r="H65" s="6">
        <f t="shared" si="1"/>
        <v>622.25</v>
      </c>
      <c r="J65" s="494">
        <v>72</v>
      </c>
      <c r="K65" s="497">
        <v>0</v>
      </c>
      <c r="M65" s="492">
        <v>89.39</v>
      </c>
      <c r="N65" s="497">
        <v>89.39</v>
      </c>
      <c r="P65" s="241"/>
      <c r="Q65" s="40"/>
      <c r="S65" s="492">
        <f>364.04+532.86</f>
        <v>896.90000000000009</v>
      </c>
      <c r="T65" s="497">
        <v>532.86</v>
      </c>
    </row>
    <row r="66" spans="1:20">
      <c r="A66" s="237">
        <v>2</v>
      </c>
      <c r="B66" s="237" t="s">
        <v>411</v>
      </c>
      <c r="C66" s="245"/>
      <c r="D66" s="85">
        <f>SUM(D67:D73)</f>
        <v>159357</v>
      </c>
      <c r="E66" s="96"/>
      <c r="F66" s="96"/>
      <c r="G66" s="6">
        <f t="shared" ref="G66:G78" si="2">J:J+M:M+P:P+S:S</f>
        <v>0</v>
      </c>
      <c r="H66" s="6">
        <f t="shared" ref="H66:H78" si="3">K:K+N:N+Q:Q+T:T</f>
        <v>159357.4</v>
      </c>
      <c r="J66" s="245"/>
      <c r="K66" s="498">
        <f>SUM(K67:K73)</f>
        <v>2218</v>
      </c>
      <c r="M66" s="506"/>
      <c r="N66" s="507">
        <f>SUM(N67:N73)</f>
        <v>157139.4</v>
      </c>
      <c r="P66" s="245"/>
      <c r="Q66" s="85">
        <f>SUM(Q67:Q73)</f>
        <v>0</v>
      </c>
      <c r="S66" s="506"/>
      <c r="T66" s="507">
        <f>SUM(T67:T73)</f>
        <v>0</v>
      </c>
    </row>
    <row r="67" spans="1:20">
      <c r="A67" s="98">
        <v>2.1</v>
      </c>
      <c r="B67" s="246" t="s">
        <v>100</v>
      </c>
      <c r="C67" s="247"/>
      <c r="D67" s="22"/>
      <c r="E67" s="96"/>
      <c r="F67" s="96"/>
      <c r="G67" s="6">
        <f t="shared" si="2"/>
        <v>0</v>
      </c>
      <c r="H67" s="6">
        <f t="shared" si="3"/>
        <v>0</v>
      </c>
      <c r="J67" s="247"/>
      <c r="K67" s="500"/>
      <c r="M67" s="508"/>
      <c r="N67" s="509"/>
      <c r="P67" s="247"/>
      <c r="Q67" s="22"/>
      <c r="S67" s="508"/>
      <c r="T67" s="509"/>
    </row>
    <row r="68" spans="1:20">
      <c r="A68" s="98">
        <v>2.2000000000000002</v>
      </c>
      <c r="B68" s="246" t="s">
        <v>412</v>
      </c>
      <c r="C68" s="247"/>
      <c r="D68" s="22"/>
      <c r="E68" s="96"/>
      <c r="F68" s="96"/>
      <c r="G68" s="6">
        <f t="shared" si="2"/>
        <v>0</v>
      </c>
      <c r="H68" s="6">
        <f t="shared" si="3"/>
        <v>0</v>
      </c>
      <c r="J68" s="247"/>
      <c r="K68" s="500"/>
      <c r="M68" s="508"/>
      <c r="N68" s="509"/>
      <c r="P68" s="247"/>
      <c r="Q68" s="22"/>
      <c r="S68" s="508"/>
      <c r="T68" s="509"/>
    </row>
    <row r="69" spans="1:20">
      <c r="A69" s="98">
        <v>2.2999999999999998</v>
      </c>
      <c r="B69" s="246" t="s">
        <v>104</v>
      </c>
      <c r="C69" s="247"/>
      <c r="D69" s="22"/>
      <c r="E69" s="96"/>
      <c r="F69" s="96"/>
      <c r="G69" s="6">
        <f t="shared" si="2"/>
        <v>0</v>
      </c>
      <c r="H69" s="6">
        <f t="shared" si="3"/>
        <v>0</v>
      </c>
      <c r="J69" s="247"/>
      <c r="K69" s="500"/>
      <c r="M69" s="508"/>
      <c r="N69" s="509"/>
      <c r="P69" s="247"/>
      <c r="Q69" s="22"/>
      <c r="S69" s="508"/>
      <c r="T69" s="509"/>
    </row>
    <row r="70" spans="1:20">
      <c r="A70" s="98">
        <v>2.4</v>
      </c>
      <c r="B70" s="246" t="s">
        <v>103</v>
      </c>
      <c r="C70" s="247"/>
      <c r="D70" s="22">
        <v>142977</v>
      </c>
      <c r="E70" s="96"/>
      <c r="F70" s="96"/>
      <c r="G70" s="6">
        <f t="shared" si="2"/>
        <v>0</v>
      </c>
      <c r="H70" s="6">
        <f t="shared" si="3"/>
        <v>142977.4</v>
      </c>
      <c r="J70" s="247"/>
      <c r="K70" s="500"/>
      <c r="M70" s="508"/>
      <c r="N70" s="509">
        <v>142977.4</v>
      </c>
      <c r="P70" s="247"/>
      <c r="Q70" s="22"/>
      <c r="S70" s="508"/>
      <c r="T70" s="509"/>
    </row>
    <row r="71" spans="1:20">
      <c r="A71" s="98">
        <v>2.5</v>
      </c>
      <c r="B71" s="246" t="s">
        <v>413</v>
      </c>
      <c r="C71" s="247"/>
      <c r="D71" s="22">
        <v>14162</v>
      </c>
      <c r="E71" s="96"/>
      <c r="F71" s="96"/>
      <c r="G71" s="6">
        <f t="shared" si="2"/>
        <v>0</v>
      </c>
      <c r="H71" s="6">
        <f t="shared" si="3"/>
        <v>14162</v>
      </c>
      <c r="J71" s="247"/>
      <c r="K71" s="500">
        <v>0</v>
      </c>
      <c r="M71" s="508"/>
      <c r="N71" s="509">
        <v>14162</v>
      </c>
      <c r="P71" s="247"/>
      <c r="Q71" s="22"/>
      <c r="S71" s="508"/>
      <c r="T71" s="509"/>
    </row>
    <row r="72" spans="1:20">
      <c r="A72" s="98">
        <v>2.6</v>
      </c>
      <c r="B72" s="246" t="s">
        <v>101</v>
      </c>
      <c r="C72" s="247"/>
      <c r="D72" s="22">
        <v>2218</v>
      </c>
      <c r="E72" s="96"/>
      <c r="F72" s="96"/>
      <c r="G72" s="6">
        <f t="shared" si="2"/>
        <v>0</v>
      </c>
      <c r="H72" s="6">
        <f t="shared" si="3"/>
        <v>2218</v>
      </c>
      <c r="J72" s="247"/>
      <c r="K72" s="500">
        <v>2218</v>
      </c>
      <c r="M72" s="508"/>
      <c r="N72" s="509"/>
      <c r="P72" s="247"/>
      <c r="Q72" s="22"/>
      <c r="S72" s="508"/>
      <c r="T72" s="509"/>
    </row>
    <row r="73" spans="1:20">
      <c r="A73" s="98">
        <v>2.7</v>
      </c>
      <c r="B73" s="246" t="s">
        <v>102</v>
      </c>
      <c r="C73" s="248"/>
      <c r="D73" s="22"/>
      <c r="E73" s="96"/>
      <c r="F73" s="96"/>
      <c r="G73" s="6">
        <f t="shared" si="2"/>
        <v>0</v>
      </c>
      <c r="H73" s="6">
        <f t="shared" si="3"/>
        <v>0</v>
      </c>
      <c r="J73" s="248"/>
      <c r="K73" s="500"/>
      <c r="M73" s="510"/>
      <c r="N73" s="509"/>
      <c r="P73" s="248"/>
      <c r="Q73" s="22"/>
      <c r="S73" s="510"/>
      <c r="T73" s="509"/>
    </row>
    <row r="74" spans="1:20">
      <c r="A74" s="237">
        <v>3</v>
      </c>
      <c r="B74" s="237" t="s">
        <v>451</v>
      </c>
      <c r="C74" s="85"/>
      <c r="D74" s="22"/>
      <c r="E74" s="96"/>
      <c r="F74" s="96"/>
      <c r="G74" s="6">
        <f t="shared" si="2"/>
        <v>0</v>
      </c>
      <c r="H74" s="6">
        <f t="shared" si="3"/>
        <v>0</v>
      </c>
      <c r="J74" s="498"/>
      <c r="K74" s="500"/>
      <c r="M74" s="507"/>
      <c r="N74" s="509"/>
      <c r="P74" s="85"/>
      <c r="Q74" s="22"/>
      <c r="S74" s="507"/>
      <c r="T74" s="509"/>
    </row>
    <row r="75" spans="1:20">
      <c r="A75" s="237">
        <v>4</v>
      </c>
      <c r="B75" s="237" t="s">
        <v>252</v>
      </c>
      <c r="C75" s="85"/>
      <c r="D75" s="85">
        <f>SUM(D76:D77)</f>
        <v>1000000</v>
      </c>
      <c r="E75" s="96"/>
      <c r="F75" s="96"/>
      <c r="G75" s="6">
        <f t="shared" si="2"/>
        <v>0</v>
      </c>
      <c r="H75" s="6">
        <f t="shared" si="3"/>
        <v>1000000</v>
      </c>
      <c r="J75" s="498"/>
      <c r="K75" s="498">
        <f>SUM(K76:K77)</f>
        <v>0</v>
      </c>
      <c r="M75" s="507"/>
      <c r="N75" s="507">
        <f>SUM(N76:N77)</f>
        <v>0</v>
      </c>
      <c r="P75" s="85"/>
      <c r="Q75" s="85">
        <f>SUM(Q76:Q77)</f>
        <v>0</v>
      </c>
      <c r="S75" s="507"/>
      <c r="T75" s="507">
        <f>SUM(T76:T77)</f>
        <v>1000000</v>
      </c>
    </row>
    <row r="76" spans="1:20">
      <c r="A76" s="98">
        <v>4.0999999999999996</v>
      </c>
      <c r="B76" s="98" t="s">
        <v>253</v>
      </c>
      <c r="C76" s="247"/>
      <c r="D76" s="8">
        <v>1000000</v>
      </c>
      <c r="E76" s="96"/>
      <c r="F76" s="96"/>
      <c r="G76" s="6">
        <f t="shared" si="2"/>
        <v>0</v>
      </c>
      <c r="H76" s="6">
        <f t="shared" si="3"/>
        <v>1000000</v>
      </c>
      <c r="J76" s="247"/>
      <c r="K76" s="501"/>
      <c r="M76" s="508"/>
      <c r="N76" s="511"/>
      <c r="P76" s="247"/>
      <c r="Q76" s="8"/>
      <c r="S76" s="508"/>
      <c r="T76" s="511">
        <v>1000000</v>
      </c>
    </row>
    <row r="77" spans="1:20">
      <c r="A77" s="98">
        <v>4.2</v>
      </c>
      <c r="B77" s="98" t="s">
        <v>254</v>
      </c>
      <c r="C77" s="248"/>
      <c r="D77" s="8"/>
      <c r="E77" s="96"/>
      <c r="F77" s="96"/>
      <c r="G77" s="6">
        <f t="shared" si="2"/>
        <v>0</v>
      </c>
      <c r="H77" s="6">
        <f t="shared" si="3"/>
        <v>0</v>
      </c>
      <c r="J77" s="248"/>
      <c r="K77" s="501"/>
      <c r="M77" s="510"/>
      <c r="N77" s="511"/>
      <c r="P77" s="248"/>
      <c r="Q77" s="8"/>
      <c r="S77" s="510"/>
      <c r="T77" s="511"/>
    </row>
    <row r="78" spans="1:20">
      <c r="A78" s="237">
        <v>5</v>
      </c>
      <c r="B78" s="237" t="s">
        <v>279</v>
      </c>
      <c r="C78" s="274">
        <v>73002</v>
      </c>
      <c r="D78" s="248"/>
      <c r="E78" s="96"/>
      <c r="F78" s="96"/>
      <c r="G78" s="6">
        <f t="shared" si="2"/>
        <v>73002.009999999995</v>
      </c>
      <c r="H78" s="6">
        <f t="shared" si="3"/>
        <v>0</v>
      </c>
      <c r="J78" s="274"/>
      <c r="K78" s="248"/>
      <c r="M78" s="512">
        <v>0</v>
      </c>
      <c r="N78" s="510"/>
      <c r="P78" s="274"/>
      <c r="Q78" s="248"/>
      <c r="S78" s="512">
        <v>73002.009999999995</v>
      </c>
      <c r="T78" s="510"/>
    </row>
    <row r="79" spans="1:20">
      <c r="B79" s="44"/>
    </row>
    <row r="80" spans="1:20">
      <c r="A80" s="764" t="s">
        <v>500</v>
      </c>
      <c r="B80" s="764"/>
      <c r="C80" s="764"/>
      <c r="D80" s="764"/>
      <c r="E80" s="5"/>
      <c r="F80" s="389"/>
    </row>
    <row r="81" spans="1:9">
      <c r="B81" s="44"/>
    </row>
    <row r="82" spans="1:9" s="23" customFormat="1" ht="12.75"/>
    <row r="83" spans="1:9">
      <c r="A83" s="69" t="s">
        <v>107</v>
      </c>
      <c r="E83" s="5"/>
      <c r="F83" s="389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9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23" bottom="0.19685039370078741" header="0.3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view="pageBreakPreview" zoomScale="80" zoomScaleNormal="100" zoomScaleSheetLayoutView="80" workbookViewId="0">
      <selection activeCell="H19" sqref="H19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327</v>
      </c>
      <c r="B1" s="77"/>
      <c r="C1" s="763" t="s">
        <v>109</v>
      </c>
      <c r="D1" s="763"/>
      <c r="E1" s="91"/>
    </row>
    <row r="2" spans="1:5" s="6" customFormat="1">
      <c r="A2" s="74" t="s">
        <v>328</v>
      </c>
      <c r="B2" s="77"/>
      <c r="C2" s="753" t="s">
        <v>515</v>
      </c>
      <c r="D2" s="754"/>
      <c r="E2" s="91"/>
    </row>
    <row r="3" spans="1:5" s="6" customFormat="1">
      <c r="A3" s="76" t="s">
        <v>140</v>
      </c>
      <c r="B3" s="74"/>
      <c r="C3" s="162"/>
      <c r="D3" s="162"/>
      <c r="E3" s="91"/>
    </row>
    <row r="4" spans="1:5" s="6" customFormat="1">
      <c r="A4" s="76"/>
      <c r="B4" s="76"/>
      <c r="C4" s="162"/>
      <c r="D4" s="162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 t="str">
        <f>'ფორმა N1'!D4</f>
        <v>მ.პ.გ. ქართული ოცნება - დემოკრატიული საქართველო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1"/>
      <c r="B8" s="161"/>
      <c r="C8" s="78"/>
      <c r="D8" s="78"/>
      <c r="E8" s="91"/>
    </row>
    <row r="9" spans="1:5" s="6" customFormat="1" ht="30">
      <c r="A9" s="89" t="s">
        <v>64</v>
      </c>
      <c r="B9" s="89" t="s">
        <v>333</v>
      </c>
      <c r="C9" s="79" t="s">
        <v>10</v>
      </c>
      <c r="D9" s="79" t="s">
        <v>9</v>
      </c>
      <c r="E9" s="91"/>
    </row>
    <row r="10" spans="1:5" s="9" customFormat="1" ht="18">
      <c r="A10" s="98" t="s">
        <v>329</v>
      </c>
      <c r="B10" s="98"/>
      <c r="C10" s="4"/>
      <c r="D10" s="4"/>
      <c r="E10" s="93"/>
    </row>
    <row r="11" spans="1:5" s="10" customFormat="1">
      <c r="A11" s="98" t="s">
        <v>330</v>
      </c>
      <c r="B11" s="98"/>
      <c r="C11" s="4"/>
      <c r="D11" s="4"/>
      <c r="E11" s="94"/>
    </row>
    <row r="12" spans="1:5" s="10" customFormat="1" ht="30">
      <c r="A12" s="98" t="s">
        <v>331</v>
      </c>
      <c r="B12" s="87" t="s">
        <v>9908</v>
      </c>
      <c r="C12" s="4"/>
      <c r="D12" s="502">
        <v>250</v>
      </c>
      <c r="E12" s="94"/>
    </row>
    <row r="13" spans="1:5" s="10" customFormat="1" ht="30">
      <c r="A13" s="98" t="s">
        <v>332</v>
      </c>
      <c r="B13" s="87" t="s">
        <v>3716</v>
      </c>
      <c r="C13" s="4"/>
      <c r="D13" s="4">
        <f>1850+1100</f>
        <v>2950</v>
      </c>
      <c r="E13" s="94"/>
    </row>
    <row r="14" spans="1:5" s="10" customFormat="1" ht="30">
      <c r="A14" s="98" t="s">
        <v>3824</v>
      </c>
      <c r="B14" s="87" t="s">
        <v>3725</v>
      </c>
      <c r="C14" s="502">
        <v>13450</v>
      </c>
      <c r="D14" s="502">
        <f>10760+2690</f>
        <v>13450</v>
      </c>
      <c r="E14" s="94"/>
    </row>
    <row r="15" spans="1:5" s="10" customFormat="1" ht="30">
      <c r="A15" s="98" t="s">
        <v>3821</v>
      </c>
      <c r="B15" s="87" t="s">
        <v>3726</v>
      </c>
      <c r="C15" s="4">
        <v>56.25</v>
      </c>
      <c r="D15" s="4">
        <v>56.25</v>
      </c>
      <c r="E15" s="94"/>
    </row>
    <row r="16" spans="1:5" s="10" customFormat="1" ht="30">
      <c r="A16" s="98" t="s">
        <v>9907</v>
      </c>
      <c r="B16" s="87" t="s">
        <v>3727</v>
      </c>
      <c r="C16" s="4">
        <v>12219.85</v>
      </c>
      <c r="D16" s="4">
        <v>5973.4</v>
      </c>
      <c r="E16" s="94"/>
    </row>
    <row r="17" spans="1:5" s="10" customFormat="1" ht="30">
      <c r="A17" s="98" t="s">
        <v>3813</v>
      </c>
      <c r="B17" s="87" t="s">
        <v>3728</v>
      </c>
      <c r="C17" s="4">
        <v>23808.22</v>
      </c>
      <c r="D17" s="4">
        <v>23808.22</v>
      </c>
      <c r="E17" s="94"/>
    </row>
    <row r="18" spans="1:5" s="10" customFormat="1" ht="30">
      <c r="A18" s="98" t="s">
        <v>3811</v>
      </c>
      <c r="B18" s="87" t="s">
        <v>9909</v>
      </c>
      <c r="C18" s="4"/>
      <c r="D18" s="502">
        <f>125+250</f>
        <v>375</v>
      </c>
      <c r="E18" s="94"/>
    </row>
    <row r="19" spans="1:5" s="10" customFormat="1" ht="30">
      <c r="A19" s="98" t="s">
        <v>3808</v>
      </c>
      <c r="B19" s="87" t="s">
        <v>9910</v>
      </c>
      <c r="C19" s="4"/>
      <c r="D19" s="502">
        <v>180</v>
      </c>
      <c r="E19" s="94"/>
    </row>
    <row r="20" spans="1:5" s="10" customFormat="1" ht="30">
      <c r="A20" s="98" t="s">
        <v>3806</v>
      </c>
      <c r="B20" s="87" t="s">
        <v>9911</v>
      </c>
      <c r="C20" s="4"/>
      <c r="D20" s="502">
        <v>2500</v>
      </c>
      <c r="E20" s="94"/>
    </row>
    <row r="21" spans="1:5" s="10" customFormat="1" ht="30">
      <c r="A21" s="98" t="s">
        <v>3804</v>
      </c>
      <c r="B21" s="87" t="s">
        <v>3721</v>
      </c>
      <c r="C21" s="4"/>
      <c r="D21" s="4">
        <v>55000</v>
      </c>
      <c r="E21" s="94"/>
    </row>
    <row r="22" spans="1:5" s="10" customFormat="1" ht="17.25" customHeight="1">
      <c r="A22" s="98" t="s">
        <v>3802</v>
      </c>
      <c r="B22" s="87" t="s">
        <v>3715</v>
      </c>
      <c r="C22" s="4">
        <f>87+1284</f>
        <v>1371</v>
      </c>
      <c r="D22" s="4">
        <v>1371</v>
      </c>
      <c r="E22" s="94"/>
    </row>
    <row r="23" spans="1:5" s="10" customFormat="1" ht="18" customHeight="1">
      <c r="A23" s="98" t="s">
        <v>3800</v>
      </c>
      <c r="B23" s="87" t="s">
        <v>3722</v>
      </c>
      <c r="C23" s="4">
        <v>100</v>
      </c>
      <c r="D23" s="4">
        <v>100</v>
      </c>
      <c r="E23" s="94"/>
    </row>
    <row r="24" spans="1:5" s="10" customFormat="1" ht="30">
      <c r="A24" s="98" t="s">
        <v>3798</v>
      </c>
      <c r="B24" s="87" t="s">
        <v>3717</v>
      </c>
      <c r="C24" s="4">
        <v>150</v>
      </c>
      <c r="D24" s="4">
        <v>150</v>
      </c>
      <c r="E24" s="94"/>
    </row>
    <row r="25" spans="1:5" s="10" customFormat="1" ht="30">
      <c r="A25" s="98" t="s">
        <v>3796</v>
      </c>
      <c r="B25" s="87" t="s">
        <v>3718</v>
      </c>
      <c r="C25" s="4">
        <v>4352.42</v>
      </c>
      <c r="D25" s="4">
        <v>4352.42</v>
      </c>
      <c r="E25" s="94"/>
    </row>
    <row r="26" spans="1:5" s="10" customFormat="1" ht="30">
      <c r="A26" s="98" t="s">
        <v>3794</v>
      </c>
      <c r="B26" s="87" t="s">
        <v>3719</v>
      </c>
      <c r="C26" s="4">
        <v>180</v>
      </c>
      <c r="D26" s="4">
        <v>180</v>
      </c>
      <c r="E26" s="94"/>
    </row>
    <row r="27" spans="1:5" s="10" customFormat="1" ht="30">
      <c r="A27" s="98" t="s">
        <v>3792</v>
      </c>
      <c r="B27" s="87" t="s">
        <v>3720</v>
      </c>
      <c r="C27" s="4">
        <v>67693.649999999994</v>
      </c>
      <c r="D27" s="4">
        <f>10000+50000+7694</f>
        <v>67694</v>
      </c>
      <c r="E27" s="94"/>
    </row>
    <row r="28" spans="1:5" s="10" customFormat="1">
      <c r="A28" s="87"/>
      <c r="B28" s="87"/>
      <c r="C28" s="4"/>
      <c r="D28" s="4"/>
      <c r="E28" s="94"/>
    </row>
    <row r="29" spans="1:5">
      <c r="A29" s="99"/>
      <c r="B29" s="99" t="s">
        <v>336</v>
      </c>
      <c r="C29" s="86">
        <f>SUM(C10:C27)</f>
        <v>123381.38999999998</v>
      </c>
      <c r="D29" s="86">
        <f>SUM(D10:D27)</f>
        <v>178390.28999999998</v>
      </c>
      <c r="E29" s="96"/>
    </row>
    <row r="30" spans="1:5">
      <c r="A30" s="44"/>
      <c r="B30" s="44"/>
    </row>
    <row r="31" spans="1:5">
      <c r="A31" s="257" t="s">
        <v>441</v>
      </c>
      <c r="E31" s="5"/>
    </row>
    <row r="32" spans="1:5">
      <c r="A32" s="2" t="s">
        <v>442</v>
      </c>
    </row>
    <row r="33" spans="1:7">
      <c r="A33" s="215" t="s">
        <v>443</v>
      </c>
    </row>
    <row r="34" spans="1:7">
      <c r="A34" s="215"/>
    </row>
    <row r="35" spans="1:7">
      <c r="A35" s="215" t="s">
        <v>351</v>
      </c>
    </row>
    <row r="36" spans="1:7" s="23" customFormat="1" ht="12.75"/>
    <row r="37" spans="1:7">
      <c r="A37" s="69" t="s">
        <v>107</v>
      </c>
      <c r="E37" s="5"/>
    </row>
    <row r="38" spans="1:7">
      <c r="E38"/>
      <c r="F38"/>
      <c r="G38"/>
    </row>
    <row r="39" spans="1:7">
      <c r="D39" s="12"/>
      <c r="E39"/>
      <c r="F39"/>
      <c r="G39"/>
    </row>
    <row r="40" spans="1:7">
      <c r="A40" s="69"/>
      <c r="B40" s="69" t="s">
        <v>271</v>
      </c>
      <c r="D40" s="12"/>
      <c r="E40"/>
      <c r="F40"/>
      <c r="G40"/>
    </row>
    <row r="41" spans="1:7">
      <c r="B41" s="2" t="s">
        <v>270</v>
      </c>
      <c r="D41" s="12"/>
      <c r="E41"/>
      <c r="F41"/>
      <c r="G41"/>
    </row>
    <row r="42" spans="1:7" customFormat="1" ht="12.75">
      <c r="A42" s="66"/>
      <c r="B42" s="66" t="s">
        <v>139</v>
      </c>
    </row>
    <row r="43" spans="1:7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view="pageBreakPreview" topLeftCell="A4" zoomScale="80" zoomScaleNormal="100" zoomScaleSheetLayoutView="80" workbookViewId="0">
      <selection activeCell="D16" sqref="D16"/>
    </sheetView>
  </sheetViews>
  <sheetFormatPr defaultRowHeight="12.75"/>
  <cols>
    <col min="1" max="1" width="5.42578125" style="185" customWidth="1"/>
    <col min="2" max="2" width="20.85546875" style="185" customWidth="1"/>
    <col min="3" max="3" width="26" style="185" customWidth="1"/>
    <col min="4" max="4" width="17" style="185" customWidth="1"/>
    <col min="5" max="5" width="18.1406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>
      <c r="A1" s="74" t="s">
        <v>414</v>
      </c>
      <c r="B1" s="74"/>
      <c r="C1" s="77"/>
      <c r="D1" s="77"/>
      <c r="E1" s="77"/>
      <c r="F1" s="77"/>
      <c r="G1" s="225"/>
      <c r="H1" s="225"/>
      <c r="I1" s="763" t="s">
        <v>109</v>
      </c>
      <c r="J1" s="763"/>
    </row>
    <row r="2" spans="1:10" ht="15">
      <c r="A2" s="76" t="s">
        <v>140</v>
      </c>
      <c r="B2" s="74"/>
      <c r="C2" s="77"/>
      <c r="D2" s="77"/>
      <c r="E2" s="77"/>
      <c r="F2" s="77"/>
      <c r="G2" s="225"/>
      <c r="H2" s="225"/>
      <c r="I2" s="753" t="s">
        <v>515</v>
      </c>
      <c r="J2" s="754"/>
    </row>
    <row r="3" spans="1:10" ht="15">
      <c r="A3" s="76"/>
      <c r="B3" s="76"/>
      <c r="C3" s="74"/>
      <c r="D3" s="74"/>
      <c r="E3" s="74"/>
      <c r="F3" s="74"/>
      <c r="G3" s="164"/>
      <c r="H3" s="164"/>
      <c r="I3" s="225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tr">
        <f>'ფორმა N1'!D4</f>
        <v>მ.პ.გ. ქართული ოცნება - დემოკრატიული საქართველო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163"/>
      <c r="B7" s="163"/>
      <c r="C7" s="163"/>
      <c r="D7" s="220"/>
      <c r="E7" s="163"/>
      <c r="F7" s="163"/>
      <c r="G7" s="78"/>
      <c r="H7" s="78"/>
      <c r="I7" s="78"/>
    </row>
    <row r="8" spans="1:10" ht="45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28" t="s">
        <v>348</v>
      </c>
    </row>
    <row r="9" spans="1:10" ht="15">
      <c r="A9" s="98">
        <v>1</v>
      </c>
      <c r="B9" s="516" t="s">
        <v>3730</v>
      </c>
      <c r="C9" s="516" t="s">
        <v>3731</v>
      </c>
      <c r="D9" s="517" t="s">
        <v>3732</v>
      </c>
      <c r="E9" s="98" t="s">
        <v>3733</v>
      </c>
      <c r="F9" s="98" t="s">
        <v>348</v>
      </c>
      <c r="G9" s="518">
        <f>7500+5000+5000</f>
        <v>17500</v>
      </c>
      <c r="H9" s="518">
        <f>7500+5000+5000</f>
        <v>17500</v>
      </c>
      <c r="I9" s="518">
        <f>G9*0.2</f>
        <v>3500</v>
      </c>
      <c r="J9" s="228" t="s">
        <v>0</v>
      </c>
    </row>
    <row r="10" spans="1:10" ht="15">
      <c r="A10" s="98">
        <v>2</v>
      </c>
      <c r="B10" s="516" t="s">
        <v>3734</v>
      </c>
      <c r="C10" s="516" t="s">
        <v>3735</v>
      </c>
      <c r="D10" s="517" t="s">
        <v>3736</v>
      </c>
      <c r="E10" s="98" t="s">
        <v>3737</v>
      </c>
      <c r="F10" s="98" t="s">
        <v>348</v>
      </c>
      <c r="G10" s="518">
        <f>3750+2500+2500</f>
        <v>8750</v>
      </c>
      <c r="H10" s="518">
        <f>3750+2500+2500</f>
        <v>8750</v>
      </c>
      <c r="I10" s="518">
        <f>G10*0.2</f>
        <v>1750</v>
      </c>
    </row>
    <row r="11" spans="1:10" ht="30">
      <c r="A11" s="98">
        <v>3</v>
      </c>
      <c r="B11" s="516" t="s">
        <v>3738</v>
      </c>
      <c r="C11" s="516" t="s">
        <v>3739</v>
      </c>
      <c r="D11" s="517" t="s">
        <v>3740</v>
      </c>
      <c r="E11" s="98" t="s">
        <v>3741</v>
      </c>
      <c r="F11" s="98" t="s">
        <v>348</v>
      </c>
      <c r="G11" s="518">
        <f>8548.39+5000</f>
        <v>13548.39</v>
      </c>
      <c r="H11" s="518">
        <f>8548.39+5000</f>
        <v>13548.39</v>
      </c>
      <c r="I11" s="518">
        <f>G11*0.2</f>
        <v>2709.6779999999999</v>
      </c>
    </row>
    <row r="12" spans="1:10" ht="45">
      <c r="A12" s="98">
        <v>4</v>
      </c>
      <c r="B12" s="98" t="s">
        <v>3742</v>
      </c>
      <c r="C12" s="98" t="s">
        <v>3743</v>
      </c>
      <c r="D12" s="517" t="s">
        <v>1255</v>
      </c>
      <c r="E12" s="98" t="s">
        <v>3744</v>
      </c>
      <c r="F12" s="98" t="s">
        <v>348</v>
      </c>
      <c r="G12" s="518">
        <v>3750</v>
      </c>
      <c r="H12" s="518">
        <v>3750</v>
      </c>
      <c r="I12" s="518">
        <f t="shared" ref="I12" si="0">H12*0.2</f>
        <v>750</v>
      </c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87" t="s">
        <v>276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87"/>
      <c r="B20" s="99"/>
      <c r="C20" s="99"/>
      <c r="D20" s="99"/>
      <c r="E20" s="99"/>
      <c r="F20" s="87" t="s">
        <v>456</v>
      </c>
      <c r="G20" s="86">
        <f>SUM(G9:G19)</f>
        <v>43548.39</v>
      </c>
      <c r="H20" s="86">
        <f>SUM(H9:H19)</f>
        <v>43548.39</v>
      </c>
      <c r="I20" s="86">
        <f>SUM(I9:I19)</f>
        <v>8709.6779999999999</v>
      </c>
    </row>
    <row r="21" spans="1:9" ht="15">
      <c r="A21" s="226"/>
      <c r="B21" s="226"/>
      <c r="C21" s="226"/>
      <c r="D21" s="226"/>
      <c r="E21" s="226"/>
      <c r="F21" s="226"/>
      <c r="G21" s="226"/>
      <c r="H21" s="184"/>
      <c r="I21" s="184"/>
    </row>
    <row r="22" spans="1:9" ht="15">
      <c r="A22" s="227" t="s">
        <v>445</v>
      </c>
      <c r="B22" s="227"/>
      <c r="C22" s="226"/>
      <c r="D22" s="226"/>
      <c r="E22" s="226"/>
      <c r="F22" s="226"/>
      <c r="G22" s="226"/>
      <c r="H22" s="184"/>
      <c r="I22" s="184"/>
    </row>
    <row r="23" spans="1:9" ht="15">
      <c r="A23" s="227"/>
      <c r="B23" s="227"/>
      <c r="C23" s="226"/>
      <c r="D23" s="226"/>
      <c r="E23" s="226"/>
      <c r="F23" s="226"/>
      <c r="G23" s="226"/>
      <c r="H23" s="184"/>
      <c r="I23" s="184"/>
    </row>
    <row r="24" spans="1:9">
      <c r="A24" s="224"/>
      <c r="B24" s="224"/>
      <c r="C24" s="224"/>
      <c r="D24" s="224"/>
      <c r="E24" s="224"/>
      <c r="F24" s="224"/>
      <c r="G24" s="224"/>
      <c r="H24" s="224"/>
      <c r="I24" s="224"/>
    </row>
    <row r="25" spans="1:9" ht="15">
      <c r="A25" s="190" t="s">
        <v>107</v>
      </c>
      <c r="B25" s="190"/>
      <c r="C25" s="184"/>
      <c r="D25" s="184"/>
      <c r="E25" s="184"/>
      <c r="F25" s="184"/>
      <c r="G25" s="184"/>
      <c r="H25" s="184"/>
      <c r="I25" s="184"/>
    </row>
    <row r="26" spans="1:9" ht="15">
      <c r="A26" s="184"/>
      <c r="B26" s="184"/>
      <c r="C26" s="184"/>
      <c r="D26" s="184"/>
      <c r="E26" s="184"/>
      <c r="F26" s="184"/>
      <c r="G26" s="184"/>
      <c r="H26" s="184"/>
      <c r="I26" s="184"/>
    </row>
    <row r="27" spans="1:9" ht="15">
      <c r="A27" s="184"/>
      <c r="B27" s="184"/>
      <c r="C27" s="184"/>
      <c r="D27" s="184"/>
      <c r="E27" s="188"/>
      <c r="F27" s="188"/>
      <c r="G27" s="188"/>
      <c r="H27" s="184"/>
      <c r="I27" s="184"/>
    </row>
    <row r="28" spans="1:9" ht="15">
      <c r="A28" s="190"/>
      <c r="B28" s="190"/>
      <c r="C28" s="190" t="s">
        <v>395</v>
      </c>
      <c r="D28" s="190"/>
      <c r="E28" s="190"/>
      <c r="F28" s="190"/>
      <c r="G28" s="190"/>
      <c r="H28" s="184"/>
      <c r="I28" s="184"/>
    </row>
    <row r="29" spans="1:9" ht="15">
      <c r="A29" s="184"/>
      <c r="B29" s="184"/>
      <c r="C29" s="184" t="s">
        <v>394</v>
      </c>
      <c r="D29" s="184"/>
      <c r="E29" s="184"/>
      <c r="F29" s="184"/>
      <c r="G29" s="184"/>
      <c r="H29" s="184"/>
      <c r="I29" s="184"/>
    </row>
    <row r="30" spans="1:9">
      <c r="A30" s="192"/>
      <c r="B30" s="192"/>
      <c r="C30" s="192" t="s">
        <v>139</v>
      </c>
      <c r="D30" s="192"/>
      <c r="E30" s="192"/>
      <c r="F30" s="192"/>
      <c r="G30" s="19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zoomScaleSheetLayoutView="80" workbookViewId="0">
      <selection activeCell="B17" sqref="B17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366</v>
      </c>
      <c r="B1" s="77"/>
      <c r="C1" s="77"/>
      <c r="D1" s="77"/>
      <c r="E1" s="77"/>
      <c r="F1" s="77"/>
      <c r="G1" s="763" t="s">
        <v>109</v>
      </c>
      <c r="H1" s="763"/>
      <c r="I1" s="371"/>
    </row>
    <row r="2" spans="1:9" ht="15">
      <c r="A2" s="76" t="s">
        <v>140</v>
      </c>
      <c r="B2" s="77"/>
      <c r="C2" s="77"/>
      <c r="D2" s="77"/>
      <c r="E2" s="77"/>
      <c r="F2" s="77"/>
      <c r="G2" s="753" t="s">
        <v>515</v>
      </c>
      <c r="H2" s="754"/>
      <c r="I2" s="76"/>
    </row>
    <row r="3" spans="1:9" ht="15">
      <c r="A3" s="76"/>
      <c r="B3" s="76"/>
      <c r="C3" s="76"/>
      <c r="D3" s="76"/>
      <c r="E3" s="76"/>
      <c r="F3" s="76"/>
      <c r="G3" s="164"/>
      <c r="H3" s="164"/>
      <c r="I3" s="371"/>
    </row>
    <row r="4" spans="1:9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tr">
        <f>'ფორმა N1'!D4</f>
        <v>მ.პ.გ. ქართული ოცნება - დემოკრატიული საქართველო</v>
      </c>
      <c r="B5" s="80"/>
      <c r="C5" s="80"/>
      <c r="D5" s="80"/>
      <c r="E5" s="80"/>
      <c r="F5" s="80"/>
      <c r="G5" s="81"/>
      <c r="H5" s="81"/>
      <c r="I5" s="37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163"/>
      <c r="B7" s="163"/>
      <c r="C7" s="270"/>
      <c r="D7" s="163"/>
      <c r="E7" s="163"/>
      <c r="F7" s="163"/>
      <c r="G7" s="78"/>
      <c r="H7" s="78"/>
      <c r="I7" s="76"/>
    </row>
    <row r="8" spans="1:9" ht="45">
      <c r="A8" s="367" t="s">
        <v>64</v>
      </c>
      <c r="B8" s="79" t="s">
        <v>340</v>
      </c>
      <c r="C8" s="90" t="s">
        <v>341</v>
      </c>
      <c r="D8" s="90" t="s">
        <v>227</v>
      </c>
      <c r="E8" s="90" t="s">
        <v>344</v>
      </c>
      <c r="F8" s="90" t="s">
        <v>343</v>
      </c>
      <c r="G8" s="90" t="s">
        <v>390</v>
      </c>
      <c r="H8" s="79" t="s">
        <v>10</v>
      </c>
      <c r="I8" s="79" t="s">
        <v>9</v>
      </c>
    </row>
    <row r="9" spans="1:9" ht="45">
      <c r="A9" s="751">
        <v>1</v>
      </c>
      <c r="B9" s="98" t="s">
        <v>3745</v>
      </c>
      <c r="C9" s="98" t="s">
        <v>3746</v>
      </c>
      <c r="D9" s="517" t="s">
        <v>3747</v>
      </c>
      <c r="E9" s="98" t="s">
        <v>3748</v>
      </c>
      <c r="F9" s="98" t="s">
        <v>3749</v>
      </c>
      <c r="G9" s="519">
        <v>4</v>
      </c>
      <c r="H9" s="518">
        <f>1701/2+476.18+339.41/2</f>
        <v>1496.385</v>
      </c>
      <c r="I9" s="518">
        <f>1701/2+476.18+339.41/2</f>
        <v>1496.385</v>
      </c>
    </row>
    <row r="10" spans="1:9" ht="45">
      <c r="A10" s="751">
        <v>2</v>
      </c>
      <c r="B10" s="98" t="s">
        <v>3730</v>
      </c>
      <c r="C10" s="98" t="s">
        <v>3750</v>
      </c>
      <c r="D10" s="517" t="s">
        <v>3751</v>
      </c>
      <c r="E10" s="98" t="s">
        <v>3748</v>
      </c>
      <c r="F10" s="98" t="s">
        <v>3749</v>
      </c>
      <c r="G10" s="519">
        <v>4</v>
      </c>
      <c r="H10" s="518">
        <f>1701/2+476.18+339.41/2</f>
        <v>1496.385</v>
      </c>
      <c r="I10" s="518">
        <f>1701/2+476.18+339.41/2</f>
        <v>1496.385</v>
      </c>
    </row>
    <row r="11" spans="1:9" ht="45">
      <c r="A11" s="751">
        <v>3</v>
      </c>
      <c r="B11" s="98" t="s">
        <v>3745</v>
      </c>
      <c r="C11" s="98" t="s">
        <v>3746</v>
      </c>
      <c r="D11" s="517" t="s">
        <v>3747</v>
      </c>
      <c r="E11" s="98" t="s">
        <v>3748</v>
      </c>
      <c r="F11" s="98" t="s">
        <v>3752</v>
      </c>
      <c r="G11" s="519">
        <v>4</v>
      </c>
      <c r="H11" s="518">
        <f>2724/2+6136.3/3</f>
        <v>3407.4333333333334</v>
      </c>
      <c r="I11" s="518">
        <f>2724/2+6136.3/3</f>
        <v>3407.4333333333334</v>
      </c>
    </row>
    <row r="12" spans="1:9" ht="45">
      <c r="A12" s="751">
        <v>4</v>
      </c>
      <c r="B12" s="98" t="s">
        <v>3753</v>
      </c>
      <c r="C12" s="98" t="s">
        <v>3754</v>
      </c>
      <c r="D12" s="517" t="s">
        <v>2746</v>
      </c>
      <c r="E12" s="98" t="s">
        <v>3748</v>
      </c>
      <c r="F12" s="98" t="s">
        <v>3752</v>
      </c>
      <c r="G12" s="519">
        <v>4</v>
      </c>
      <c r="H12" s="518">
        <f>1399.2+6136.3/3+367.44</f>
        <v>3812.0733333333333</v>
      </c>
      <c r="I12" s="518">
        <f>1399.2+6136.3/3+367.44</f>
        <v>3812.0733333333333</v>
      </c>
    </row>
    <row r="13" spans="1:9" ht="45">
      <c r="A13" s="751">
        <v>5</v>
      </c>
      <c r="B13" s="98" t="s">
        <v>3755</v>
      </c>
      <c r="C13" s="98" t="s">
        <v>9912</v>
      </c>
      <c r="D13" s="517" t="s">
        <v>2731</v>
      </c>
      <c r="E13" s="98" t="s">
        <v>3748</v>
      </c>
      <c r="F13" s="98" t="s">
        <v>3752</v>
      </c>
      <c r="G13" s="519">
        <v>4</v>
      </c>
      <c r="H13" s="518">
        <f>2724/2+6136.3/3</f>
        <v>3407.4333333333334</v>
      </c>
      <c r="I13" s="518">
        <f>2724/2+6136.3/3</f>
        <v>3407.4333333333334</v>
      </c>
    </row>
    <row r="14" spans="1:9" ht="15">
      <c r="A14" s="751"/>
      <c r="B14" s="87"/>
      <c r="C14" s="87"/>
      <c r="D14" s="87"/>
      <c r="E14" s="87"/>
      <c r="F14" s="87"/>
      <c r="G14" s="87"/>
      <c r="H14" s="4"/>
      <c r="I14" s="4"/>
    </row>
    <row r="15" spans="1:9" ht="16.5" customHeight="1">
      <c r="A15" s="751"/>
      <c r="B15" s="87"/>
      <c r="C15" s="87"/>
      <c r="D15" s="87"/>
      <c r="E15" s="87"/>
      <c r="F15" s="87"/>
      <c r="G15" s="87"/>
      <c r="H15" s="4"/>
      <c r="I15" s="4"/>
    </row>
    <row r="16" spans="1:9" ht="15">
      <c r="A16" s="751"/>
      <c r="B16" s="87"/>
      <c r="C16" s="87"/>
      <c r="D16" s="87"/>
      <c r="E16" s="87"/>
      <c r="F16" s="87"/>
      <c r="G16" s="87"/>
      <c r="H16" s="4"/>
      <c r="I16" s="4"/>
    </row>
    <row r="17" spans="1:9" ht="15">
      <c r="A17" s="751"/>
      <c r="B17" s="87"/>
      <c r="C17" s="87"/>
      <c r="D17" s="87"/>
      <c r="E17" s="87"/>
      <c r="F17" s="87"/>
      <c r="G17" s="87"/>
      <c r="H17" s="4"/>
      <c r="I17" s="4"/>
    </row>
    <row r="18" spans="1:9" ht="15">
      <c r="A18" s="751"/>
      <c r="B18" s="87"/>
      <c r="C18" s="87"/>
      <c r="D18" s="87"/>
      <c r="E18" s="87"/>
      <c r="F18" s="87"/>
      <c r="G18" s="87"/>
      <c r="H18" s="4"/>
      <c r="I18" s="4"/>
    </row>
    <row r="19" spans="1:9" ht="15">
      <c r="A19" s="751"/>
      <c r="B19" s="99"/>
      <c r="C19" s="99"/>
      <c r="D19" s="99"/>
      <c r="E19" s="99"/>
      <c r="F19" s="99"/>
      <c r="G19" s="99" t="s">
        <v>339</v>
      </c>
      <c r="H19" s="86">
        <f>SUM(H9:H18)</f>
        <v>13619.71</v>
      </c>
      <c r="I19" s="86">
        <f>SUM(I9:I18)</f>
        <v>13619.71</v>
      </c>
    </row>
    <row r="20" spans="1:9" ht="15">
      <c r="A20" s="226"/>
      <c r="B20" s="226"/>
      <c r="C20" s="226"/>
      <c r="D20" s="226"/>
      <c r="E20" s="226"/>
      <c r="F20" s="226"/>
      <c r="G20" s="184"/>
      <c r="H20" s="184"/>
      <c r="I20" s="189"/>
    </row>
    <row r="21" spans="1:9" ht="15">
      <c r="A21" s="227" t="s">
        <v>350</v>
      </c>
      <c r="B21" s="226"/>
      <c r="C21" s="226"/>
      <c r="D21" s="226"/>
      <c r="E21" s="226"/>
      <c r="F21" s="226"/>
      <c r="G21" s="184"/>
      <c r="H21" s="184"/>
      <c r="I21" s="189"/>
    </row>
    <row r="22" spans="1:9" ht="15">
      <c r="A22" s="227" t="s">
        <v>353</v>
      </c>
      <c r="B22" s="226"/>
      <c r="C22" s="226"/>
      <c r="D22" s="226"/>
      <c r="E22" s="226"/>
      <c r="F22" s="226"/>
      <c r="G22" s="184"/>
      <c r="H22" s="184"/>
      <c r="I22" s="189"/>
    </row>
    <row r="23" spans="1:9" ht="15">
      <c r="A23" s="227"/>
      <c r="B23" s="184"/>
      <c r="C23" s="184"/>
      <c r="D23" s="184"/>
      <c r="E23" s="184"/>
      <c r="F23" s="184"/>
      <c r="G23" s="184"/>
      <c r="H23" s="184"/>
      <c r="I23" s="189"/>
    </row>
    <row r="24" spans="1:9" ht="15">
      <c r="A24" s="227"/>
      <c r="B24" s="184"/>
      <c r="C24" s="184"/>
      <c r="D24" s="184"/>
      <c r="E24" s="184"/>
      <c r="G24" s="184"/>
      <c r="H24" s="184"/>
      <c r="I24" s="189"/>
    </row>
    <row r="25" spans="1:9">
      <c r="A25" s="224"/>
      <c r="B25" s="224"/>
      <c r="C25" s="224"/>
      <c r="D25" s="224"/>
      <c r="E25" s="224"/>
      <c r="F25" s="224"/>
      <c r="G25" s="224"/>
      <c r="H25" s="224"/>
      <c r="I25" s="189"/>
    </row>
    <row r="26" spans="1:9" ht="15">
      <c r="A26" s="190" t="s">
        <v>107</v>
      </c>
      <c r="B26" s="184"/>
      <c r="C26" s="184"/>
      <c r="D26" s="184"/>
      <c r="E26" s="184"/>
      <c r="F26" s="184"/>
      <c r="G26" s="184"/>
      <c r="H26" s="184"/>
      <c r="I26" s="189"/>
    </row>
    <row r="27" spans="1:9" ht="15">
      <c r="A27" s="184"/>
      <c r="B27" s="184"/>
      <c r="C27" s="184"/>
      <c r="D27" s="184"/>
      <c r="E27" s="184"/>
      <c r="F27" s="184"/>
      <c r="G27" s="184"/>
      <c r="H27" s="184"/>
      <c r="I27" s="189"/>
    </row>
    <row r="28" spans="1:9" ht="15">
      <c r="A28" s="184"/>
      <c r="B28" s="184"/>
      <c r="C28" s="184"/>
      <c r="D28" s="184"/>
      <c r="E28" s="184"/>
      <c r="F28" s="184"/>
      <c r="G28" s="184"/>
      <c r="H28" s="191"/>
      <c r="I28" s="189"/>
    </row>
    <row r="29" spans="1:9" ht="15">
      <c r="A29" s="190"/>
      <c r="B29" s="190" t="s">
        <v>271</v>
      </c>
      <c r="C29" s="190"/>
      <c r="D29" s="190"/>
      <c r="E29" s="190"/>
      <c r="F29" s="190"/>
      <c r="G29" s="184"/>
      <c r="H29" s="191"/>
      <c r="I29" s="189"/>
    </row>
    <row r="30" spans="1:9" ht="15">
      <c r="A30" s="184"/>
      <c r="B30" s="184" t="s">
        <v>270</v>
      </c>
      <c r="C30" s="184"/>
      <c r="D30" s="184"/>
      <c r="E30" s="184"/>
      <c r="F30" s="184"/>
      <c r="G30" s="184"/>
      <c r="H30" s="191"/>
      <c r="I30" s="189"/>
    </row>
    <row r="31" spans="1:9">
      <c r="A31" s="192"/>
      <c r="B31" s="192" t="s">
        <v>139</v>
      </c>
      <c r="C31" s="192"/>
      <c r="D31" s="192"/>
      <c r="E31" s="192"/>
      <c r="F31" s="192"/>
      <c r="G31" s="185"/>
      <c r="H31" s="185"/>
      <c r="I31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16" zoomScale="80" zoomScaleNormal="100" zoomScaleSheetLayoutView="80" workbookViewId="0">
      <selection activeCell="G2" sqref="G2:H2"/>
    </sheetView>
  </sheetViews>
  <sheetFormatPr defaultRowHeight="12.75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>
      <c r="A1" s="74" t="s">
        <v>464</v>
      </c>
      <c r="B1" s="74"/>
      <c r="C1" s="77"/>
      <c r="D1" s="77"/>
      <c r="E1" s="77"/>
      <c r="F1" s="77"/>
      <c r="G1" s="763" t="s">
        <v>109</v>
      </c>
      <c r="H1" s="763"/>
    </row>
    <row r="2" spans="1:10" ht="15">
      <c r="A2" s="76" t="s">
        <v>140</v>
      </c>
      <c r="B2" s="74"/>
      <c r="C2" s="77"/>
      <c r="D2" s="77"/>
      <c r="E2" s="77"/>
      <c r="F2" s="77"/>
      <c r="G2" s="753" t="s">
        <v>515</v>
      </c>
      <c r="H2" s="754"/>
    </row>
    <row r="3" spans="1:10" ht="15">
      <c r="A3" s="76"/>
      <c r="B3" s="76"/>
      <c r="C3" s="76"/>
      <c r="D3" s="76"/>
      <c r="E3" s="76"/>
      <c r="F3" s="76"/>
      <c r="G3" s="219"/>
      <c r="H3" s="219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80" t="str">
        <f>'ფორმა N1'!D4</f>
        <v>მ.პ.გ. ქართული ოცნება - დემოკრატიული საქართველო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18"/>
      <c r="B7" s="218"/>
      <c r="C7" s="218"/>
      <c r="D7" s="220"/>
      <c r="E7" s="218"/>
      <c r="F7" s="218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28" t="s">
        <v>348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28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184"/>
      <c r="I35" s="184"/>
    </row>
    <row r="36" spans="1:9" ht="15">
      <c r="A36" s="227" t="s">
        <v>401</v>
      </c>
      <c r="B36" s="227"/>
      <c r="C36" s="226"/>
      <c r="D36" s="226"/>
      <c r="E36" s="226"/>
      <c r="F36" s="226"/>
      <c r="G36" s="226"/>
      <c r="H36" s="184"/>
      <c r="I36" s="184"/>
    </row>
    <row r="37" spans="1:9" ht="15">
      <c r="A37" s="227" t="s">
        <v>346</v>
      </c>
      <c r="B37" s="227"/>
      <c r="C37" s="226"/>
      <c r="D37" s="226"/>
      <c r="E37" s="226"/>
      <c r="F37" s="226"/>
      <c r="G37" s="226"/>
      <c r="H37" s="184"/>
      <c r="I37" s="184"/>
    </row>
    <row r="38" spans="1:9" ht="15">
      <c r="A38" s="227"/>
      <c r="B38" s="227"/>
      <c r="C38" s="184"/>
      <c r="D38" s="184"/>
      <c r="E38" s="184"/>
      <c r="F38" s="184"/>
      <c r="G38" s="184"/>
      <c r="H38" s="184"/>
      <c r="I38" s="184"/>
    </row>
    <row r="39" spans="1:9" ht="15">
      <c r="A39" s="227"/>
      <c r="B39" s="227"/>
      <c r="C39" s="184"/>
      <c r="D39" s="184"/>
      <c r="E39" s="184"/>
      <c r="F39" s="184"/>
      <c r="G39" s="184"/>
      <c r="H39" s="184"/>
      <c r="I39" s="184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90" t="s">
        <v>107</v>
      </c>
      <c r="B41" s="190"/>
      <c r="C41" s="184"/>
      <c r="D41" s="184"/>
      <c r="E41" s="184"/>
      <c r="F41" s="184"/>
      <c r="G41" s="184"/>
      <c r="H41" s="184"/>
      <c r="I41" s="184"/>
    </row>
    <row r="42" spans="1:9" ht="15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>
      <c r="A44" s="190"/>
      <c r="B44" s="190"/>
      <c r="C44" s="190" t="s">
        <v>434</v>
      </c>
      <c r="D44" s="190"/>
      <c r="E44" s="226"/>
      <c r="F44" s="190"/>
      <c r="G44" s="190"/>
      <c r="H44" s="184"/>
      <c r="I44" s="191"/>
    </row>
    <row r="45" spans="1:9" ht="15">
      <c r="A45" s="184"/>
      <c r="B45" s="184"/>
      <c r="C45" s="184" t="s">
        <v>270</v>
      </c>
      <c r="D45" s="184"/>
      <c r="E45" s="184"/>
      <c r="F45" s="184"/>
      <c r="G45" s="184"/>
      <c r="H45" s="184"/>
      <c r="I45" s="191"/>
    </row>
    <row r="46" spans="1:9">
      <c r="A46" s="192"/>
      <c r="B46" s="192"/>
      <c r="C46" s="192" t="s">
        <v>139</v>
      </c>
      <c r="D46" s="192"/>
      <c r="E46" s="192"/>
      <c r="F46" s="192"/>
      <c r="G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view="pageBreakPreview" zoomScale="85" zoomScaleSheetLayoutView="85" workbookViewId="0">
      <selection activeCell="A29" sqref="A29:XFD29"/>
    </sheetView>
  </sheetViews>
  <sheetFormatPr defaultRowHeight="12.75"/>
  <cols>
    <col min="1" max="1" width="5.42578125" style="185" customWidth="1"/>
    <col min="2" max="2" width="27.5703125" style="185" customWidth="1"/>
    <col min="3" max="3" width="19.28515625" style="185" customWidth="1"/>
    <col min="4" max="4" width="16.85546875" style="185" customWidth="1"/>
    <col min="5" max="5" width="13.140625" style="185" customWidth="1"/>
    <col min="6" max="6" width="17" style="185" customWidth="1"/>
    <col min="7" max="7" width="13.7109375" style="185" customWidth="1"/>
    <col min="8" max="8" width="19.42578125" style="185" bestFit="1" customWidth="1"/>
    <col min="9" max="9" width="18.5703125" style="185" bestFit="1" customWidth="1"/>
    <col min="10" max="10" width="16.7109375" style="185" customWidth="1"/>
    <col min="11" max="11" width="17.7109375" style="185" customWidth="1"/>
    <col min="12" max="12" width="12.85546875" style="185" customWidth="1"/>
    <col min="13" max="16384" width="9.140625" style="185"/>
  </cols>
  <sheetData>
    <row r="2" spans="1:12" ht="15">
      <c r="A2" s="766" t="s">
        <v>511</v>
      </c>
      <c r="B2" s="766"/>
      <c r="C2" s="766"/>
      <c r="D2" s="766"/>
      <c r="E2" s="375"/>
      <c r="F2" s="77"/>
      <c r="G2" s="77"/>
      <c r="H2" s="77"/>
      <c r="I2" s="77"/>
      <c r="J2" s="376"/>
      <c r="K2" s="377"/>
      <c r="L2" s="377" t="s">
        <v>109</v>
      </c>
    </row>
    <row r="3" spans="1:12" ht="15">
      <c r="A3" s="76" t="s">
        <v>140</v>
      </c>
      <c r="B3" s="74"/>
      <c r="C3" s="77"/>
      <c r="D3" s="77"/>
      <c r="E3" s="77"/>
      <c r="F3" s="77"/>
      <c r="G3" s="77"/>
      <c r="H3" s="77"/>
      <c r="I3" s="77"/>
      <c r="J3" s="376"/>
      <c r="K3" s="753" t="s">
        <v>515</v>
      </c>
      <c r="L3" s="754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376"/>
      <c r="K4" s="376"/>
      <c r="L4" s="376"/>
    </row>
    <row r="5" spans="1:12" ht="15">
      <c r="A5" s="77" t="s">
        <v>274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80" t="str">
        <f>'ფორმა N1'!D4</f>
        <v>მ.პ.გ. ქართული ოცნება - დემოკრატიული საქართველო</v>
      </c>
      <c r="B6" s="80"/>
      <c r="C6" s="80"/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373"/>
      <c r="B8" s="373"/>
      <c r="C8" s="373"/>
      <c r="D8" s="373"/>
      <c r="E8" s="373"/>
      <c r="F8" s="373"/>
      <c r="G8" s="373"/>
      <c r="H8" s="373"/>
      <c r="I8" s="373"/>
      <c r="J8" s="78"/>
      <c r="K8" s="78"/>
      <c r="L8" s="78"/>
    </row>
    <row r="9" spans="1:12" ht="45">
      <c r="A9" s="90" t="s">
        <v>64</v>
      </c>
      <c r="B9" s="90" t="s">
        <v>482</v>
      </c>
      <c r="C9" s="90" t="s">
        <v>483</v>
      </c>
      <c r="D9" s="90" t="s">
        <v>484</v>
      </c>
      <c r="E9" s="90" t="s">
        <v>485</v>
      </c>
      <c r="F9" s="90" t="s">
        <v>486</v>
      </c>
      <c r="G9" s="90" t="s">
        <v>487</v>
      </c>
      <c r="H9" s="90" t="s">
        <v>488</v>
      </c>
      <c r="I9" s="90" t="s">
        <v>489</v>
      </c>
      <c r="J9" s="90" t="s">
        <v>490</v>
      </c>
      <c r="K9" s="90" t="s">
        <v>491</v>
      </c>
      <c r="L9" s="90" t="s">
        <v>318</v>
      </c>
    </row>
    <row r="10" spans="1:12" ht="105">
      <c r="A10" s="98">
        <v>1</v>
      </c>
      <c r="B10" s="520" t="s">
        <v>361</v>
      </c>
      <c r="C10" s="520" t="s">
        <v>3756</v>
      </c>
      <c r="D10" s="520" t="s">
        <v>3757</v>
      </c>
      <c r="E10" s="521" t="s">
        <v>3758</v>
      </c>
      <c r="F10" s="521" t="s">
        <v>3759</v>
      </c>
      <c r="G10" s="520"/>
      <c r="H10" s="521" t="s">
        <v>3758</v>
      </c>
      <c r="I10" s="520" t="s">
        <v>342</v>
      </c>
      <c r="J10" s="520" t="s">
        <v>3760</v>
      </c>
      <c r="K10" s="520">
        <v>1440</v>
      </c>
      <c r="L10" s="521" t="s">
        <v>3761</v>
      </c>
    </row>
    <row r="11" spans="1:12" ht="105">
      <c r="A11" s="98">
        <v>2</v>
      </c>
      <c r="B11" s="520" t="s">
        <v>361</v>
      </c>
      <c r="C11" s="520" t="s">
        <v>3756</v>
      </c>
      <c r="D11" s="520" t="s">
        <v>3757</v>
      </c>
      <c r="E11" s="521" t="s">
        <v>3758</v>
      </c>
      <c r="F11" s="521" t="s">
        <v>3759</v>
      </c>
      <c r="G11" s="520"/>
      <c r="H11" s="521" t="s">
        <v>3758</v>
      </c>
      <c r="I11" s="520" t="s">
        <v>342</v>
      </c>
      <c r="J11" s="520" t="s">
        <v>3762</v>
      </c>
      <c r="K11" s="520">
        <v>1800</v>
      </c>
      <c r="L11" s="521" t="s">
        <v>3763</v>
      </c>
    </row>
    <row r="12" spans="1:12" ht="90">
      <c r="A12" s="98">
        <v>3</v>
      </c>
      <c r="B12" s="520" t="s">
        <v>361</v>
      </c>
      <c r="C12" s="520" t="s">
        <v>3756</v>
      </c>
      <c r="D12" s="520" t="s">
        <v>3757</v>
      </c>
      <c r="E12" s="521" t="s">
        <v>3758</v>
      </c>
      <c r="F12" s="521" t="s">
        <v>3759</v>
      </c>
      <c r="G12" s="520"/>
      <c r="H12" s="521" t="s">
        <v>3758</v>
      </c>
      <c r="I12" s="520" t="s">
        <v>342</v>
      </c>
      <c r="J12" s="520" t="s">
        <v>3764</v>
      </c>
      <c r="K12" s="520">
        <v>600</v>
      </c>
      <c r="L12" s="521" t="s">
        <v>3765</v>
      </c>
    </row>
    <row r="13" spans="1:12" ht="180">
      <c r="A13" s="98">
        <v>4</v>
      </c>
      <c r="B13" s="520" t="s">
        <v>361</v>
      </c>
      <c r="C13" s="520" t="s">
        <v>3756</v>
      </c>
      <c r="D13" s="520" t="s">
        <v>3757</v>
      </c>
      <c r="E13" s="521" t="s">
        <v>3758</v>
      </c>
      <c r="F13" s="521" t="s">
        <v>3759</v>
      </c>
      <c r="G13" s="520"/>
      <c r="H13" s="521" t="s">
        <v>3758</v>
      </c>
      <c r="I13" s="520" t="s">
        <v>342</v>
      </c>
      <c r="J13" s="520" t="s">
        <v>3766</v>
      </c>
      <c r="K13" s="520">
        <v>720</v>
      </c>
      <c r="L13" s="521" t="s">
        <v>3767</v>
      </c>
    </row>
    <row r="14" spans="1:12" ht="150">
      <c r="A14" s="98">
        <v>5</v>
      </c>
      <c r="B14" s="520" t="s">
        <v>361</v>
      </c>
      <c r="C14" s="520" t="s">
        <v>3756</v>
      </c>
      <c r="D14" s="520" t="s">
        <v>3757</v>
      </c>
      <c r="E14" s="521" t="s">
        <v>3758</v>
      </c>
      <c r="F14" s="521" t="s">
        <v>3759</v>
      </c>
      <c r="G14" s="520"/>
      <c r="H14" s="521" t="s">
        <v>3758</v>
      </c>
      <c r="I14" s="520" t="s">
        <v>342</v>
      </c>
      <c r="J14" s="520" t="s">
        <v>3768</v>
      </c>
      <c r="K14" s="520">
        <v>1080</v>
      </c>
      <c r="L14" s="521" t="s">
        <v>3769</v>
      </c>
    </row>
    <row r="15" spans="1:12" ht="195">
      <c r="A15" s="98">
        <v>6</v>
      </c>
      <c r="B15" s="520" t="s">
        <v>361</v>
      </c>
      <c r="C15" s="520" t="s">
        <v>3756</v>
      </c>
      <c r="D15" s="520" t="s">
        <v>3757</v>
      </c>
      <c r="E15" s="521" t="s">
        <v>3758</v>
      </c>
      <c r="F15" s="521" t="s">
        <v>3759</v>
      </c>
      <c r="G15" s="520"/>
      <c r="H15" s="521" t="s">
        <v>3758</v>
      </c>
      <c r="I15" s="520" t="s">
        <v>342</v>
      </c>
      <c r="J15" s="520" t="s">
        <v>3768</v>
      </c>
      <c r="K15" s="520">
        <v>1080</v>
      </c>
      <c r="L15" s="521" t="s">
        <v>3770</v>
      </c>
    </row>
    <row r="16" spans="1:12" ht="60">
      <c r="A16" s="98">
        <v>7</v>
      </c>
      <c r="B16" s="520" t="s">
        <v>363</v>
      </c>
      <c r="C16" s="520" t="s">
        <v>3756</v>
      </c>
      <c r="D16" s="520" t="s">
        <v>3757</v>
      </c>
      <c r="E16" s="521" t="s">
        <v>3758</v>
      </c>
      <c r="F16" s="521" t="s">
        <v>3771</v>
      </c>
      <c r="G16" s="520" t="s">
        <v>3772</v>
      </c>
      <c r="H16" s="521" t="s">
        <v>3758</v>
      </c>
      <c r="I16" s="520" t="s">
        <v>3773</v>
      </c>
      <c r="J16" s="520" t="s">
        <v>3774</v>
      </c>
      <c r="K16" s="520">
        <v>4000</v>
      </c>
      <c r="L16" s="521" t="s">
        <v>3775</v>
      </c>
    </row>
    <row r="17" spans="1:12" ht="75">
      <c r="A17" s="98">
        <v>8</v>
      </c>
      <c r="B17" s="520" t="s">
        <v>363</v>
      </c>
      <c r="C17" s="520" t="s">
        <v>3756</v>
      </c>
      <c r="D17" s="520" t="s">
        <v>3757</v>
      </c>
      <c r="E17" s="521" t="s">
        <v>3758</v>
      </c>
      <c r="F17" s="521" t="s">
        <v>3776</v>
      </c>
      <c r="G17" s="520" t="s">
        <v>3772</v>
      </c>
      <c r="H17" s="521" t="s">
        <v>3758</v>
      </c>
      <c r="I17" s="520" t="s">
        <v>3773</v>
      </c>
      <c r="J17" s="520" t="s">
        <v>3774</v>
      </c>
      <c r="K17" s="520">
        <v>4000</v>
      </c>
      <c r="L17" s="521" t="s">
        <v>3777</v>
      </c>
    </row>
    <row r="18" spans="1:12" ht="90">
      <c r="A18" s="98">
        <v>9</v>
      </c>
      <c r="B18" s="520" t="s">
        <v>363</v>
      </c>
      <c r="C18" s="520" t="s">
        <v>3756</v>
      </c>
      <c r="D18" s="520" t="s">
        <v>3757</v>
      </c>
      <c r="E18" s="521" t="s">
        <v>3758</v>
      </c>
      <c r="F18" s="521" t="s">
        <v>3776</v>
      </c>
      <c r="G18" s="520"/>
      <c r="H18" s="521" t="s">
        <v>3758</v>
      </c>
      <c r="I18" s="520" t="s">
        <v>3778</v>
      </c>
      <c r="J18" s="520" t="s">
        <v>3779</v>
      </c>
      <c r="K18" s="520">
        <v>2200</v>
      </c>
      <c r="L18" s="521" t="s">
        <v>3780</v>
      </c>
    </row>
    <row r="19" spans="1:12" ht="75">
      <c r="A19" s="98">
        <v>10</v>
      </c>
      <c r="B19" s="520" t="s">
        <v>363</v>
      </c>
      <c r="C19" s="520" t="s">
        <v>3756</v>
      </c>
      <c r="D19" s="520" t="s">
        <v>3757</v>
      </c>
      <c r="E19" s="521" t="s">
        <v>3758</v>
      </c>
      <c r="F19" s="521" t="s">
        <v>3759</v>
      </c>
      <c r="G19" s="520"/>
      <c r="H19" s="521" t="s">
        <v>3758</v>
      </c>
      <c r="I19" s="520" t="s">
        <v>342</v>
      </c>
      <c r="J19" s="520" t="s">
        <v>3768</v>
      </c>
      <c r="K19" s="520">
        <v>1080</v>
      </c>
      <c r="L19" s="521" t="s">
        <v>3781</v>
      </c>
    </row>
    <row r="20" spans="1:12" ht="15">
      <c r="A20" s="87" t="s">
        <v>276</v>
      </c>
      <c r="B20" s="360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87"/>
      <c r="B21" s="360"/>
      <c r="C21" s="99"/>
      <c r="D21" s="99"/>
      <c r="E21" s="99"/>
      <c r="F21" s="99"/>
      <c r="G21" s="87"/>
      <c r="H21" s="87"/>
      <c r="I21" s="87"/>
      <c r="J21" s="87" t="s">
        <v>492</v>
      </c>
      <c r="K21" s="86">
        <f>SUM(K10:K20)</f>
        <v>18000</v>
      </c>
      <c r="L21" s="87"/>
    </row>
    <row r="22" spans="1:12" ht="15">
      <c r="A22" s="227" t="s">
        <v>493</v>
      </c>
      <c r="B22" s="227"/>
      <c r="C22" s="226"/>
      <c r="D22" s="226"/>
      <c r="E22" s="226"/>
      <c r="F22" s="226"/>
      <c r="G22" s="226"/>
      <c r="H22" s="226"/>
      <c r="I22" s="226"/>
      <c r="J22" s="226"/>
      <c r="K22" s="184"/>
    </row>
    <row r="23" spans="1:12" ht="15">
      <c r="A23" s="227" t="s">
        <v>494</v>
      </c>
      <c r="B23" s="227"/>
      <c r="C23" s="226"/>
      <c r="D23" s="226"/>
      <c r="E23" s="226"/>
      <c r="F23" s="226"/>
      <c r="G23" s="226"/>
      <c r="H23" s="226"/>
      <c r="I23" s="226"/>
      <c r="J23" s="226"/>
      <c r="K23" s="184"/>
    </row>
    <row r="24" spans="1:12" ht="15">
      <c r="A24" s="215" t="s">
        <v>495</v>
      </c>
      <c r="B24" s="227"/>
      <c r="C24" s="184"/>
      <c r="D24" s="184"/>
      <c r="E24" s="184"/>
      <c r="F24" s="184"/>
      <c r="G24" s="184"/>
      <c r="H24" s="184"/>
      <c r="I24" s="184"/>
      <c r="J24" s="184"/>
      <c r="K24" s="184"/>
    </row>
    <row r="25" spans="1:12" ht="15">
      <c r="A25" s="215" t="s">
        <v>512</v>
      </c>
      <c r="B25" s="227"/>
      <c r="C25" s="184"/>
      <c r="D25" s="184"/>
      <c r="E25" s="184"/>
      <c r="F25" s="184"/>
      <c r="G25" s="184"/>
      <c r="H25" s="184"/>
      <c r="I25" s="184"/>
      <c r="J25" s="184"/>
      <c r="K25" s="184"/>
    </row>
    <row r="26" spans="1:12" ht="15.75" customHeight="1">
      <c r="A26" s="771" t="s">
        <v>513</v>
      </c>
      <c r="B26" s="771"/>
      <c r="C26" s="771"/>
      <c r="D26" s="771"/>
      <c r="E26" s="771"/>
      <c r="F26" s="771"/>
      <c r="G26" s="771"/>
      <c r="H26" s="771"/>
      <c r="I26" s="771"/>
      <c r="J26" s="771"/>
      <c r="K26" s="771"/>
    </row>
    <row r="27" spans="1:12" ht="15.75" customHeight="1">
      <c r="A27" s="771"/>
      <c r="B27" s="771"/>
      <c r="C27" s="771"/>
      <c r="D27" s="771"/>
      <c r="E27" s="771"/>
      <c r="F27" s="771"/>
      <c r="G27" s="771"/>
      <c r="H27" s="771"/>
      <c r="I27" s="771"/>
      <c r="J27" s="771"/>
      <c r="K27" s="771"/>
    </row>
    <row r="28" spans="1:12" ht="15">
      <c r="A28" s="767" t="s">
        <v>107</v>
      </c>
      <c r="B28" s="767"/>
      <c r="C28" s="361"/>
      <c r="D28" s="362"/>
      <c r="E28" s="362"/>
      <c r="F28" s="361"/>
      <c r="G28" s="361"/>
      <c r="H28" s="361"/>
      <c r="I28" s="361"/>
      <c r="J28" s="361"/>
      <c r="K28" s="184"/>
    </row>
    <row r="29" spans="1:12" ht="15">
      <c r="A29" s="361"/>
      <c r="B29" s="362"/>
      <c r="C29" s="361"/>
      <c r="D29" s="362"/>
      <c r="E29" s="362"/>
      <c r="F29" s="361"/>
      <c r="G29" s="361"/>
      <c r="H29" s="361"/>
      <c r="I29" s="361"/>
      <c r="J29" s="363"/>
      <c r="K29" s="184"/>
    </row>
    <row r="30" spans="1:12" ht="15" customHeight="1">
      <c r="A30" s="361"/>
      <c r="B30" s="362"/>
      <c r="C30" s="768" t="s">
        <v>268</v>
      </c>
      <c r="D30" s="768"/>
      <c r="E30" s="374"/>
      <c r="F30" s="364"/>
      <c r="G30" s="769" t="s">
        <v>497</v>
      </c>
      <c r="H30" s="769"/>
      <c r="I30" s="769"/>
      <c r="J30" s="365"/>
      <c r="K30" s="184"/>
    </row>
    <row r="31" spans="1:12" ht="15">
      <c r="A31" s="361"/>
      <c r="B31" s="362"/>
      <c r="C31" s="361"/>
      <c r="D31" s="362"/>
      <c r="E31" s="362"/>
      <c r="F31" s="361"/>
      <c r="G31" s="770"/>
      <c r="H31" s="770"/>
      <c r="I31" s="770"/>
      <c r="J31" s="365"/>
      <c r="K31" s="184"/>
    </row>
    <row r="32" spans="1:12" ht="15">
      <c r="A32" s="361"/>
      <c r="B32" s="362"/>
      <c r="C32" s="765" t="s">
        <v>139</v>
      </c>
      <c r="D32" s="765"/>
      <c r="E32" s="374"/>
      <c r="F32" s="364"/>
      <c r="G32" s="361"/>
      <c r="H32" s="361"/>
      <c r="I32" s="361"/>
      <c r="J32" s="361"/>
      <c r="K32" s="184"/>
    </row>
  </sheetData>
  <mergeCells count="7">
    <mergeCell ref="C32:D32"/>
    <mergeCell ref="A2:D2"/>
    <mergeCell ref="K3:L3"/>
    <mergeCell ref="A28:B28"/>
    <mergeCell ref="C30:D30"/>
    <mergeCell ref="G30:I31"/>
    <mergeCell ref="A26:K27"/>
  </mergeCells>
  <dataValidations count="1">
    <dataValidation type="list" allowBlank="1" showInputMessage="1" showErrorMessage="1" sqref="B10:B2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27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 </vt:lpstr>
      <vt:lpstr>ფორმა 5.2 </vt:lpstr>
      <vt:lpstr>ფორმა N5.3</vt:lpstr>
      <vt:lpstr>ფორმა 5.4</vt:lpstr>
      <vt:lpstr>ფორმა 5.5 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 </vt:lpstr>
      <vt:lpstr>ფორმა 9.6 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 '!Print_Area</vt:lpstr>
      <vt:lpstr>'ფორმა 5.4'!Print_Area</vt:lpstr>
      <vt:lpstr>'ფორმა 5.5 '!Print_Area</vt:lpstr>
      <vt:lpstr>'ფორმა 9.3'!Print_Area</vt:lpstr>
      <vt:lpstr>'ფორმა 9.4'!Print_Area</vt:lpstr>
      <vt:lpstr>'ფორმა 9.5 '!Print_Area</vt:lpstr>
      <vt:lpstr>'ფორმა 9.6 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 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dev</cp:lastModifiedBy>
  <cp:lastPrinted>2017-01-24T15:10:08Z</cp:lastPrinted>
  <dcterms:created xsi:type="dcterms:W3CDTF">2011-12-27T13:20:18Z</dcterms:created>
  <dcterms:modified xsi:type="dcterms:W3CDTF">2017-03-13T07:45:03Z</dcterms:modified>
</cp:coreProperties>
</file>