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updateLinks="never" codeName="ThisWorkbook" defaultThemeVersion="124226"/>
  <bookViews>
    <workbookView xWindow="120" yWindow="660" windowWidth="14940" windowHeight="700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N1'!$C$1:$C$125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N4'!$A$9:$D$63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4.2'!$A$1:$I$44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5.2'!$A$1:$I$52</definedName>
    <definedName name="_xlnm.Print_Area" localSheetId="13">'ფორმა 5.4'!$A$1:$H$41</definedName>
    <definedName name="_xlnm.Print_Area" localSheetId="14">'ფორმა 5.5'!$A$1:$L$191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8.1'!$A$1:$H$287</definedName>
    <definedName name="_xlnm.Print_Area" localSheetId="27">'ფორმა N 9.7'!$A$1:$I$48</definedName>
    <definedName name="_xlnm.Print_Area" localSheetId="0">'ფორმა N1'!$A$1:$L$120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N4'!$A$1:$D$89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N9'!$A$1:$K$49</definedName>
    <definedName name="_xlnm.Print_Area" localSheetId="21">'ფორმა N9.1'!$A$1:$H$32</definedName>
    <definedName name="_xlnm.Print_Area" localSheetId="22">'ფორმა N9.2'!$A$1:$I$31</definedName>
    <definedName name="_xlnm.Print_Area" localSheetId="28">'ფორმა N9.7.1'!$A$1:$N$37</definedName>
  </definedNames>
  <calcPr calcId="144525"/>
</workbook>
</file>

<file path=xl/calcChain.xml><?xml version="1.0" encoding="utf-8"?>
<calcChain xmlns="http://schemas.openxmlformats.org/spreadsheetml/2006/main">
  <c r="D18" i="5" l="1"/>
  <c r="C18" i="5"/>
  <c r="C15" i="5"/>
  <c r="D21" i="5" l="1"/>
  <c r="C21" i="5"/>
  <c r="D15" i="5"/>
  <c r="D17" i="5" l="1"/>
  <c r="C17" i="5"/>
  <c r="D14" i="5"/>
  <c r="C14" i="5"/>
  <c r="D11" i="5"/>
  <c r="D10" i="5" s="1"/>
  <c r="C11" i="5"/>
  <c r="C10" i="5" l="1"/>
  <c r="D67" i="12" l="1"/>
  <c r="H188" i="44"/>
  <c r="H186" i="44"/>
  <c r="H184" i="44"/>
  <c r="I175" i="44"/>
  <c r="H175" i="44"/>
  <c r="I174" i="44"/>
  <c r="H174" i="44"/>
  <c r="I173" i="44"/>
  <c r="H173" i="44"/>
  <c r="I172" i="44"/>
  <c r="H172" i="44"/>
  <c r="I167" i="44"/>
  <c r="H167" i="44"/>
  <c r="I162" i="44"/>
  <c r="H162" i="44"/>
  <c r="I161" i="44"/>
  <c r="H161" i="44"/>
  <c r="I160" i="44"/>
  <c r="H160" i="44"/>
  <c r="I159" i="44"/>
  <c r="H159" i="44"/>
  <c r="I158" i="44"/>
  <c r="H158" i="44"/>
  <c r="I157" i="44"/>
  <c r="H157" i="44"/>
  <c r="I78" i="44"/>
  <c r="H78" i="44"/>
  <c r="I72" i="44"/>
  <c r="H72" i="44"/>
  <c r="I26" i="44"/>
  <c r="I25" i="44"/>
  <c r="I24" i="44"/>
  <c r="I23" i="44"/>
  <c r="H22" i="44"/>
  <c r="H21" i="44"/>
  <c r="H20" i="44"/>
  <c r="H19" i="44"/>
  <c r="H18" i="44"/>
  <c r="H17" i="44"/>
  <c r="H16" i="44"/>
  <c r="H211" i="44" s="1"/>
  <c r="H15" i="44"/>
  <c r="H14" i="44"/>
  <c r="H13" i="44"/>
  <c r="I12" i="44"/>
  <c r="I11" i="44"/>
  <c r="I10" i="44"/>
  <c r="I9" i="44"/>
  <c r="I211" i="44" s="1"/>
  <c r="I124" i="30"/>
  <c r="I123" i="30"/>
  <c r="I122" i="30"/>
  <c r="I121" i="30"/>
  <c r="I120" i="30"/>
  <c r="I119" i="30"/>
  <c r="I118" i="30"/>
  <c r="I117" i="30"/>
  <c r="I116" i="30"/>
  <c r="I109" i="30"/>
  <c r="H109" i="30"/>
  <c r="I108" i="30"/>
  <c r="H108" i="30"/>
  <c r="I107" i="30"/>
  <c r="I106" i="30"/>
  <c r="I105" i="30"/>
  <c r="I74" i="30"/>
  <c r="H74" i="30"/>
  <c r="I73" i="30"/>
  <c r="H73" i="30"/>
  <c r="I72" i="30"/>
  <c r="H72" i="30"/>
  <c r="I71" i="30"/>
  <c r="H71" i="30"/>
  <c r="I70" i="30"/>
  <c r="H70" i="30"/>
  <c r="I69" i="30"/>
  <c r="H69" i="30"/>
  <c r="I68" i="30"/>
  <c r="H68" i="30"/>
  <c r="I67" i="30"/>
  <c r="H67" i="30"/>
  <c r="I66" i="30"/>
  <c r="H66" i="30"/>
  <c r="I65" i="30"/>
  <c r="H65" i="30"/>
  <c r="I64" i="30"/>
  <c r="H64" i="30"/>
  <c r="I63" i="30"/>
  <c r="H63" i="30"/>
  <c r="I62" i="30"/>
  <c r="H62" i="30"/>
  <c r="I61" i="30"/>
  <c r="H61" i="30"/>
  <c r="I60" i="30"/>
  <c r="H60" i="30"/>
  <c r="I59" i="30"/>
  <c r="H59" i="30"/>
  <c r="I58" i="30"/>
  <c r="H58" i="30"/>
  <c r="I57" i="30"/>
  <c r="H57" i="30"/>
  <c r="I56" i="30"/>
  <c r="H56" i="30"/>
  <c r="I55" i="30"/>
  <c r="H55" i="30"/>
  <c r="I54" i="30"/>
  <c r="H54" i="30"/>
  <c r="I53" i="30"/>
  <c r="H53" i="30"/>
  <c r="I52" i="30"/>
  <c r="H52" i="30"/>
  <c r="I51" i="30"/>
  <c r="H51" i="30"/>
  <c r="I50" i="30"/>
  <c r="H50" i="30"/>
  <c r="I49" i="30"/>
  <c r="H49" i="30"/>
  <c r="I48" i="30"/>
  <c r="H48" i="30"/>
  <c r="I47" i="30"/>
  <c r="H47" i="30"/>
  <c r="I46" i="30"/>
  <c r="H46" i="30"/>
  <c r="I45" i="30"/>
  <c r="H45" i="30"/>
  <c r="I44" i="30"/>
  <c r="H44" i="30"/>
  <c r="I43" i="30"/>
  <c r="H43" i="30"/>
  <c r="H180" i="30" s="1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80" i="30" s="1"/>
  <c r="I17" i="30"/>
  <c r="A5" i="30"/>
  <c r="A4" i="30"/>
  <c r="D53" i="40"/>
  <c r="C53" i="40"/>
  <c r="C44" i="40"/>
  <c r="D44" i="40"/>
  <c r="D16" i="40"/>
  <c r="C16" i="40"/>
  <c r="D73" i="47" l="1"/>
  <c r="C18" i="7" l="1"/>
  <c r="D18" i="7"/>
  <c r="D13" i="7" l="1"/>
  <c r="C13" i="7"/>
  <c r="C12" i="7" s="1"/>
  <c r="D17" i="7"/>
  <c r="D16" i="7" s="1"/>
  <c r="C17" i="7"/>
  <c r="C16" i="7" s="1"/>
  <c r="D31" i="7"/>
  <c r="C31" i="7"/>
  <c r="C28" i="7"/>
  <c r="C27" i="7" s="1"/>
  <c r="C26" i="7" s="1"/>
  <c r="D27" i="7"/>
  <c r="D26" i="7"/>
  <c r="D19" i="7"/>
  <c r="C19" i="7"/>
  <c r="D12" i="7"/>
  <c r="C12" i="3"/>
  <c r="C18" i="3"/>
  <c r="C16" i="3" s="1"/>
  <c r="D17" i="3"/>
  <c r="D16" i="3" s="1"/>
  <c r="C17" i="3"/>
  <c r="D31" i="3"/>
  <c r="C31" i="3"/>
  <c r="D27" i="3"/>
  <c r="D26" i="3" s="1"/>
  <c r="C27" i="3"/>
  <c r="C26" i="3"/>
  <c r="D19" i="3"/>
  <c r="C19" i="3"/>
  <c r="D12" i="3"/>
  <c r="D10" i="7" l="1"/>
  <c r="D9" i="7" s="1"/>
  <c r="C10" i="7"/>
  <c r="C9" i="7" s="1"/>
  <c r="D10" i="3"/>
  <c r="D9" i="3" s="1"/>
  <c r="C10" i="3"/>
  <c r="C9" i="3" s="1"/>
  <c r="D47" i="12" l="1"/>
  <c r="D17" i="27" l="1"/>
  <c r="D48" i="47"/>
  <c r="C37" i="47"/>
  <c r="C18" i="47"/>
  <c r="D70" i="47"/>
  <c r="D59" i="47"/>
  <c r="C59" i="47"/>
  <c r="D52" i="47"/>
  <c r="C52" i="47"/>
  <c r="C48" i="47"/>
  <c r="D29" i="47"/>
  <c r="C29" i="47"/>
  <c r="D18" i="47"/>
  <c r="D15" i="47"/>
  <c r="C15" i="47"/>
  <c r="D12" i="40" l="1"/>
  <c r="D18" i="26"/>
  <c r="C18" i="26"/>
  <c r="D50" i="40"/>
  <c r="D36" i="40"/>
  <c r="C36" i="40"/>
  <c r="D34" i="40"/>
  <c r="C34" i="40"/>
  <c r="D30" i="40"/>
  <c r="C30" i="40"/>
  <c r="D73" i="40" l="1"/>
  <c r="D60" i="40"/>
  <c r="C60" i="40"/>
  <c r="D58" i="40"/>
  <c r="C58" i="40"/>
  <c r="C50" i="40"/>
  <c r="D49" i="40"/>
  <c r="C49" i="40"/>
  <c r="D46" i="40"/>
  <c r="C46" i="40"/>
  <c r="D35" i="40"/>
  <c r="C35" i="40"/>
  <c r="D29" i="40"/>
  <c r="C29" i="40"/>
  <c r="D28" i="40"/>
  <c r="C28" i="40"/>
  <c r="D27" i="40"/>
  <c r="C27" i="40"/>
  <c r="D26" i="40"/>
  <c r="C26" i="40"/>
  <c r="D25" i="40"/>
  <c r="C25" i="40"/>
  <c r="D22" i="40"/>
  <c r="C22" i="40"/>
  <c r="C12" i="40"/>
  <c r="G12" i="29" l="1"/>
  <c r="H10" i="29"/>
  <c r="G10" i="29"/>
  <c r="H23" i="29"/>
  <c r="I23" i="29" s="1"/>
  <c r="G23" i="29"/>
  <c r="H22" i="29"/>
  <c r="I22" i="29" s="1"/>
  <c r="G22" i="29"/>
  <c r="H21" i="29"/>
  <c r="I21" i="29" s="1"/>
  <c r="G21" i="29"/>
  <c r="H20" i="29"/>
  <c r="I20" i="29" s="1"/>
  <c r="G20" i="29"/>
  <c r="H19" i="29"/>
  <c r="I19" i="29" s="1"/>
  <c r="G19" i="29"/>
  <c r="H18" i="29"/>
  <c r="G18" i="29"/>
  <c r="H17" i="29"/>
  <c r="I17" i="29" s="1"/>
  <c r="G17" i="29"/>
  <c r="H16" i="29"/>
  <c r="I16" i="29" s="1"/>
  <c r="G16" i="29"/>
  <c r="H15" i="29"/>
  <c r="I15" i="29" s="1"/>
  <c r="G15" i="29"/>
  <c r="H14" i="29"/>
  <c r="I14" i="29" s="1"/>
  <c r="G14" i="29"/>
  <c r="H13" i="29"/>
  <c r="I13" i="29" s="1"/>
  <c r="G13" i="29"/>
  <c r="H11" i="29"/>
  <c r="G11" i="29"/>
  <c r="H9" i="29"/>
  <c r="I9" i="29" s="1"/>
  <c r="G9" i="29"/>
  <c r="I11" i="29"/>
  <c r="I12" i="29"/>
  <c r="I24" i="29"/>
  <c r="I27" i="29"/>
  <c r="I28" i="29"/>
  <c r="I31" i="29"/>
  <c r="I32" i="29"/>
  <c r="G8" i="29"/>
  <c r="H8" i="29"/>
  <c r="I8" i="29" s="1"/>
  <c r="I30" i="29"/>
  <c r="I29" i="29"/>
  <c r="I26" i="29"/>
  <c r="I25" i="29"/>
  <c r="I18" i="29"/>
  <c r="I10" i="29"/>
  <c r="C73" i="47" l="1"/>
  <c r="D64" i="47"/>
  <c r="D58" i="47"/>
  <c r="C58" i="47"/>
  <c r="D54" i="47"/>
  <c r="D53" i="47" s="1"/>
  <c r="C53" i="47"/>
  <c r="C47" i="47"/>
  <c r="D47" i="47"/>
  <c r="D38" i="47"/>
  <c r="D36" i="47" s="1"/>
  <c r="C38" i="47"/>
  <c r="C36" i="47" s="1"/>
  <c r="D32" i="47"/>
  <c r="C32" i="47"/>
  <c r="D27" i="47"/>
  <c r="D23" i="47" s="1"/>
  <c r="D17" i="47" s="1"/>
  <c r="C23" i="47"/>
  <c r="C17" i="47" s="1"/>
  <c r="C14" i="47"/>
  <c r="D14" i="47"/>
  <c r="D10" i="47"/>
  <c r="C10" i="47"/>
  <c r="D21" i="27"/>
  <c r="C21" i="27"/>
  <c r="D19" i="27"/>
  <c r="C19" i="27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K173" i="46"/>
  <c r="K172" i="46"/>
  <c r="K171" i="46"/>
  <c r="K170" i="46"/>
  <c r="K169" i="46"/>
  <c r="K168" i="46"/>
  <c r="K167" i="46"/>
  <c r="K166" i="46"/>
  <c r="K165" i="46"/>
  <c r="K164" i="46"/>
  <c r="K163" i="46"/>
  <c r="K162" i="46"/>
  <c r="K161" i="46"/>
  <c r="K160" i="46"/>
  <c r="K159" i="46"/>
  <c r="K158" i="46"/>
  <c r="K157" i="46"/>
  <c r="K156" i="46"/>
  <c r="K155" i="46"/>
  <c r="K154" i="46"/>
  <c r="K153" i="46"/>
  <c r="K152" i="46"/>
  <c r="K151" i="46"/>
  <c r="K150" i="46"/>
  <c r="K149" i="46"/>
  <c r="K148" i="46"/>
  <c r="K147" i="46"/>
  <c r="K146" i="46"/>
  <c r="K145" i="46"/>
  <c r="K144" i="46"/>
  <c r="K143" i="46"/>
  <c r="K142" i="46"/>
  <c r="K141" i="46"/>
  <c r="K140" i="46"/>
  <c r="K139" i="46"/>
  <c r="K138" i="46"/>
  <c r="K137" i="46"/>
  <c r="K136" i="46"/>
  <c r="K135" i="46"/>
  <c r="K134" i="46"/>
  <c r="K133" i="46"/>
  <c r="K132" i="46"/>
  <c r="K131" i="46"/>
  <c r="K130" i="46"/>
  <c r="K129" i="46"/>
  <c r="K128" i="46"/>
  <c r="K127" i="46"/>
  <c r="K126" i="46"/>
  <c r="K125" i="46"/>
  <c r="K124" i="46"/>
  <c r="K123" i="46"/>
  <c r="K122" i="46"/>
  <c r="K121" i="46"/>
  <c r="K120" i="46"/>
  <c r="K119" i="46"/>
  <c r="K118" i="46"/>
  <c r="K117" i="46"/>
  <c r="K116" i="46"/>
  <c r="K115" i="46"/>
  <c r="K114" i="46"/>
  <c r="K113" i="46"/>
  <c r="K112" i="46"/>
  <c r="K111" i="46"/>
  <c r="F110" i="46"/>
  <c r="K110" i="46" s="1"/>
  <c r="K109" i="46"/>
  <c r="K108" i="46"/>
  <c r="K107" i="46"/>
  <c r="K106" i="46"/>
  <c r="F105" i="46"/>
  <c r="K105" i="46" s="1"/>
  <c r="K104" i="46"/>
  <c r="K103" i="46"/>
  <c r="K102" i="46"/>
  <c r="K101" i="46"/>
  <c r="K100" i="46"/>
  <c r="K99" i="46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177" i="46" s="1"/>
  <c r="K21" i="46"/>
  <c r="A6" i="46"/>
  <c r="D13" i="47" l="1"/>
  <c r="D9" i="47" s="1"/>
  <c r="C13" i="47"/>
  <c r="C9" i="47" s="1"/>
  <c r="G275" i="18" l="1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6" i="18" s="1"/>
  <c r="A4" i="33" l="1"/>
  <c r="I19" i="35"/>
  <c r="G19" i="35"/>
  <c r="G18" i="35"/>
  <c r="I18" i="35" s="1"/>
  <c r="H17" i="35"/>
  <c r="I17" i="35" s="1"/>
  <c r="G17" i="35"/>
  <c r="H16" i="35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I16" i="35" l="1"/>
  <c r="J39" i="10"/>
  <c r="J36" i="10" s="1"/>
  <c r="I39" i="10"/>
  <c r="I36" i="10" s="1"/>
  <c r="H39" i="10"/>
  <c r="H36" i="10" s="1"/>
  <c r="G39" i="10"/>
  <c r="F39" i="10"/>
  <c r="F36" i="10" s="1"/>
  <c r="E39" i="10"/>
  <c r="E36" i="10" s="1"/>
  <c r="D39" i="10"/>
  <c r="D36" i="10" s="1"/>
  <c r="G36" i="10"/>
  <c r="C36" i="10"/>
  <c r="C33" i="10" s="1"/>
  <c r="B36" i="10"/>
  <c r="B33" i="10"/>
  <c r="J32" i="10"/>
  <c r="I32" i="10"/>
  <c r="H32" i="10"/>
  <c r="G32" i="10"/>
  <c r="F32" i="10"/>
  <c r="E32" i="10"/>
  <c r="D32" i="10"/>
  <c r="J24" i="10"/>
  <c r="I24" i="10"/>
  <c r="H24" i="10"/>
  <c r="G24" i="10"/>
  <c r="F24" i="10"/>
  <c r="E24" i="10"/>
  <c r="D24" i="10"/>
  <c r="C24" i="10"/>
  <c r="B24" i="10"/>
  <c r="J19" i="10"/>
  <c r="J17" i="10" s="1"/>
  <c r="I19" i="10"/>
  <c r="H19" i="10"/>
  <c r="G19" i="10"/>
  <c r="F19" i="10"/>
  <c r="F17" i="10" s="1"/>
  <c r="E19" i="10"/>
  <c r="D19" i="10"/>
  <c r="D17" i="10" s="1"/>
  <c r="C19" i="10"/>
  <c r="C17" i="10" s="1"/>
  <c r="B19" i="10"/>
  <c r="B17" i="10" s="1"/>
  <c r="I17" i="10"/>
  <c r="H17" i="10"/>
  <c r="G17" i="10"/>
  <c r="E17" i="10"/>
  <c r="E16" i="10"/>
  <c r="E14" i="10" s="1"/>
  <c r="I14" i="10"/>
  <c r="H14" i="10"/>
  <c r="G14" i="10"/>
  <c r="F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I9" i="10"/>
  <c r="D9" i="10" l="1"/>
  <c r="E9" i="10"/>
  <c r="H9" i="10"/>
  <c r="F9" i="10"/>
  <c r="C9" i="10"/>
  <c r="B9" i="10"/>
  <c r="G9" i="10"/>
  <c r="J14" i="10"/>
  <c r="J9" i="10" s="1"/>
  <c r="I10" i="9" l="1"/>
  <c r="I38" i="35" l="1"/>
  <c r="A5" i="9"/>
  <c r="K35" i="55" l="1"/>
  <c r="A6" i="55"/>
  <c r="A5" i="41" l="1"/>
  <c r="A5" i="35"/>
  <c r="A5" i="39"/>
  <c r="A5" i="32"/>
  <c r="A5" i="25"/>
  <c r="A5" i="17"/>
  <c r="A5" i="16"/>
  <c r="A5" i="10"/>
  <c r="A5" i="18"/>
  <c r="A5" i="12"/>
  <c r="A6" i="28"/>
  <c r="A6" i="5"/>
  <c r="A5" i="45"/>
  <c r="A5" i="43"/>
  <c r="A6" i="27"/>
  <c r="A5" i="47"/>
  <c r="A5" i="34"/>
  <c r="A5" i="29"/>
  <c r="A6" i="26"/>
  <c r="A7" i="40"/>
  <c r="A5" i="7"/>
  <c r="A5" i="3"/>
  <c r="H29" i="45" l="1"/>
  <c r="G29" i="45"/>
  <c r="I38" i="43"/>
  <c r="H38" i="43"/>
  <c r="G38" i="43"/>
  <c r="D17" i="28" l="1"/>
  <c r="C17" i="28"/>
  <c r="I34" i="29" l="1"/>
  <c r="M28" i="41" l="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4" i="40" l="1"/>
  <c r="D65" i="40"/>
  <c r="D59" i="40"/>
  <c r="C59" i="40"/>
  <c r="D54" i="40"/>
  <c r="C54" i="40"/>
  <c r="D48" i="40"/>
  <c r="C48" i="40"/>
  <c r="D37" i="40"/>
  <c r="C37" i="40"/>
  <c r="D33" i="40"/>
  <c r="C33" i="40"/>
  <c r="D24" i="40"/>
  <c r="D18" i="40" s="1"/>
  <c r="C24" i="40"/>
  <c r="C18" i="40" s="1"/>
  <c r="D15" i="40"/>
  <c r="C15" i="40"/>
  <c r="D11" i="40"/>
  <c r="C11" i="40"/>
  <c r="A6" i="40"/>
  <c r="C14" i="40" l="1"/>
  <c r="C10" i="40" s="1"/>
  <c r="D14" i="40"/>
  <c r="D10" i="40" s="1"/>
  <c r="A4" i="39" l="1"/>
  <c r="A4" i="35" l="1"/>
  <c r="H34" i="34" l="1"/>
  <c r="G34" i="34"/>
  <c r="A4" i="34"/>
  <c r="A4" i="32" l="1"/>
  <c r="H34" i="29" l="1"/>
  <c r="G34" i="29"/>
  <c r="A4" i="29"/>
  <c r="A5" i="28" l="1"/>
  <c r="D25" i="27"/>
  <c r="C25" i="27"/>
  <c r="A5" i="27"/>
  <c r="D24" i="26"/>
  <c r="C24" i="26"/>
  <c r="A5" i="26"/>
  <c r="A4" i="18" l="1"/>
  <c r="C64" i="12" l="1"/>
  <c r="D64" i="12"/>
  <c r="A4" i="17" l="1"/>
  <c r="A4" i="16"/>
  <c r="A4" i="10"/>
  <c r="A4" i="9"/>
  <c r="A4" i="12"/>
  <c r="A5" i="5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<sst xmlns="http://schemas.openxmlformats.org/spreadsheetml/2006/main" count="5875" uniqueCount="1319">
  <si>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</si>
  <si>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</si>
  <si>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</si>
  <si>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</si>
  <si>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</si>
  <si>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</si>
  <si>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</si>
  <si>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</si>
  <si>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</si>
  <si>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</si>
  <si>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</si>
  <si>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</si>
  <si>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</si>
  <si>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</si>
  <si>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</si>
  <si>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</si>
  <si>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</si>
  <si>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</si>
  <si>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</si>
  <si>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</si>
  <si>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</si>
  <si>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</si>
  <si>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</si>
  <si>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</si>
  <si>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</si>
  <si>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</si>
  <si>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</si>
  <si>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</si>
  <si>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</si>
  <si>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</si>
  <si>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</si>
  <si>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</si>
  <si>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</si>
  <si>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</si>
  <si>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</si>
  <si>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</si>
  <si>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</si>
  <si>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</si>
  <si>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</si>
  <si>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</si>
  <si>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</si>
  <si>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</si>
  <si>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</si>
  <si>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</si>
  <si>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</si>
  <si>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</si>
  <si>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</si>
  <si>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</si>
  <si>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</si>
  <si>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</si>
  <si>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</si>
  <si>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</si>
  <si>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</si>
  <si>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</si>
  <si>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</si>
  <si>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</si>
  <si>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</si>
  <si>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</si>
  <si>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</si>
  <si>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</si>
  <si>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</si>
  <si>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</si>
  <si>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</si>
  <si>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</si>
  <si>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</si>
  <si>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</si>
  <si>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</si>
  <si>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</si>
  <si>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</si>
  <si>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</si>
  <si>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</si>
  <si>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</si>
  <si>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</si>
  <si>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</si>
  <si>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</si>
  <si>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</si>
  <si>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</si>
  <si>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</si>
  <si>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</si>
  <si>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</si>
  <si>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</si>
  <si>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</si>
  <si>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</si>
  <si>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</si>
  <si>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</si>
  <si>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</si>
  <si>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</si>
  <si>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</si>
  <si>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</si>
  <si>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</si>
  <si>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</si>
  <si>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</si>
  <si>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</si>
  <si>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</si>
  <si>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</si>
  <si>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</si>
  <si>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</si>
  <si>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</si>
  <si>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</si>
  <si>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</si>
  <si>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</si>
  <si>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</si>
  <si>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</si>
  <si>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</si>
  <si>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</si>
  <si>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</si>
  <si>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</si>
  <si>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</si>
  <si>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</si>
  <si>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</si>
  <si>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</si>
  <si>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</si>
  <si>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</si>
  <si>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</si>
  <si>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</si>
  <si>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</si>
  <si>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</si>
  <si>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</si>
  <si>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</si>
  <si>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</si>
  <si>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</si>
  <si>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</si>
  <si>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</si>
  <si>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</si>
  <si>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</si>
  <si>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</si>
  <si>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</si>
  <si>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</si>
  <si>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</si>
  <si>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</si>
  <si>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</si>
  <si>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</si>
  <si>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</si>
  <si>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</si>
  <si>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</si>
  <si>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</si>
  <si>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</si>
  <si>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</si>
  <si>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</si>
  <si>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</si>
  <si>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</si>
  <si>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</si>
  <si>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</si>
  <si>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</si>
  <si>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</si>
  <si>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</si>
  <si>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</si>
  <si>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</si>
  <si>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</si>
  <si>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</si>
  <si>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</si>
  <si>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</si>
  <si>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</si>
  <si>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</si>
  <si>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</si>
  <si>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</si>
  <si>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</si>
  <si>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</si>
  <si>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</si>
  <si>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</si>
  <si>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</si>
  <si>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</si>
  <si>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</si>
  <si>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</si>
  <si>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</si>
  <si>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</si>
  <si>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</si>
  <si>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</si>
  <si>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</si>
  <si>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</si>
  <si>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</si>
  <si>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</si>
  <si>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</si>
  <si>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</si>
  <si>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</si>
  <si>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</si>
  <si>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</si>
  <si>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</si>
  <si>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</si>
  <si>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</si>
  <si>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</si>
  <si>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</si>
  <si>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</si>
  <si>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</si>
  <si>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</si>
  <si>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</si>
  <si>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</si>
  <si>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</si>
  <si>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</si>
  <si>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</si>
  <si>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</si>
  <si>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</si>
  <si>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</si>
  <si>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</si>
  <si>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</si>
  <si>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</si>
  <si>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</si>
  <si>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</si>
  <si>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</si>
  <si>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</si>
  <si>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</si>
  <si>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</si>
  <si>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</si>
  <si>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</si>
  <si>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</si>
  <si>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</si>
  <si>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</si>
  <si>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</si>
  <si>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</si>
  <si>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</si>
  <si>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</si>
  <si>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</si>
  <si>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</si>
  <si>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</si>
  <si>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</si>
  <si>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</si>
  <si>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</si>
  <si>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</si>
  <si>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</si>
  <si>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</si>
  <si>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</si>
  <si>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</si>
  <si>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</si>
  <si>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</si>
  <si>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</si>
  <si>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</si>
  <si>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</si>
  <si>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</si>
  <si>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</si>
  <si>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</si>
  <si>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</si>
  <si>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</si>
  <si>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</si>
  <si>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</si>
  <si>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</si>
  <si>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</si>
  <si>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</si>
  <si>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</si>
  <si>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</si>
  <si>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</si>
  <si>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</si>
  <si>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</si>
  <si>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</si>
  <si>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</si>
  <si>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</si>
  <si>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</si>
  <si>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</si>
  <si>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</si>
  <si>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</si>
  <si>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</si>
  <si>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</si>
  <si>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</si>
  <si>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</si>
  <si>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</si>
  <si>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</si>
  <si>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</si>
  <si>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</si>
  <si>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</si>
  <si>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</si>
  <si>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</si>
  <si>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</si>
  <si>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</si>
  <si>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</si>
  <si>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</si>
  <si>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</si>
  <si>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</si>
  <si>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</si>
  <si>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</si>
  <si>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</si>
  <si>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</si>
  <si>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</si>
  <si>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</si>
  <si>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</si>
  <si>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</si>
  <si>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</si>
  <si>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</si>
  <si>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</si>
  <si>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</si>
  <si>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</si>
  <si>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</si>
  <si>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</si>
  <si>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</si>
  <si>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</si>
  <si>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</si>
  <si>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</si>
  <si>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</si>
  <si>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</si>
  <si>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</si>
  <si>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</si>
  <si>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</si>
  <si>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</si>
  <si>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</si>
  <si>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</si>
  <si>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</si>
  <si>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</si>
  <si>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</si>
  <si>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</si>
  <si>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</si>
  <si>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</si>
  <si>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</si>
  <si>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</si>
  <si>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</si>
  <si>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</si>
  <si>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</si>
  <si>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</si>
  <si>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</si>
  <si>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</si>
  <si>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</si>
  <si>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</si>
  <si>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</si>
  <si>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</si>
  <si>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</si>
  <si>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</si>
  <si>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</si>
  <si>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</si>
  <si>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</si>
  <si>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</si>
  <si>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</si>
  <si>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</si>
  <si>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</si>
  <si>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</si>
  <si>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</si>
  <si>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</si>
  <si>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</si>
  <si>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</si>
  <si>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</si>
  <si>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</si>
  <si>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</si>
  <si>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</si>
  <si>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</si>
  <si>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</si>
  <si>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</si>
  <si>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</si>
  <si>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</si>
  <si>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</si>
  <si>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</si>
  <si>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</si>
  <si>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</si>
  <si>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</si>
  <si>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</si>
  <si>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</si>
  <si>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</si>
  <si>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</si>
  <si>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</si>
  <si>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</si>
  <si>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</si>
  <si>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</si>
  <si>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</si>
  <si>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</si>
  <si>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</si>
  <si>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</si>
  <si>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</si>
  <si>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</si>
  <si>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</si>
  <si>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</si>
  <si>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</si>
  <si>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</si>
  <si>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</si>
  <si>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</si>
  <si>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</si>
  <si>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</si>
  <si>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</si>
  <si>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</si>
  <si>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</si>
  <si>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</si>
  <si>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</si>
  <si>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</si>
  <si>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</si>
  <si>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</si>
  <si>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</si>
  <si>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</si>
  <si>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</si>
  <si>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</si>
  <si>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</si>
  <si>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</si>
  <si>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</si>
  <si>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</si>
  <si>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</si>
  <si>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</si>
  <si>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</si>
  <si>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</si>
  <si>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</si>
  <si>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</si>
  <si>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</si>
  <si>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</si>
  <si>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</si>
  <si>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</si>
  <si>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</si>
  <si>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</si>
  <si>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</si>
  <si>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</si>
  <si>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</si>
  <si>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</si>
  <si>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</si>
  <si>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</si>
  <si>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</si>
  <si>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</si>
  <si>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</si>
  <si>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</si>
  <si>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</si>
  <si>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</si>
  <si>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</si>
  <si>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</si>
  <si>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</si>
  <si>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</si>
  <si>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</si>
  <si>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</si>
  <si>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</si>
  <si>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</si>
  <si>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</si>
  <si>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</si>
  <si>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</si>
  <si>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</si>
  <si>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</si>
  <si>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</si>
  <si>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</si>
  <si>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</si>
  <si>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</si>
  <si>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</si>
  <si>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</si>
  <si>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</si>
  <si>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</si>
  <si>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</si>
  <si>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</si>
  <si>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</si>
  <si>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</si>
  <si>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</si>
  <si>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</si>
  <si>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</si>
  <si>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</si>
  <si>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</si>
  <si>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</si>
  <si>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</si>
  <si>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</si>
  <si>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</si>
  <si>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</si>
  <si>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</si>
  <si>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</si>
  <si>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</si>
  <si>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</si>
  <si>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</si>
  <si>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</si>
  <si>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</si>
  <si>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</si>
  <si>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</si>
  <si>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</si>
  <si>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</si>
  <si>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</si>
  <si>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</si>
  <si>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</si>
  <si>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</si>
  <si>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</si>
  <si>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</si>
  <si>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</si>
  <si>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</si>
  <si>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</si>
  <si>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</si>
  <si>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</si>
  <si>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</si>
  <si>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</si>
  <si>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</si>
  <si>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</si>
  <si>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</si>
  <si>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</si>
  <si>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</si>
  <si>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</si>
  <si>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</si>
  <si>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</si>
  <si>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</si>
  <si>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</si>
  <si>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</si>
  <si>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</si>
  <si>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</si>
  <si>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</si>
  <si>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</si>
  <si>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</si>
  <si>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</si>
  <si>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</si>
  <si>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</si>
  <si>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</si>
  <si>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</si>
  <si>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</si>
  <si>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</si>
  <si>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</si>
  <si>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</si>
  <si>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</si>
  <si>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</si>
  <si>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</si>
  <si>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</si>
  <si>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</si>
  <si>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</si>
  <si>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</si>
  <si>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</si>
  <si>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</si>
  <si>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</si>
  <si>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</si>
  <si>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</si>
  <si>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</si>
  <si>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</si>
  <si>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</si>
  <si>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</si>
  <si>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</si>
  <si>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</si>
  <si>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</si>
  <si>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</si>
  <si>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</si>
  <si>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</si>
  <si>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</si>
  <si>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</si>
  <si>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</si>
  <si>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</si>
  <si>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</si>
  <si>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</si>
  <si>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</si>
  <si>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</si>
  <si>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</si>
  <si>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მერაბ თუშიშვილი</t>
  </si>
  <si>
    <t>20001022327</t>
  </si>
  <si>
    <t>0</t>
  </si>
  <si>
    <t>ლიბერთი</t>
  </si>
  <si>
    <t>არაფულადი შემოწირულობა</t>
  </si>
  <si>
    <t>თემურ იშოევი</t>
  </si>
  <si>
    <t>61001004373</t>
  </si>
  <si>
    <t>ქ.ბათუმი, ბარათაშვილის ქ. 29, ბ.22.   ს.კ N05.22.33.015.01.022. საერთო ფართი1549 კვ.მ, პირველი სართული, სამოთახიანი ბინის (67.19 კვ.მ)- ის ორი ოთახი 47კვ.მ.  უსასყიდლოდ სარგებლიბა  92 დთით.</t>
  </si>
  <si>
    <t>ზურაბ ჩიკვაიძე</t>
  </si>
  <si>
    <t>01006006283</t>
  </si>
  <si>
    <t>საქართველოს ბანკი</t>
  </si>
  <si>
    <t>შპს VITA</t>
  </si>
  <si>
    <t>ვითიბი</t>
  </si>
  <si>
    <t>მარინე ჩხარტიშვილი</t>
  </si>
  <si>
    <t xml:space="preserve">ქ. ფოთი, ლაგრანჟეს ქ. N2,  ს/კ 04.02.08.082.01.01.509,დაზუსტებული ფართი 2194 კვ.მ, შენობა ნაგებობის ფართი 1857.7 კვ.მ. ნაგებობის მე 2 სართულზე არსებული 198 კვ.მ ფართი უსასყიდლოდ სარგებლობა 62 დღით </t>
  </si>
  <si>
    <t>ფოთის ჰიდრომექანიზაციის მანქანათმშენებელი ქარხანა</t>
  </si>
  <si>
    <t xml:space="preserve">ქ. ფოთი, ხობის ქ. N7 , განცხადების რეგისტრაციის N B12050145. სახ/რეგისტრაციის N 10/5-703. ორ სართულიანი ადმინისტრაციული ნაგებობის პირველ  სართულზე 100 კვ.მ ფართი უსასყიდლოდ სარგებლობა 62 დღით </t>
  </si>
  <si>
    <t>მერაბ მჟავანაძე</t>
  </si>
  <si>
    <t>61002012360</t>
  </si>
  <si>
    <t>დავით დარახველიძე</t>
  </si>
  <si>
    <t>თიბისი</t>
  </si>
  <si>
    <t>ელდარ ხალვაში</t>
  </si>
  <si>
    <t>ლია მშვილდაძე</t>
  </si>
  <si>
    <t xml:space="preserve">ქ. წყალტუბო, ავალიანის  ქ. N4  ს/კ 29.08.32.066 ,დაზუსტებული ფართი 297 კვ.მ,ერთ სართულიანი ნაგებობის სამი ოთახი   არსებული 80 კვ.მ ფართი უსასყიდლოდ სარგებლობა 62 დღით </t>
  </si>
  <si>
    <t>ია ჭუმბურიძე</t>
  </si>
  <si>
    <t>18001021562</t>
  </si>
  <si>
    <t xml:space="preserve">ქ. ქარელი, ვაჟა-ფშაველას ქ . თაქლის უბანი.  ს/კ 68.10.48.300,დაზუსტებული ფართი 182 კვ.მ, ერთ სართულიანი ნაგებობის   არსებული 70.45 კვ.მ ფართი უსასყიდლოდ სარგებლობა 62 დღით </t>
  </si>
  <si>
    <t>იოსებ ზურაბიშვილი</t>
  </si>
  <si>
    <t>01008036521</t>
  </si>
  <si>
    <t>გრიგორი ნიშნიანიძე</t>
  </si>
  <si>
    <t>01018001399</t>
  </si>
  <si>
    <t>ხათუნა გურჯიშვილი</t>
  </si>
  <si>
    <t>01010002624</t>
  </si>
  <si>
    <t>მარინე პოლიანსკაია</t>
  </si>
  <si>
    <t>57001018889</t>
  </si>
  <si>
    <t>ბესიკ მამულაშვილი</t>
  </si>
  <si>
    <t>01026007844</t>
  </si>
  <si>
    <t>ნიკოლოზ სულხანიშვილი</t>
  </si>
  <si>
    <t>20001007737</t>
  </si>
  <si>
    <t>კობა კობაძე</t>
  </si>
  <si>
    <t>25001006323</t>
  </si>
  <si>
    <t>თამილა გომიაშვილი</t>
  </si>
  <si>
    <t>01006007183</t>
  </si>
  <si>
    <t>კახა ჩაკვეტაძე</t>
  </si>
  <si>
    <t>01015007988</t>
  </si>
  <si>
    <t>დავითი სოსელია</t>
  </si>
  <si>
    <t>01006006284</t>
  </si>
  <si>
    <t>გოჩა ჯაბიძე</t>
  </si>
  <si>
    <t>01026011115</t>
  </si>
  <si>
    <t>ჯამილა მინჯია</t>
  </si>
  <si>
    <t>61001015998</t>
  </si>
  <si>
    <t>მადონა რაზმაძე</t>
  </si>
  <si>
    <t>59001001071</t>
  </si>
  <si>
    <t>დავით კუპატაშვილი</t>
  </si>
  <si>
    <t>01024033013</t>
  </si>
  <si>
    <t>ტარიელ სოფრომაძე</t>
  </si>
  <si>
    <t>01030005290</t>
  </si>
  <si>
    <t>გურანდა ბრელიძე-დუძიაკ</t>
  </si>
  <si>
    <t>01008006421</t>
  </si>
  <si>
    <t>პროკრედიტ ბანკი</t>
  </si>
  <si>
    <t>ბექა მაისურაძე</t>
  </si>
  <si>
    <t>13001000446</t>
  </si>
  <si>
    <t>ლევან მიროტაძე</t>
  </si>
  <si>
    <t>01030011769</t>
  </si>
  <si>
    <t>ლევან ისაკაძე</t>
  </si>
  <si>
    <t>20001021623</t>
  </si>
  <si>
    <t>ბანკი რესპუბლიკა</t>
  </si>
  <si>
    <t>ლენა კიწმარიშვილი</t>
  </si>
  <si>
    <t>01004005807</t>
  </si>
  <si>
    <t>გიული შენგელია</t>
  </si>
  <si>
    <t>01001053903</t>
  </si>
  <si>
    <t>ვასო ხაბულიანი</t>
  </si>
  <si>
    <t>01001015342</t>
  </si>
  <si>
    <t>ჯემალ ძაგნიძე</t>
  </si>
  <si>
    <t>01001051627</t>
  </si>
  <si>
    <t>ნიმერა  ხარბედია</t>
  </si>
  <si>
    <t>სს პოლიგრაფლუქსი</t>
  </si>
  <si>
    <t xml:space="preserve">პლაკატი ა3 300ცალი ( 50ლარი საბაზრო ღირებულება), გაზეთი ა4 ფორმატი საგაზეთო ქაღალდზე 2000 ცალი (70 ლარი საბაზრო ღირებულება) გადასცა უსასყიდლოდ </t>
  </si>
  <si>
    <t>მირიან წითელაშვილი</t>
  </si>
  <si>
    <t>ზურაბ შუკვანი</t>
  </si>
  <si>
    <t>01023009807</t>
  </si>
  <si>
    <t>ბესიკი ლომსაძე</t>
  </si>
  <si>
    <t>01033002615</t>
  </si>
  <si>
    <t>მაჟორიტარი დეპუტატობის კანდიდატის ღონისძიებისათვის გადასცა უსასყიდლოთ (დროებით სარგებლობაში) გახმოვანების აპარატურა</t>
  </si>
  <si>
    <t>ამირან დურგლიშვილი</t>
  </si>
  <si>
    <t>01003003395</t>
  </si>
  <si>
    <t>ქეთევან მამუკიშვილი</t>
  </si>
  <si>
    <t>01013002449</t>
  </si>
  <si>
    <t>შორენა ბუხრაშვილი</t>
  </si>
  <si>
    <t>01010010162</t>
  </si>
  <si>
    <t>ბესარიონ კალანდაძე</t>
  </si>
  <si>
    <t>01024002393</t>
  </si>
  <si>
    <t>მაჟორიტარი დეპუტატობის კანდიდატის ღონისძიებაზე შეასრულა სიმღერა უსასყიდლოთ</t>
  </si>
  <si>
    <t>ვახტანგ ტატიშვილი</t>
  </si>
  <si>
    <t>01024002188</t>
  </si>
  <si>
    <t>გოჩა ჭაბუკაიძე</t>
  </si>
  <si>
    <t>35001049568</t>
  </si>
  <si>
    <t>ნათია ქოროღლიაშვილი</t>
  </si>
  <si>
    <t>13001008069</t>
  </si>
  <si>
    <t>მანანა თოდაძე</t>
  </si>
  <si>
    <t>01005000676</t>
  </si>
  <si>
    <t>ლევან მგალობლიშვილი</t>
  </si>
  <si>
    <t>01024042538</t>
  </si>
  <si>
    <t>მარინა ქაჭაია</t>
  </si>
  <si>
    <t>29001004755</t>
  </si>
  <si>
    <t>ზურაბ ჩინჩალაძე</t>
  </si>
  <si>
    <t>01005013207</t>
  </si>
  <si>
    <t>თინა იმნაძე</t>
  </si>
  <si>
    <t>61001011457</t>
  </si>
  <si>
    <t>ვალერი ქურციკიძე</t>
  </si>
  <si>
    <t>01025006018</t>
  </si>
  <si>
    <t>ზურაბ ხუციშვილი</t>
  </si>
  <si>
    <t>01001016691</t>
  </si>
  <si>
    <t>მიხეილ ზურაბიშვილი</t>
  </si>
  <si>
    <t>01030021247</t>
  </si>
  <si>
    <t>გელა შაინიძე</t>
  </si>
  <si>
    <t>61002016999</t>
  </si>
  <si>
    <t>ავთანდილ დავითაძე</t>
  </si>
  <si>
    <t>01005004676</t>
  </si>
  <si>
    <t>ჯემალი ხუზაურაშვილი</t>
  </si>
  <si>
    <t>14001005610</t>
  </si>
  <si>
    <t>39001000566</t>
  </si>
  <si>
    <t>ლამზირა ბეჟანიძე</t>
  </si>
  <si>
    <t>61004034024</t>
  </si>
  <si>
    <t>62004003053</t>
  </si>
  <si>
    <t>დავით გვაზავა</t>
  </si>
  <si>
    <t>01007000894</t>
  </si>
  <si>
    <t>01020007844</t>
  </si>
  <si>
    <t>მოქალაქეთა  პოლიტიკური გაერთიანება "ეროვნული ფორუმი"</t>
  </si>
  <si>
    <t>01.01.2016-12.31.2016</t>
  </si>
  <si>
    <t>გურამ მჭედლიძე</t>
  </si>
  <si>
    <t>59001093329</t>
  </si>
  <si>
    <t>მამული კუპატაძე</t>
  </si>
  <si>
    <t>01001059019</t>
  </si>
  <si>
    <t>თამარი სისაური</t>
  </si>
  <si>
    <t>31001052910</t>
  </si>
  <si>
    <t>მარინე ნადირაძე</t>
  </si>
  <si>
    <t>01020003247</t>
  </si>
  <si>
    <t>01026013118</t>
  </si>
  <si>
    <t>ლაშა ჯაბიძე</t>
  </si>
  <si>
    <t>საარჩევნო კომისიებში წარმომადგენლების შრომის ანაზღაურება</t>
  </si>
  <si>
    <t>GE172BG0000000187727300</t>
  </si>
  <si>
    <t>07.15.2008</t>
  </si>
  <si>
    <t>სედანი</t>
  </si>
  <si>
    <t>აუდი A6</t>
  </si>
  <si>
    <t>LJA 001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</si>
  <si>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</si>
  <si>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</si>
  <si>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</si>
  <si>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</si>
  <si>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</si>
  <si>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</si>
  <si>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</si>
  <si>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</si>
  <si>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</si>
  <si>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</si>
  <si>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</si>
  <si>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</si>
  <si>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</si>
  <si>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</si>
  <si>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ტარიელ</t>
  </si>
  <si>
    <t>სოფრომაძე</t>
  </si>
  <si>
    <t>QQ650MM</t>
  </si>
  <si>
    <t xml:space="preserve"> 01006006283</t>
  </si>
  <si>
    <t>ზურაბ</t>
  </si>
  <si>
    <t>ჩიკვაიძე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</si>
  <si>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</si>
  <si>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</si>
  <si>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</si>
  <si>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</si>
  <si>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</si>
  <si>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</si>
  <si>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</si>
  <si>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</si>
  <si>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</si>
  <si>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</si>
  <si>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</si>
  <si>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</si>
  <si>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</si>
  <si>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</si>
  <si>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</si>
  <si>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</si>
  <si>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</si>
  <si>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</si>
  <si>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ნიაზ დიასამიძე</t>
  </si>
  <si>
    <t>იჯარა</t>
  </si>
  <si>
    <t>ავთანდილ ბერიძე</t>
  </si>
  <si>
    <t>61008007806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</si>
  <si>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</si>
  <si>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</si>
  <si>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</si>
  <si>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</si>
  <si>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</si>
  <si>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</si>
  <si>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01.11.2016-01.05.2017</t>
  </si>
  <si>
    <t>ქ. თბილისი, ლ. ასათიანის ქ. 52</t>
  </si>
  <si>
    <t>01.07.2016-01.11.2016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</si>
  <si>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</si>
  <si>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</si>
  <si>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</si>
  <si>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</si>
  <si>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</si>
  <si>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</si>
  <si>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</si>
  <si>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</si>
  <si>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</si>
  <si>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ი. პეტრიწის   ქ  3</t>
  </si>
  <si>
    <t>15.06.2016-15.11.2016</t>
  </si>
  <si>
    <t>55 კვ.მ</t>
  </si>
  <si>
    <t>01025011924</t>
  </si>
  <si>
    <t>ელენე</t>
  </si>
  <si>
    <t>ქევხიშვილი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</si>
  <si>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</si>
  <si>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</si>
  <si>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</si>
  <si>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</si>
  <si>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</si>
  <si>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</si>
  <si>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</si>
  <si>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</si>
  <si>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</si>
  <si>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</si>
  <si>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</si>
  <si>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</si>
  <si>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</si>
  <si>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</si>
  <si>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</si>
  <si>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</si>
  <si>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</si>
  <si>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</si>
  <si>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</si>
  <si>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</si>
  <si>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</si>
  <si>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</si>
  <si>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</si>
  <si>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01019068214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</si>
  <si>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</si>
  <si>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</si>
  <si>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</si>
  <si>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</si>
  <si>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</si>
  <si>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</si>
  <si>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</si>
  <si>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</si>
  <si>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</si>
  <si>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</si>
  <si>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</si>
  <si>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</si>
  <si>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</si>
  <si>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</si>
  <si>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</si>
  <si>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</si>
  <si>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</si>
  <si>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</si>
  <si>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</si>
  <si>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</si>
  <si>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რუსთავი, მეგობრობის გამზ. 47-ა</t>
  </si>
  <si>
    <t>15.07.2016-01.11.2016</t>
  </si>
  <si>
    <t>65.78 კვ.მ</t>
  </si>
  <si>
    <t>35001071538</t>
  </si>
  <si>
    <t>ჟიული</t>
  </si>
  <si>
    <t>თანდაშვილი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</si>
  <si>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</si>
  <si>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</si>
  <si>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</si>
  <si>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</si>
  <si>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</si>
  <si>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15.05.2016 - 15.07.2016</t>
  </si>
  <si>
    <t>01026001725</t>
  </si>
  <si>
    <t>ნოდარ</t>
  </si>
  <si>
    <t>ნადირაშვილი</t>
  </si>
  <si>
    <t>15.07.2016 - 15.10.2016</t>
  </si>
  <si>
    <t>68 კვ.მ</t>
  </si>
  <si>
    <t xml:space="preserve">ქ. თელავი, ერეკლე II გამზირი #3 </t>
  </si>
  <si>
    <t>13.06.2016- 13.10.2016</t>
  </si>
  <si>
    <t>77.60 კვ.მ</t>
  </si>
  <si>
    <t>შპს "სასტუმრო თელავი"</t>
  </si>
  <si>
    <t>ქ. გორი, თბილისის ქ. 4-6</t>
  </si>
  <si>
    <t>01.08.2016-01.11.2016</t>
  </si>
  <si>
    <t>210.42 კვ.მ</t>
  </si>
  <si>
    <t xml:space="preserve">ეთერ </t>
  </si>
  <si>
    <t>ლობჟანიძე</t>
  </si>
  <si>
    <t>ქ. ბათუმი, ფრიდონ ხალვაშის გამზ. 362</t>
  </si>
  <si>
    <t>20.07.2016-20.10.2016</t>
  </si>
  <si>
    <t xml:space="preserve">ციური </t>
  </si>
  <si>
    <t>დიასამიძე</t>
  </si>
  <si>
    <t>ქ. ბათუმი,ბარათაშვილის ქ. 29</t>
  </si>
  <si>
    <t>47 კვ.მ</t>
  </si>
  <si>
    <t>თემურ</t>
  </si>
  <si>
    <t>იშოევი</t>
  </si>
  <si>
    <t>ქ. თბილისი, ალეკო გობრონიძის ქ. 10</t>
  </si>
  <si>
    <t>10.08.2016-10.10.2016</t>
  </si>
  <si>
    <t>116.30 კვ.მ</t>
  </si>
  <si>
    <t>01023013302</t>
  </si>
  <si>
    <t xml:space="preserve">ნათია </t>
  </si>
  <si>
    <t>გიორგობიანი</t>
  </si>
  <si>
    <t>01022003096</t>
  </si>
  <si>
    <t>ქ. ზესტაფონი. აღმაშენებლის ქ. 37</t>
  </si>
  <si>
    <t>73 კვ.მ</t>
  </si>
  <si>
    <t>კლარა</t>
  </si>
  <si>
    <t>გოგისვანიძე</t>
  </si>
  <si>
    <t>ქ. ბათუმი, ანგისას დასახლება</t>
  </si>
  <si>
    <t>10.08.2016-10.11.2016</t>
  </si>
  <si>
    <t>80 კვ.მ</t>
  </si>
  <si>
    <t xml:space="preserve">ნიაზ </t>
  </si>
  <si>
    <t>ქ. ყვარელი, ი. ჭავწავაძის ქ, 78</t>
  </si>
  <si>
    <t>53 კვ.მ</t>
  </si>
  <si>
    <t>ნანა</t>
  </si>
  <si>
    <t>სულხანიშვილი</t>
  </si>
  <si>
    <t>ქ. ფოთი, დ. აღმაშენებლის ქ. 20</t>
  </si>
  <si>
    <t>შულაია</t>
  </si>
  <si>
    <t>ლანჩხუთი, სოფელი სუფსა</t>
  </si>
  <si>
    <t xml:space="preserve">43.40 კვ.მ </t>
  </si>
  <si>
    <t xml:space="preserve">ფიქრი </t>
  </si>
  <si>
    <t>დოლიძე</t>
  </si>
  <si>
    <t>ქ. ფოთი, ლაგრანჟეს ქ. 2</t>
  </si>
  <si>
    <t>17.08.2016-17.11.2016</t>
  </si>
  <si>
    <t xml:space="preserve">198 კვ.მ </t>
  </si>
  <si>
    <t>მარინა</t>
  </si>
  <si>
    <t xml:space="preserve"> ჩხარტიშვილი</t>
  </si>
  <si>
    <t>ქ. ფოთი ხობის ქ. 7</t>
  </si>
  <si>
    <t>100 კვ.მ</t>
  </si>
  <si>
    <t>გიაზი</t>
  </si>
  <si>
    <t>ხარჩილავა</t>
  </si>
  <si>
    <t>ქ. რუსთავი, ლეონიძის ქ. 12, ბ.64</t>
  </si>
  <si>
    <t>25.08.2016-25.10.2016</t>
  </si>
  <si>
    <t>76.19 კვ.მ</t>
  </si>
  <si>
    <t>თორნიკე</t>
  </si>
  <si>
    <t>რუხაძე</t>
  </si>
  <si>
    <t>ქ. ბათუმი, გრიშაშვილის ქ. 2, ბ.5</t>
  </si>
  <si>
    <t>01.09.2016-01.11.2016</t>
  </si>
  <si>
    <t>25.07 კვ.მ</t>
  </si>
  <si>
    <t xml:space="preserve">ფატი </t>
  </si>
  <si>
    <t>შაშიკაძე</t>
  </si>
  <si>
    <t>სიღნაღის რ-ნ, ქ. წნორი, დ. აღმაშენებლის  ქ. 5</t>
  </si>
  <si>
    <t>40 დღით</t>
  </si>
  <si>
    <t>70 კვ.მ</t>
  </si>
  <si>
    <t>ვასილ</t>
  </si>
  <si>
    <t>ფოლადაშვილი</t>
  </si>
  <si>
    <t>ქ. სენაკი, რუსთაველის ქ. 227</t>
  </si>
  <si>
    <t>01.09.2016-10.10.2016</t>
  </si>
  <si>
    <t>107 კვ.მ</t>
  </si>
  <si>
    <t>იგორი</t>
  </si>
  <si>
    <t>გოგინავა</t>
  </si>
  <si>
    <t>სს ელექტრომშენი</t>
  </si>
  <si>
    <t>ქ. ქუთაისი, ზ. გამსახურდის გამზ. 13, ნაკვეთი N1-3</t>
  </si>
  <si>
    <t>66.87 კვ.მ</t>
  </si>
  <si>
    <t>დარეჯანი</t>
  </si>
  <si>
    <t>ლოსაბერიძე</t>
  </si>
  <si>
    <t>დაბა ჩხოროწყუ, ჭაჭავაძის ქ. 7</t>
  </si>
  <si>
    <t>01.09.2016-31.10.2016</t>
  </si>
  <si>
    <t>89.90 კვ.მ</t>
  </si>
  <si>
    <t>კესარია</t>
  </si>
  <si>
    <t>ყალიჩავა</t>
  </si>
  <si>
    <t>ნინო</t>
  </si>
  <si>
    <t>თოლორაია</t>
  </si>
  <si>
    <t>ქ. ახალქალაქი, თავისუფლების ქ. 36</t>
  </si>
  <si>
    <t>46.28კვ.მ</t>
  </si>
  <si>
    <t>ვარსენიკ</t>
  </si>
  <si>
    <t>ღევენიან</t>
  </si>
  <si>
    <t>ჰასმიკ</t>
  </si>
  <si>
    <t>თოპალიანი</t>
  </si>
  <si>
    <t>ქ. თბილისი, გურამიშვილის გამზ. N39-ვ</t>
  </si>
  <si>
    <t>47 დღით</t>
  </si>
  <si>
    <t>79.06 კვ.მ</t>
  </si>
  <si>
    <t>01011032680</t>
  </si>
  <si>
    <t>ინა</t>
  </si>
  <si>
    <t>ჯგერენაია</t>
  </si>
  <si>
    <t>ქ. წყალტუბო, ავალიანის ქ. 4</t>
  </si>
  <si>
    <t>05.09.2016-05.11.2016</t>
  </si>
  <si>
    <t>ლია</t>
  </si>
  <si>
    <t>მშვენიერაძე</t>
  </si>
  <si>
    <t>ქ. თბილისი, მიქელაძის ქ.  სუპერმარკეტის წინ, ნაკვეთი23/071</t>
  </si>
  <si>
    <t>08.09.2016-08.10.2016</t>
  </si>
  <si>
    <t>32 კვ.მ</t>
  </si>
  <si>
    <t>01006006779</t>
  </si>
  <si>
    <t>დავით</t>
  </si>
  <si>
    <t>შურღაია</t>
  </si>
  <si>
    <t>შპს "დიღომი 91"</t>
  </si>
  <si>
    <t>ქ. ხაშური, რუსთაველის ქ. 16</t>
  </si>
  <si>
    <t>10.09.2016-10.10.2016</t>
  </si>
  <si>
    <t>48.30 კვ.მ</t>
  </si>
  <si>
    <t>57001039548</t>
  </si>
  <si>
    <t>იდა</t>
  </si>
  <si>
    <t>ხვედელიძე</t>
  </si>
  <si>
    <t>ქ. ქარელი, ვაჟა-ფშაველას ქ. თაქლის უბანი</t>
  </si>
  <si>
    <t>70.45კვ.მ</t>
  </si>
  <si>
    <t>ია</t>
  </si>
  <si>
    <t>ჭუმბურიძე</t>
  </si>
  <si>
    <t>ქ. თბილისი, ლიბანის ქ. 10, კ.2, ბ.29</t>
  </si>
  <si>
    <t>30 კვ.მ</t>
  </si>
  <si>
    <t>01004000199</t>
  </si>
  <si>
    <t>ლაშა</t>
  </si>
  <si>
    <t>წამალაშვილი</t>
  </si>
  <si>
    <t>ქ. თბილისი, კოსტავას ქ. 74</t>
  </si>
  <si>
    <t>08.09.2016-09.10.2016</t>
  </si>
  <si>
    <t>35.5 კვ.მ</t>
  </si>
  <si>
    <t>53001001789</t>
  </si>
  <si>
    <t>იზა</t>
  </si>
  <si>
    <t>მშვილდაძე</t>
  </si>
  <si>
    <t>ქ. თბილისი, ჩოლოყაშვილის ქ. 2 კვ, კ.2, ბ.65</t>
  </si>
  <si>
    <t>14.09.2016-14.10.2016</t>
  </si>
  <si>
    <t>26 კვ.მ</t>
  </si>
  <si>
    <t>01015003084</t>
  </si>
  <si>
    <t>შორენა</t>
  </si>
  <si>
    <t>ჭანკვეტაძე</t>
  </si>
  <si>
    <t>ქ. თერჯოლა. რუსთაველის ქ. 78</t>
  </si>
  <si>
    <t>60 კვ.მ</t>
  </si>
  <si>
    <t>21001003232</t>
  </si>
  <si>
    <t>კორნელი</t>
  </si>
  <si>
    <t>შუღლაძე</t>
  </si>
  <si>
    <t>დაბა ჩაქვი, თამარ მეფის ქ. 33</t>
  </si>
  <si>
    <t>39 კვ.მ</t>
  </si>
  <si>
    <t>61005005053</t>
  </si>
  <si>
    <t>ზვიად</t>
  </si>
  <si>
    <t>კონცელიძე</t>
  </si>
  <si>
    <t>ქ. სამტრედია, აღმაშენებლის გამზ. 335</t>
  </si>
  <si>
    <t>09.09.2016-15.10.2016</t>
  </si>
  <si>
    <t>97 კვ.მ</t>
  </si>
  <si>
    <t>37001018278</t>
  </si>
  <si>
    <t>კახაბერ</t>
  </si>
  <si>
    <t>კორძაძე</t>
  </si>
  <si>
    <t>ქ. ონი, ზურაბ ქაფიანიძის ქ. 1</t>
  </si>
  <si>
    <t>12.09.2016-12.10.2016</t>
  </si>
  <si>
    <t>34001004035</t>
  </si>
  <si>
    <t xml:space="preserve">ფრიდონ </t>
  </si>
  <si>
    <t>ხომასურიძე</t>
  </si>
  <si>
    <t>ქ. დმანისი, 9 აპრილის ქ. 68</t>
  </si>
  <si>
    <t>19.09.2016-19.10.2016</t>
  </si>
  <si>
    <t>25 კვ.მ</t>
  </si>
  <si>
    <t>15001002982</t>
  </si>
  <si>
    <t>ხიდირნაბი</t>
  </si>
  <si>
    <t>დაშდამიროვი</t>
  </si>
  <si>
    <t>ქ. ქობულეთი, თავისუფლების ქ, 6</t>
  </si>
  <si>
    <t>27 კვ.მ</t>
  </si>
  <si>
    <t>61004011775</t>
  </si>
  <si>
    <t>ედიშერ</t>
  </si>
  <si>
    <t>კოხოძე</t>
  </si>
  <si>
    <t xml:space="preserve">დაბა ქედა, ტბელ აბუსერიძის ქ. 9 </t>
  </si>
  <si>
    <t>21.09.2016-21.10.2016</t>
  </si>
  <si>
    <t>35 კვ.მ</t>
  </si>
  <si>
    <t>ავთანდილ</t>
  </si>
  <si>
    <t>ბერიძე</t>
  </si>
  <si>
    <r>
      <t xml:space="preserve">q. </t>
    </r>
    <r>
      <rPr>
        <sz val="10"/>
        <rFont val="Sylfaen"/>
        <family val="1"/>
      </rPr>
      <t xml:space="preserve">ბაღდათი, ნ. კახიანის ქ. 46 </t>
    </r>
    <r>
      <rPr>
        <sz val="10"/>
        <rFont val="AcadNusx"/>
      </rPr>
      <t xml:space="preserve"> </t>
    </r>
  </si>
  <si>
    <t>36.9 კვ.მ</t>
  </si>
  <si>
    <t>09001017550</t>
  </si>
  <si>
    <t>ალისა</t>
  </si>
  <si>
    <t>დემეტრაძე</t>
  </si>
  <si>
    <t>01.01.2016- 01.02.2016</t>
  </si>
  <si>
    <t>01.02.2016- 01.07.2016</t>
  </si>
  <si>
    <t>01.01.2016-01.04.2016</t>
  </si>
  <si>
    <t>01.04.2016-01.07.2016</t>
  </si>
  <si>
    <t>01.01.2016- 01.07.2016</t>
  </si>
  <si>
    <t>56.04 კვ.მ</t>
  </si>
  <si>
    <t>35001028741</t>
  </si>
  <si>
    <t xml:space="preserve">ავთანდილ </t>
  </si>
  <si>
    <t>პაპშვილი</t>
  </si>
  <si>
    <t>ქ. რუსთავი, მ.კოსტავას გამზ. კ.14, ბ.7</t>
  </si>
  <si>
    <t>20.02.2016- 20.07.2016</t>
  </si>
  <si>
    <t>წარმომადგენლობითი ხარჯი</t>
  </si>
  <si>
    <t>ბანკიდან თანხის გამოტანა</t>
  </si>
  <si>
    <t>მივლინება</t>
  </si>
  <si>
    <t>ბანკიდან თანხის გამოტანა (წარმომადგენლობითი ხარჯებისათვის)</t>
  </si>
  <si>
    <t>06.27.2016</t>
  </si>
  <si>
    <t>06.29.2016</t>
  </si>
  <si>
    <t>06.30.2016</t>
  </si>
  <si>
    <t>07.04.2016</t>
  </si>
  <si>
    <t>07.05.2016</t>
  </si>
  <si>
    <t>07.12.2016</t>
  </si>
  <si>
    <t>07.18.2016</t>
  </si>
  <si>
    <t>07.20.2016</t>
  </si>
  <si>
    <t>07.25.2016</t>
  </si>
  <si>
    <t>07.28.2016</t>
  </si>
  <si>
    <t>08.01.2016</t>
  </si>
  <si>
    <t>08.02.2016</t>
  </si>
  <si>
    <t>08.05.2016</t>
  </si>
  <si>
    <t>08.08.2016</t>
  </si>
  <si>
    <t>08.10.2016</t>
  </si>
  <si>
    <t>08.18.2016</t>
  </si>
  <si>
    <t>08.25.2016</t>
  </si>
  <si>
    <t>09.9.2016</t>
  </si>
  <si>
    <t>09.16.2016</t>
  </si>
  <si>
    <t>09.17.2016</t>
  </si>
  <si>
    <t>09.22.2016</t>
  </si>
  <si>
    <t>09.24.2016</t>
  </si>
  <si>
    <t>09.25.2016</t>
  </si>
  <si>
    <t>09.26.2016</t>
  </si>
  <si>
    <t>09.28.2016</t>
  </si>
  <si>
    <t>10.03.2016</t>
  </si>
  <si>
    <t>10.06.2016</t>
  </si>
  <si>
    <t>10.07.2016</t>
  </si>
  <si>
    <t>10.09.2016</t>
  </si>
  <si>
    <t>10.10.2016</t>
  </si>
  <si>
    <t>10.11.2016</t>
  </si>
  <si>
    <t>10.12.2016</t>
  </si>
  <si>
    <t>10.13.2016</t>
  </si>
  <si>
    <t>10.14.2016</t>
  </si>
  <si>
    <t>10.15.2016</t>
  </si>
  <si>
    <t>10.17.2016</t>
  </si>
  <si>
    <t>10.18.2016</t>
  </si>
  <si>
    <t>10.19.2016</t>
  </si>
  <si>
    <t>10.25.2016</t>
  </si>
  <si>
    <t>10.26.2016</t>
  </si>
  <si>
    <t>10.27.2016</t>
  </si>
  <si>
    <t>11.1.2016</t>
  </si>
  <si>
    <t>11.4.2016</t>
  </si>
  <si>
    <t>11.8.2016</t>
  </si>
  <si>
    <t>11.21.2016</t>
  </si>
  <si>
    <t>11.25.2016</t>
  </si>
  <si>
    <t>12.2.2016</t>
  </si>
  <si>
    <t>12.12.2016</t>
  </si>
  <si>
    <t>12.14.2016</t>
  </si>
  <si>
    <t>12.19.2016</t>
  </si>
  <si>
    <t>12.20.2016</t>
  </si>
  <si>
    <t>12.23.2016</t>
  </si>
  <si>
    <t>12.26.2016</t>
  </si>
  <si>
    <t>12.29.2016</t>
  </si>
  <si>
    <t>სატელევიზიო რეკლამის ხარჯი</t>
  </si>
  <si>
    <t>შპს "იბერის TV"</t>
  </si>
  <si>
    <t>მპგ. "ეროვნული ფორუმი"</t>
  </si>
  <si>
    <t>წამი</t>
  </si>
  <si>
    <t>სახელმწიფოს მიერ დაფინანსებული რეკლამა</t>
  </si>
  <si>
    <t>შპს "ტელეკომპანია პირველი"</t>
  </si>
  <si>
    <t>შპს  ტელე-რადიო კომპანია "თრიალეთი"</t>
  </si>
  <si>
    <t>შპს  ტელე-რადიო კორპორაცია "ინფორმკავშირი, ტელევიზია არგო""</t>
  </si>
  <si>
    <t>შპს  ტელე-რადიო კომპანია ბორჯომი</t>
  </si>
  <si>
    <t>ა(ა)იპ  თავისუფალი მედია სივრცე "(ტელეკომპანია გურია TV")</t>
  </si>
  <si>
    <t>შპს ტელეკომპანია დია</t>
  </si>
  <si>
    <t xml:space="preserve">შპს სამაუწყებლო კომპანია იმერვიზია </t>
  </si>
  <si>
    <t>შპს დამოუკიდებელი ტელე-რადიო კომპანია ოდიში</t>
  </si>
  <si>
    <t>შპს ტელეკომპანია თანამგზავრი</t>
  </si>
  <si>
    <t>შპს ტელეკომპანია გურჯაანი</t>
  </si>
  <si>
    <t>შპს ტელეკომპანია "კავკასია"</t>
  </si>
  <si>
    <t>შპს "ტელეარხი 25"</t>
  </si>
  <si>
    <t>სამაუწყებლო კომპანია მეცხრე ტალღა</t>
  </si>
  <si>
    <t>შპს ტელე-რადიო კომპანია "რიონი"</t>
  </si>
  <si>
    <t>ბეჭდური რეკლამი ხარჯი</t>
  </si>
  <si>
    <t>ნინო სულხანიშვილი</t>
  </si>
  <si>
    <t>გელა გელაშვილი</t>
  </si>
  <si>
    <t>ცალი</t>
  </si>
  <si>
    <t>ფლაერის ბეჭდვა</t>
  </si>
  <si>
    <t>შპს რეგტაიმი</t>
  </si>
  <si>
    <t>ბესარიონ ჩუგოშვილი</t>
  </si>
  <si>
    <t>პოსტერების  ბეჭდვა</t>
  </si>
  <si>
    <t>სტიკერები</t>
  </si>
  <si>
    <t>შპს ტორი</t>
  </si>
  <si>
    <t>გაზეთი</t>
  </si>
  <si>
    <t>შპს გამომცემლობა სამშობლო</t>
  </si>
  <si>
    <t>შპს ტოპ არტი</t>
  </si>
  <si>
    <t>სტიკერი</t>
  </si>
  <si>
    <t>ქეთევან ახობაძე</t>
  </si>
  <si>
    <t>ფლაერი</t>
  </si>
  <si>
    <t>გიორგი ხეჩინაშვილი</t>
  </si>
  <si>
    <t>გოჩა მსხილაძე</t>
  </si>
  <si>
    <t>რევაზ შავიშვილი</t>
  </si>
  <si>
    <t>მაგული ლიპარტელიანი</t>
  </si>
  <si>
    <t>ბესიკ ჩუბინიძე</t>
  </si>
  <si>
    <t>ლია სტრიჟაკი</t>
  </si>
  <si>
    <t>სოფიო ბენიძე</t>
  </si>
  <si>
    <t>რამაზ ჭანტურია</t>
  </si>
  <si>
    <t xml:space="preserve">თეიმურაზი ბერაძე </t>
  </si>
  <si>
    <t>გოჩა კუპატაძე</t>
  </si>
  <si>
    <t>შოთა იამანიძე</t>
  </si>
  <si>
    <t>დავით სოსელია</t>
  </si>
  <si>
    <t>თამარ ციხისელი</t>
  </si>
  <si>
    <t>თემურ მაისურაძე</t>
  </si>
  <si>
    <t>ვახტანგ შუკვანი</t>
  </si>
  <si>
    <t>თენგიზ თუთისანი</t>
  </si>
  <si>
    <t>გოჩა ბეგიაშვილი</t>
  </si>
  <si>
    <t>ნოდარ ყურაშვილი</t>
  </si>
  <si>
    <t>ალექსანდრე ნონიაშვილი</t>
  </si>
  <si>
    <t>რობერტ ოდიშელიძე</t>
  </si>
  <si>
    <t>ნანა ქვრივიშვილი</t>
  </si>
  <si>
    <t>მალხაზ ვახტანგაშვილი</t>
  </si>
  <si>
    <t>ზურაბ გელაშვილი</t>
  </si>
  <si>
    <t>აკაკი ლეკიშვილი</t>
  </si>
  <si>
    <t>არმენაკ ფოლორჩიანი</t>
  </si>
  <si>
    <t>თეა თათელიშვილი</t>
  </si>
  <si>
    <t>კახაბერ დვალიშვილი</t>
  </si>
  <si>
    <t>მაია კლდიაშვილი</t>
  </si>
  <si>
    <t>დავით გიორგაძე</t>
  </si>
  <si>
    <t>მერაბ ფანჩულიძე</t>
  </si>
  <si>
    <t>მალხაზ აბრამაშვილი</t>
  </si>
  <si>
    <t>ვლადიმერ კახიანი</t>
  </si>
  <si>
    <t>დიმიტრი სულაქველიძე</t>
  </si>
  <si>
    <t>ანი მიროტაძე</t>
  </si>
  <si>
    <t>ბადრი ონიანი</t>
  </si>
  <si>
    <t>მარინა გოშაძე</t>
  </si>
  <si>
    <t>ოთარ ხარჩილავა</t>
  </si>
  <si>
    <t>აპოლონ გარუჩავა</t>
  </si>
  <si>
    <t>ბიძინა ყალიჩავა</t>
  </si>
  <si>
    <t>მადლენა მახარაძე</t>
  </si>
  <si>
    <t>დალი მართალიშვილი</t>
  </si>
  <si>
    <t>იბრაიმ დიდმანიძე</t>
  </si>
  <si>
    <t>ვანო პაპუნიძე</t>
  </si>
  <si>
    <t xml:space="preserve">ჯუმბერი ინასარიძე </t>
  </si>
  <si>
    <t>ზურაბ ჩუბინიძე</t>
  </si>
  <si>
    <t>თამაზ ბარათაშვილი</t>
  </si>
  <si>
    <t>ზაალ ჯაფარიძე</t>
  </si>
  <si>
    <t>მერაბ აბაშიძე</t>
  </si>
  <si>
    <t>ნუგზარ ზოსიძე</t>
  </si>
  <si>
    <t>სოფიო ცეცხლაძე</t>
  </si>
  <si>
    <t>ჯემალ მინჯია</t>
  </si>
  <si>
    <t>პლაკატი</t>
  </si>
  <si>
    <t>ბერაძე თეიმურაზი</t>
  </si>
  <si>
    <t>შპს ირიდა</t>
  </si>
  <si>
    <t>ბუკლეტი</t>
  </si>
  <si>
    <t>შპს ორანიე ლეუ</t>
  </si>
  <si>
    <t>ტრიპლეტები</t>
  </si>
  <si>
    <t>ანი</t>
  </si>
  <si>
    <t>მიროტაძე</t>
  </si>
  <si>
    <t>ლოგოიანი მაისურები-პარტიის წევრებზე და მხარდამჭერებზე დასარიგებლად</t>
  </si>
  <si>
    <t>აგვისტო</t>
  </si>
  <si>
    <t xml:space="preserve">ზურაბ </t>
  </si>
  <si>
    <t>ბესიკ</t>
  </si>
  <si>
    <t>მამულაშვილი</t>
  </si>
  <si>
    <t>სექტემბერი</t>
  </si>
  <si>
    <t>ვახტანგაშვილი</t>
  </si>
  <si>
    <t>59002001330</t>
  </si>
  <si>
    <t>ბუხრაშვილი</t>
  </si>
  <si>
    <t>ჩუბინიძე</t>
  </si>
  <si>
    <t>თეა</t>
  </si>
  <si>
    <t>თათელიშვილი</t>
  </si>
  <si>
    <t>თამილა</t>
  </si>
  <si>
    <t>გომიაშვილი</t>
  </si>
  <si>
    <t>მაია</t>
  </si>
  <si>
    <t>კლდიაშვილი</t>
  </si>
  <si>
    <t>ქვრივიშვილი</t>
  </si>
  <si>
    <t>დვალიშვილი</t>
  </si>
  <si>
    <t>60001016290</t>
  </si>
  <si>
    <t>მერაბ</t>
  </si>
  <si>
    <t>ფანჩულიძე</t>
  </si>
  <si>
    <t>აპოლონ</t>
  </si>
  <si>
    <t>გარუჩავა</t>
  </si>
  <si>
    <t>სტრიჟაკი</t>
  </si>
  <si>
    <t>01027047996</t>
  </si>
  <si>
    <t>ალექსანდრე</t>
  </si>
  <si>
    <t>ნონიაშვილი</t>
  </si>
  <si>
    <t>გელა</t>
  </si>
  <si>
    <t>გელაშვილი</t>
  </si>
  <si>
    <t>პარტიულ დავალებათა შესრულება</t>
  </si>
  <si>
    <t>ქ. ბათუმი, ხელვაჩაურის რაიონი</t>
  </si>
  <si>
    <t>კახა</t>
  </si>
  <si>
    <t>კუპატაშვილი</t>
  </si>
  <si>
    <t>10001009482</t>
  </si>
  <si>
    <t xml:space="preserve">რაჭა-ლეჩხუმის და გურიის რეგიონებში    </t>
  </si>
  <si>
    <t>კაკაბაძე</t>
  </si>
  <si>
    <t>გიული</t>
  </si>
  <si>
    <t>შუღლიაშვილი</t>
  </si>
  <si>
    <t>01024057988</t>
  </si>
  <si>
    <t>სოსელია</t>
  </si>
  <si>
    <t>გივი</t>
  </si>
  <si>
    <t>მეზურნიშვილი</t>
  </si>
  <si>
    <t>01007002036</t>
  </si>
  <si>
    <t>გრიგორ</t>
  </si>
  <si>
    <t>ნიშნიანიძე</t>
  </si>
  <si>
    <t xml:space="preserve">წალენჯიხის და ჩხოროწყუს რაიონებში    </t>
  </si>
  <si>
    <t>პარტიის ორგანიზაციებთან შეხვედრები</t>
  </si>
  <si>
    <t>სამტრედია, ბაღდათი, ვანი, წყალტუბო, თერჯოლა, ჭიათურა, ხონი, ქ. ქუთაისი</t>
  </si>
  <si>
    <t xml:space="preserve">გიორგი </t>
  </si>
  <si>
    <t>ბერიძიშვილი</t>
  </si>
  <si>
    <t xml:space="preserve">    გიული</t>
  </si>
  <si>
    <t xml:space="preserve">  შუღლიაშვილი</t>
  </si>
  <si>
    <t xml:space="preserve">ვახტანგ </t>
  </si>
  <si>
    <t>შუკვანი</t>
  </si>
  <si>
    <t>01023007693</t>
  </si>
  <si>
    <t>კარლო</t>
  </si>
  <si>
    <t>გაგნიძე</t>
  </si>
  <si>
    <t>01021002259</t>
  </si>
  <si>
    <t>ხათუნა</t>
  </si>
  <si>
    <t>გურჯიშვილი</t>
  </si>
  <si>
    <t>გოჩა</t>
  </si>
  <si>
    <t>ქ. ფოთი</t>
  </si>
  <si>
    <t xml:space="preserve">    კახაბერ</t>
  </si>
  <si>
    <t xml:space="preserve">   შარტავა</t>
  </si>
  <si>
    <t>01008005455</t>
  </si>
  <si>
    <t>კახეთის რეგიონში</t>
  </si>
  <si>
    <t>პოლიანსკაია</t>
  </si>
  <si>
    <t>რაჭა-ლეჩხუმი და ქვემო სვანეთი</t>
  </si>
  <si>
    <t>01001067864</t>
  </si>
  <si>
    <t>გარსევანიშვილი</t>
  </si>
  <si>
    <t>01001050693</t>
  </si>
  <si>
    <t xml:space="preserve">ბესიკ </t>
  </si>
  <si>
    <t>ჩაგუნავა</t>
  </si>
  <si>
    <t>01005000119</t>
  </si>
  <si>
    <t>პარტიული ღონისძიება</t>
  </si>
  <si>
    <t>ქ. ბათუმი</t>
  </si>
  <si>
    <t>ჯილდა</t>
  </si>
  <si>
    <t>მაჭავარიანი</t>
  </si>
  <si>
    <t>62006028057</t>
  </si>
  <si>
    <t>ეკატერინე</t>
  </si>
  <si>
    <t>კვანტალიანი</t>
  </si>
  <si>
    <t>01017056602</t>
  </si>
  <si>
    <t>ასანიძე</t>
  </si>
  <si>
    <t>01008047207</t>
  </si>
  <si>
    <t>ქ. ჭიათურა</t>
  </si>
  <si>
    <t>პარტიის წევრებთან და მხარდამჭერებთან შეხვედრები</t>
  </si>
  <si>
    <t>ქ. სენაკი</t>
  </si>
  <si>
    <t>ქ. თელავი</t>
  </si>
  <si>
    <t>იმერეთის რეგიონში</t>
  </si>
  <si>
    <t>გულნარ</t>
  </si>
  <si>
    <t>01009000553</t>
  </si>
  <si>
    <t>პარტიის წევრებთან  და მხარდამჭერებთან შეხვედრები</t>
  </si>
  <si>
    <t>ქ. ქუთაისი</t>
  </si>
  <si>
    <t>შარტავა</t>
  </si>
  <si>
    <t>ხეჩინაშვილი</t>
  </si>
  <si>
    <t>01008011051</t>
  </si>
  <si>
    <t>ქ. რუსთავში,  სიღნაღის, გურჯაანის, თელავის  რაიონებში</t>
  </si>
  <si>
    <t>გუბაზ</t>
  </si>
  <si>
    <t>სანიკიძე</t>
  </si>
  <si>
    <t>01008013611</t>
  </si>
  <si>
    <t xml:space="preserve">ზესტაფონის და ჭიათურის   რაიონებში </t>
  </si>
  <si>
    <t>ქ. ბათუმში,  ხულოს, შუახევის, ქედის, ხელვაჩაურის, ქობულეთის, სენაკის, ჩხოროწყუს, გორის, ქარელის   რაიონებში</t>
  </si>
  <si>
    <t>მაისურაძე</t>
  </si>
  <si>
    <t>01024001611</t>
  </si>
  <si>
    <t>დაბა დმანისი, ქ. ზესტაფონი,და ქ.ფოთი</t>
  </si>
  <si>
    <t xml:space="preserve"> ქ.ფოთი და ქ. ზუგდიდი</t>
  </si>
  <si>
    <t>ა.სენაკი, ქ. ბათუმი</t>
  </si>
  <si>
    <t xml:space="preserve">შიდა ქართლის რეგიონში </t>
  </si>
  <si>
    <t>ქ.ქუთაისი, ქ. სამტრედია</t>
  </si>
  <si>
    <t>პარტიის ბათუმის საქ.ორგან. აქტივთან შეხვედრა</t>
  </si>
  <si>
    <t>ქ.ბათუმი</t>
  </si>
  <si>
    <t>პარტიის წევრი</t>
  </si>
  <si>
    <t>შავიშვილი</t>
  </si>
  <si>
    <t>01024006197</t>
  </si>
  <si>
    <t xml:space="preserve">დავით </t>
  </si>
  <si>
    <t>ანანიძე</t>
  </si>
  <si>
    <t>კობა</t>
  </si>
  <si>
    <t>ძაძამია</t>
  </si>
  <si>
    <t>51001001535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</si>
  <si>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</si>
  <si>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</si>
  <si>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</si>
  <si>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</si>
  <si>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</si>
  <si>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</si>
  <si>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კარჭაული</t>
  </si>
  <si>
    <t>20001049651</t>
  </si>
  <si>
    <t>ვაჟა</t>
  </si>
  <si>
    <t>სამუშია</t>
  </si>
  <si>
    <t>01012025335</t>
  </si>
  <si>
    <t>ხორბალაძე</t>
  </si>
  <si>
    <t>01024036001</t>
  </si>
  <si>
    <t>პარტიის ოფისებში განსათავსებელი პარტიული ატრიბუტიკის (ბანერი, დროშა) დამზადების საფასური</t>
  </si>
  <si>
    <t>კარდაკარის პროგრამის ფარგლებში პარტიის წევრებისთვის ტრენინგის ჩატარების ხარჯები (ტრენერების ხელფასები)</t>
  </si>
  <si>
    <t>1.2.15.3</t>
  </si>
  <si>
    <t>პარტიული სარეკლამო კლიპის გადაღების , არანჟირებულ კომპოზიციაზე ვოკალის ჩაწერა, ვიდეო გადაღების მომსახურეობის  საფასური, საიმიჯო მუსიკის მომზადების საფასური</t>
  </si>
  <si>
    <t>1.2.15.4</t>
  </si>
  <si>
    <t>პარტიული გაზეთის დიზაინის მომზადების საფასური</t>
  </si>
  <si>
    <t>1.2.15.5</t>
  </si>
  <si>
    <t>1.2.15.6</t>
  </si>
  <si>
    <t>მაჟორიტარი დეპუტატობის კანდიდატის წინასაარჩევნო ღონისძიების ხარჯები (სიმღერების შესრულებისა ,გაზეთის ბეჭდვა და ტექნიკური აპარატურის მომსახურების ხარჯები)</t>
  </si>
  <si>
    <t>პოლიგრაფიული მომსახურება</t>
  </si>
  <si>
    <t>პარტიულ ორგანიზაციებთან შეხვედრები</t>
  </si>
  <si>
    <t>გურიის რეგიონში</t>
  </si>
  <si>
    <t>ვახტანგ</t>
  </si>
  <si>
    <t>კონფერენციების ჩასატარებლად და დელეგატების არჩევა</t>
  </si>
  <si>
    <t xml:space="preserve">შორენა </t>
  </si>
  <si>
    <t>რაიონულ ორგანიზაციებთან და აქტივთან შეხვედრები</t>
  </si>
  <si>
    <t>ქ. ქუთაისი და ჭიათურის რაიონი</t>
  </si>
  <si>
    <t>ქ. რუსთავში და დმანისის რაიონში</t>
  </si>
  <si>
    <t>ლაგოდეხის და საგარეჯოს რაიონებში</t>
  </si>
  <si>
    <t>ქ. ქუთაისი, ქ. თერჯოლა</t>
  </si>
  <si>
    <t>აჭარის ა/რ რაიონებში, გურიის რეგიონებში</t>
  </si>
  <si>
    <t>შუახევის რაიონში</t>
  </si>
  <si>
    <t>ონი, ამბროლაური და ცაგერის რაიონებში</t>
  </si>
  <si>
    <t>გურიის და  იმერეთის მხარე</t>
  </si>
  <si>
    <t>საერთაშორისო ინსტიტუტის მიერ ჩატარებული პარტიული ტრენინგი</t>
  </si>
  <si>
    <t>ქ. წყალტუბო</t>
  </si>
  <si>
    <t xml:space="preserve">სიღნაღის, გურჯაანის, თელავის, საგარეჯოს რაიონებში </t>
  </si>
  <si>
    <t>ქვემო ქართლის რეგიონში</t>
  </si>
  <si>
    <t>სამცხე-ჯავახეთის რეგიონში</t>
  </si>
  <si>
    <t>საერთაშორისო რესპუბლიკური ინსტიტუტის დაგეგმილი პარტიული ტრენინგი</t>
  </si>
  <si>
    <t>დაბა ბაზალეთი</t>
  </si>
  <si>
    <t>ქ. ქუთაისის საქალაქო ორგანიზაციის აქტივთან და პარტიის წევრებთან შეხვედრები</t>
  </si>
  <si>
    <t>პარტიულ დავალებათა შესასრულებლად</t>
  </si>
  <si>
    <t>ქ. ზუგდიდი</t>
  </si>
  <si>
    <t>ქ. ფოთში, ქ. ბათუმში და ჩხოროწყუს რაიონში</t>
  </si>
  <si>
    <t>შიდა ქართლის რეგიონში</t>
  </si>
  <si>
    <t>მცხეთა-თიანეთის რეგიონში</t>
  </si>
  <si>
    <t>გრიგოლ</t>
  </si>
  <si>
    <t>ხუციშვილი</t>
  </si>
  <si>
    <t>ხვიჩა</t>
  </si>
  <si>
    <t>თამაზაშვილი</t>
  </si>
  <si>
    <t xml:space="preserve">სოსელია </t>
  </si>
  <si>
    <t>01019011502</t>
  </si>
  <si>
    <t>14001003597</t>
  </si>
  <si>
    <t>ქ. რუსთავში, მცხეთის, დუშეთის და დმანისის რაიონებში</t>
  </si>
  <si>
    <t xml:space="preserve">პარტიულ დავალებათა შესასრულებლად </t>
  </si>
  <si>
    <t>ქ. ქუთაისში და ქ. სამტრედიაში</t>
  </si>
  <si>
    <t>ხაჩიური</t>
  </si>
  <si>
    <t>რუსიტაშვილი</t>
  </si>
  <si>
    <t>ნუგზარიშვილი</t>
  </si>
  <si>
    <t>01008033167</t>
  </si>
  <si>
    <t>01008037769</t>
  </si>
  <si>
    <t>01010005670</t>
  </si>
  <si>
    <t>აჭაეის ა/რ, გურიის და სამეგრელოს რეგიონში</t>
  </si>
  <si>
    <t>საჯარო რეესტრის  მომსახურება</t>
  </si>
  <si>
    <t>.</t>
  </si>
  <si>
    <t>შპს "პლანეტა ფორტე"</t>
  </si>
  <si>
    <t>მომსახურება</t>
  </si>
  <si>
    <t>16/12/2016</t>
  </si>
  <si>
    <t>თანხის სალაროდან ბანკის ანგარიშზე შეტანა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</si>
</sst>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\ს\ა\ტ\ე\ლ\ე\ვ\ი\ზ\ი\ო\ \რ\ე\კ\ლ\ა\მ\ა"/>
    <numFmt numFmtId="166" formatCode="#,##0.000"/>
  </numFmts>
  <fonts count="4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b/>
      <sz val="9"/>
      <name val="Sylfae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7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6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662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1" fillId="0" borderId="0" xfId="4" applyFont="1" applyBorder="1" applyProtection="1">
      <protection locked="0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5" xfId="2" applyFont="1" applyFill="1" applyBorder="1" applyAlignment="1" applyProtection="1">
      <alignment horizontal="center" vertical="top" wrapText="1"/>
    </xf>
    <xf numFmtId="1" fontId="25" fillId="5" borderId="2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21" fillId="5" borderId="0" xfId="4" applyFont="1" applyFill="1" applyBorder="1" applyProtection="1"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8" xfId="2" applyFont="1" applyFill="1" applyBorder="1" applyAlignment="1" applyProtection="1">
      <alignment horizontal="left" vertical="top"/>
      <protection locked="0"/>
    </xf>
    <xf numFmtId="0" fontId="25" fillId="5" borderId="28" xfId="2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 wrapText="1"/>
      <protection locked="0"/>
    </xf>
    <xf numFmtId="1" fontId="25" fillId="5" borderId="29" xfId="2" applyNumberFormat="1" applyFont="1" applyFill="1" applyBorder="1" applyAlignment="1" applyProtection="1">
      <alignment horizontal="left" vertical="top" wrapText="1"/>
      <protection locked="0"/>
    </xf>
    <xf numFmtId="1" fontId="25" fillId="5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0" borderId="2" xfId="4" applyFont="1" applyBorder="1" applyAlignment="1" applyProtection="1">
      <alignment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2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18" fillId="0" borderId="1" xfId="0" applyFont="1" applyFill="1" applyBorder="1" applyAlignment="1" applyProtection="1">
      <alignment horizontal="left" vertical="center" wrapText="1" indent="2"/>
    </xf>
    <xf numFmtId="0" fontId="34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31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5" fillId="0" borderId="36" xfId="9" applyFont="1" applyBorder="1" applyAlignment="1" applyProtection="1">
      <alignment vertical="center" wrapText="1"/>
      <protection locked="0"/>
    </xf>
    <xf numFmtId="0" fontId="35" fillId="4" borderId="23" xfId="9" applyFont="1" applyFill="1" applyBorder="1" applyAlignment="1" applyProtection="1">
      <alignment vertical="center"/>
      <protection locked="0"/>
    </xf>
    <xf numFmtId="0" fontId="35" fillId="4" borderId="21" xfId="9" applyFont="1" applyFill="1" applyBorder="1" applyAlignment="1" applyProtection="1">
      <alignment vertical="center" wrapText="1"/>
      <protection locked="0"/>
    </xf>
    <xf numFmtId="0" fontId="35" fillId="4" borderId="20" xfId="9" applyFont="1" applyFill="1" applyBorder="1" applyAlignment="1" applyProtection="1">
      <alignment vertical="center" wrapText="1"/>
      <protection locked="0"/>
    </xf>
    <xf numFmtId="49" fontId="35" fillId="0" borderId="21" xfId="9" applyNumberFormat="1" applyFont="1" applyBorder="1" applyAlignment="1" applyProtection="1">
      <alignment vertical="center"/>
      <protection locked="0"/>
    </xf>
    <xf numFmtId="0" fontId="35" fillId="0" borderId="20" xfId="9" applyFont="1" applyBorder="1" applyAlignment="1" applyProtection="1">
      <alignment vertical="center" wrapText="1"/>
      <protection locked="0"/>
    </xf>
    <xf numFmtId="0" fontId="35" fillId="0" borderId="22" xfId="9" applyFont="1" applyBorder="1" applyAlignment="1" applyProtection="1">
      <alignment vertical="center"/>
      <protection locked="0"/>
    </xf>
    <xf numFmtId="0" fontId="35" fillId="0" borderId="21" xfId="9" applyFont="1" applyBorder="1" applyAlignment="1" applyProtection="1">
      <alignment vertical="center" wrapText="1"/>
      <protection locked="0"/>
    </xf>
    <xf numFmtId="14" fontId="35" fillId="0" borderId="21" xfId="9" applyNumberFormat="1" applyFont="1" applyBorder="1" applyAlignment="1" applyProtection="1">
      <alignment vertical="center" wrapText="1"/>
      <protection locked="0"/>
    </xf>
    <xf numFmtId="0" fontId="35" fillId="0" borderId="20" xfId="9" applyFont="1" applyBorder="1" applyAlignment="1" applyProtection="1">
      <alignment horizontal="center" vertical="center"/>
      <protection locked="0"/>
    </xf>
    <xf numFmtId="0" fontId="35" fillId="0" borderId="37" xfId="9" applyFont="1" applyBorder="1" applyAlignment="1" applyProtection="1">
      <alignment vertical="center" wrapText="1"/>
      <protection locked="0"/>
    </xf>
    <xf numFmtId="0" fontId="35" fillId="4" borderId="19" xfId="9" applyFont="1" applyFill="1" applyBorder="1" applyAlignment="1" applyProtection="1">
      <alignment vertical="center"/>
      <protection locked="0"/>
    </xf>
    <xf numFmtId="0" fontId="35" fillId="4" borderId="1" xfId="9" applyFont="1" applyFill="1" applyBorder="1" applyAlignment="1" applyProtection="1">
      <alignment vertical="center" wrapText="1"/>
      <protection locked="0"/>
    </xf>
    <xf numFmtId="0" fontId="35" fillId="4" borderId="18" xfId="9" applyFont="1" applyFill="1" applyBorder="1" applyAlignment="1" applyProtection="1">
      <alignment vertical="center" wrapText="1"/>
      <protection locked="0"/>
    </xf>
    <xf numFmtId="49" fontId="35" fillId="0" borderId="1" xfId="9" applyNumberFormat="1" applyFont="1" applyBorder="1" applyAlignment="1" applyProtection="1">
      <alignment vertical="center"/>
      <protection locked="0"/>
    </xf>
    <xf numFmtId="0" fontId="35" fillId="0" borderId="18" xfId="9" applyFont="1" applyBorder="1" applyAlignment="1" applyProtection="1">
      <alignment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  <xf numFmtId="0" fontId="35" fillId="0" borderId="2" xfId="9" applyFont="1" applyBorder="1" applyAlignment="1" applyProtection="1">
      <alignment vertical="center" wrapText="1"/>
      <protection locked="0"/>
    </xf>
    <xf numFmtId="14" fontId="35" fillId="0" borderId="2" xfId="9" applyNumberFormat="1" applyFont="1" applyBorder="1" applyAlignment="1" applyProtection="1">
      <alignment vertical="center" wrapText="1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8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9" xfId="9" applyFont="1" applyFill="1" applyBorder="1" applyAlignment="1" applyProtection="1">
      <alignment vertical="center"/>
    </xf>
    <xf numFmtId="0" fontId="20" fillId="5" borderId="38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4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0" fontId="18" fillId="5" borderId="39" xfId="1" applyFont="1" applyFill="1" applyBorder="1" applyAlignment="1" applyProtection="1">
      <alignment horizontal="left" vertical="center"/>
    </xf>
    <xf numFmtId="14" fontId="20" fillId="5" borderId="0" xfId="9" applyNumberFormat="1" applyFont="1" applyFill="1" applyBorder="1" applyAlignment="1" applyProtection="1">
      <alignment vertical="center"/>
    </xf>
    <xf numFmtId="164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9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9" xfId="0" applyFont="1" applyFill="1" applyBorder="1" applyAlignment="1" applyProtection="1">
      <alignment vertical="center"/>
    </xf>
    <xf numFmtId="0" fontId="20" fillId="5" borderId="38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9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165" fontId="35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4" fontId="22" fillId="2" borderId="0" xfId="9" applyNumberFormat="1" applyFont="1" applyFill="1" applyBorder="1" applyAlignment="1" applyProtection="1">
      <alignment vertical="center"/>
    </xf>
    <xf numFmtId="0" fontId="20" fillId="2" borderId="0" xfId="9" applyFont="1" applyFill="1" applyBorder="1" applyAlignment="1" applyProtection="1">
      <alignment horizontal="left" vertical="center"/>
    </xf>
    <xf numFmtId="0" fontId="20" fillId="2" borderId="0" xfId="9" applyFont="1" applyFill="1" applyBorder="1" applyAlignment="1" applyProtection="1">
      <alignment vertical="center"/>
    </xf>
    <xf numFmtId="0" fontId="20" fillId="2" borderId="38" xfId="9" applyFont="1" applyFill="1" applyBorder="1" applyAlignment="1" applyProtection="1">
      <alignment vertical="center"/>
      <protection locked="0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33" fillId="5" borderId="39" xfId="0" applyFont="1" applyFill="1" applyBorder="1" applyAlignment="1">
      <alignment vertical="center"/>
    </xf>
    <xf numFmtId="0" fontId="23" fillId="0" borderId="0" xfId="0" applyFont="1" applyBorder="1" applyProtection="1"/>
    <xf numFmtId="0" fontId="18" fillId="0" borderId="0" xfId="0" applyFont="1" applyAlignment="1" applyProtection="1">
      <alignment vertical="top" wrapText="1"/>
      <protection locked="0"/>
    </xf>
    <xf numFmtId="0" fontId="20" fillId="0" borderId="1" xfId="9" applyFont="1" applyBorder="1" applyAlignment="1" applyProtection="1">
      <alignment horizontal="center" vertical="center"/>
      <protection locked="0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0" fontId="35" fillId="0" borderId="1" xfId="9" applyFont="1" applyBorder="1" applyAlignment="1" applyProtection="1">
      <alignment horizontal="center" vertical="center" wrapText="1"/>
      <protection locked="0"/>
    </xf>
    <xf numFmtId="0" fontId="35" fillId="0" borderId="1" xfId="9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49" fontId="35" fillId="0" borderId="1" xfId="9" applyNumberFormat="1" applyFont="1" applyBorder="1" applyAlignment="1" applyProtection="1">
      <alignment horizontal="center" vertical="center"/>
      <protection locked="0"/>
    </xf>
    <xf numFmtId="0" fontId="28" fillId="0" borderId="1" xfId="11" applyFont="1" applyBorder="1" applyAlignment="1" applyProtection="1">
      <alignment horizontal="center" vertical="center" wrapText="1"/>
      <protection locked="0"/>
    </xf>
    <xf numFmtId="0" fontId="20" fillId="4" borderId="1" xfId="9" applyFont="1" applyFill="1" applyBorder="1" applyAlignment="1" applyProtection="1">
      <alignment horizontal="left" vertical="center" wrapText="1"/>
      <protection locked="0"/>
    </xf>
    <xf numFmtId="0" fontId="20" fillId="4" borderId="1" xfId="9" applyFont="1" applyFill="1" applyBorder="1" applyAlignment="1" applyProtection="1">
      <alignment horizontal="left" vertical="center"/>
      <protection locked="0"/>
    </xf>
    <xf numFmtId="0" fontId="20" fillId="0" borderId="1" xfId="9" applyFont="1" applyBorder="1" applyAlignment="1" applyProtection="1">
      <alignment vertical="center" wrapText="1"/>
      <protection locked="0"/>
    </xf>
    <xf numFmtId="0" fontId="12" fillId="0" borderId="1" xfId="0" applyFont="1" applyBorder="1" applyAlignment="1">
      <alignment horizontal="center" vertical="center" wrapText="1"/>
    </xf>
    <xf numFmtId="0" fontId="12" fillId="0" borderId="1" xfId="3" applyBorder="1" applyAlignment="1" applyProtection="1">
      <alignment horizontal="left" vertical="center" wrapText="1"/>
      <protection locked="0"/>
    </xf>
    <xf numFmtId="0" fontId="35" fillId="4" borderId="1" xfId="9" applyFont="1" applyFill="1" applyBorder="1" applyAlignment="1" applyProtection="1">
      <alignment horizontal="left" vertical="center" wrapText="1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2" fillId="0" borderId="1" xfId="15" applyBorder="1" applyAlignment="1">
      <alignment horizontal="center" vertical="center"/>
    </xf>
    <xf numFmtId="14" fontId="2" fillId="0" borderId="1" xfId="15" applyNumberFormat="1" applyBorder="1" applyAlignment="1">
      <alignment horizontal="center" vertical="center"/>
    </xf>
    <xf numFmtId="0" fontId="12" fillId="0" borderId="1" xfId="3" applyBorder="1" applyAlignment="1" applyProtection="1">
      <alignment horizontal="center" vertical="center"/>
      <protection locked="0"/>
    </xf>
    <xf numFmtId="0" fontId="12" fillId="0" borderId="1" xfId="3" applyBorder="1" applyAlignment="1" applyProtection="1">
      <alignment horizontal="center" vertical="center" wrapText="1"/>
      <protection locked="0"/>
    </xf>
    <xf numFmtId="0" fontId="20" fillId="0" borderId="1" xfId="9" applyFont="1" applyBorder="1" applyAlignment="1" applyProtection="1">
      <alignment horizontal="center" vertical="center" wrapText="1"/>
      <protection locked="0"/>
    </xf>
    <xf numFmtId="4" fontId="20" fillId="0" borderId="1" xfId="9" applyNumberFormat="1" applyFont="1" applyBorder="1" applyAlignment="1" applyProtection="1">
      <alignment horizontal="center" vertical="center"/>
      <protection locked="0"/>
    </xf>
    <xf numFmtId="49" fontId="12" fillId="0" borderId="1" xfId="0" applyNumberFormat="1" applyFont="1" applyBorder="1" applyAlignment="1">
      <alignment horizontal="center" vertical="center"/>
    </xf>
    <xf numFmtId="0" fontId="20" fillId="0" borderId="1" xfId="11" applyFont="1" applyBorder="1" applyAlignment="1" applyProtection="1">
      <alignment horizontal="center" vertical="center" wrapText="1"/>
      <protection locked="0"/>
    </xf>
    <xf numFmtId="0" fontId="21" fillId="0" borderId="1" xfId="15" applyFont="1" applyBorder="1" applyAlignment="1">
      <alignment horizontal="center" vertical="center"/>
    </xf>
    <xf numFmtId="0" fontId="12" fillId="0" borderId="1" xfId="3" applyFont="1" applyBorder="1" applyAlignment="1" applyProtection="1">
      <alignment horizontal="center" vertical="center"/>
      <protection locked="0"/>
    </xf>
    <xf numFmtId="0" fontId="12" fillId="0" borderId="1" xfId="3" applyFont="1" applyBorder="1" applyAlignment="1" applyProtection="1">
      <alignment horizontal="left" vertical="center" wrapText="1"/>
      <protection locked="0"/>
    </xf>
    <xf numFmtId="0" fontId="12" fillId="0" borderId="1" xfId="3" applyFont="1" applyBorder="1" applyAlignment="1" applyProtection="1">
      <alignment horizontal="center" vertical="center" wrapText="1"/>
      <protection locked="0"/>
    </xf>
    <xf numFmtId="49" fontId="20" fillId="0" borderId="1" xfId="9" applyNumberFormat="1" applyFont="1" applyBorder="1" applyAlignment="1" applyProtection="1">
      <alignment horizontal="center" vertical="center"/>
      <protection locked="0"/>
    </xf>
    <xf numFmtId="4" fontId="18" fillId="0" borderId="1" xfId="3" applyNumberFormat="1" applyFont="1" applyBorder="1" applyAlignment="1" applyProtection="1">
      <alignment horizontal="center" vertical="center"/>
      <protection locked="0"/>
    </xf>
    <xf numFmtId="0" fontId="12" fillId="4" borderId="1" xfId="3" applyFont="1" applyFill="1" applyBorder="1" applyAlignment="1" applyProtection="1">
      <alignment horizontal="left" vertical="center" wrapText="1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49" fontId="18" fillId="0" borderId="1" xfId="1" applyNumberFormat="1" applyFont="1" applyFill="1" applyBorder="1" applyAlignment="1" applyProtection="1">
      <alignment horizontal="center" vertical="center" wrapText="1"/>
    </xf>
    <xf numFmtId="0" fontId="20" fillId="0" borderId="1" xfId="9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Fill="1" applyBorder="1" applyAlignment="1" applyProtection="1">
      <alignment horizontal="center" vertical="center" wrapText="1"/>
      <protection locked="0"/>
    </xf>
    <xf numFmtId="0" fontId="12" fillId="0" borderId="1" xfId="3" applyFill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horizontal="center" vertical="center"/>
    </xf>
    <xf numFmtId="0" fontId="12" fillId="0" borderId="1" xfId="3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Border="1" applyAlignment="1" applyProtection="1">
      <alignment horizontal="center" vertical="center"/>
      <protection locked="0"/>
    </xf>
    <xf numFmtId="14" fontId="18" fillId="0" borderId="1" xfId="3" applyNumberFormat="1" applyFont="1" applyFill="1" applyBorder="1" applyAlignment="1" applyProtection="1">
      <alignment horizontal="center" vertical="center"/>
      <protection locked="0"/>
    </xf>
    <xf numFmtId="4" fontId="20" fillId="0" borderId="1" xfId="9" applyNumberFormat="1" applyFont="1" applyFill="1" applyBorder="1" applyAlignment="1" applyProtection="1">
      <alignment horizontal="center" vertical="center"/>
      <protection locked="0"/>
    </xf>
    <xf numFmtId="49" fontId="18" fillId="0" borderId="1" xfId="3" applyNumberFormat="1" applyFont="1" applyFill="1" applyBorder="1" applyAlignment="1" applyProtection="1">
      <alignment horizontal="center" vertical="center"/>
      <protection locked="0"/>
    </xf>
    <xf numFmtId="0" fontId="20" fillId="0" borderId="1" xfId="11" applyFont="1" applyFill="1" applyBorder="1" applyAlignment="1" applyProtection="1">
      <alignment horizontal="center" vertical="center" wrapText="1"/>
      <protection locked="0"/>
    </xf>
    <xf numFmtId="4" fontId="18" fillId="0" borderId="1" xfId="3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>
      <alignment horizontal="center" vertical="center"/>
    </xf>
    <xf numFmtId="0" fontId="28" fillId="0" borderId="1" xfId="1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35" fillId="0" borderId="18" xfId="9" applyFont="1" applyBorder="1" applyAlignment="1" applyProtection="1">
      <alignment horizontal="center" vertical="center" wrapText="1"/>
      <protection locked="0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2" xfId="11" applyFont="1" applyFill="1" applyBorder="1" applyAlignment="1" applyProtection="1">
      <alignment vertical="center" wrapText="1"/>
      <protection locked="0"/>
    </xf>
    <xf numFmtId="1" fontId="25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5" fillId="0" borderId="27" xfId="2" applyNumberFormat="1" applyFont="1" applyFill="1" applyBorder="1" applyAlignment="1" applyProtection="1">
      <alignment horizontal="center" vertical="center" wrapText="1"/>
      <protection locked="0"/>
    </xf>
    <xf numFmtId="14" fontId="20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0" fontId="25" fillId="0" borderId="26" xfId="2" applyFont="1" applyFill="1" applyBorder="1" applyAlignment="1" applyProtection="1">
      <alignment horizontal="center" vertical="center" wrapText="1"/>
      <protection locked="0"/>
    </xf>
    <xf numFmtId="0" fontId="20" fillId="0" borderId="1" xfId="4" applyFont="1" applyFill="1" applyBorder="1" applyAlignment="1" applyProtection="1">
      <alignment vertical="center" wrapText="1"/>
      <protection locked="0"/>
    </xf>
    <xf numFmtId="4" fontId="28" fillId="0" borderId="1" xfId="0" applyNumberFormat="1" applyFont="1" applyBorder="1" applyAlignment="1">
      <alignment horizontal="center" vertical="center" wrapText="1"/>
    </xf>
    <xf numFmtId="0" fontId="20" fillId="0" borderId="1" xfId="16" applyFont="1" applyBorder="1" applyAlignment="1" applyProtection="1">
      <alignment horizontal="center" vertical="center" wrapText="1"/>
      <protection locked="0"/>
    </xf>
    <xf numFmtId="49" fontId="20" fillId="0" borderId="1" xfId="16" applyNumberFormat="1" applyFont="1" applyBorder="1" applyAlignment="1" applyProtection="1">
      <alignment horizontal="center" vertical="center" wrapText="1"/>
      <protection locked="0"/>
    </xf>
    <xf numFmtId="4" fontId="18" fillId="0" borderId="1" xfId="0" applyNumberFormat="1" applyFont="1" applyBorder="1" applyAlignment="1">
      <alignment horizontal="center" vertical="center" wrapText="1"/>
    </xf>
    <xf numFmtId="0" fontId="18" fillId="0" borderId="1" xfId="16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4" fontId="28" fillId="0" borderId="34" xfId="0" applyNumberFormat="1" applyFont="1" applyBorder="1" applyAlignment="1">
      <alignment horizontal="center" vertical="center" wrapText="1"/>
    </xf>
    <xf numFmtId="0" fontId="18" fillId="0" borderId="34" xfId="16" applyFont="1" applyFill="1" applyBorder="1" applyAlignment="1" applyProtection="1">
      <alignment horizontal="center" vertical="center" wrapText="1"/>
      <protection locked="0"/>
    </xf>
    <xf numFmtId="0" fontId="20" fillId="0" borderId="34" xfId="16" applyFont="1" applyBorder="1" applyAlignment="1" applyProtection="1">
      <alignment horizontal="center" vertical="center" wrapText="1"/>
      <protection locked="0"/>
    </xf>
    <xf numFmtId="49" fontId="18" fillId="0" borderId="34" xfId="1" applyNumberFormat="1" applyFont="1" applyFill="1" applyBorder="1" applyAlignment="1" applyProtection="1">
      <alignment horizontal="center" vertical="center" wrapText="1"/>
    </xf>
    <xf numFmtId="0" fontId="18" fillId="0" borderId="34" xfId="1" applyFont="1" applyFill="1" applyBorder="1" applyAlignment="1" applyProtection="1">
      <alignment horizontal="center" vertical="center" wrapText="1"/>
    </xf>
    <xf numFmtId="0" fontId="20" fillId="0" borderId="32" xfId="4" applyFont="1" applyBorder="1" applyAlignment="1" applyProtection="1">
      <alignment vertical="center" wrapText="1"/>
      <protection locked="0"/>
    </xf>
    <xf numFmtId="14" fontId="12" fillId="0" borderId="1" xfId="3" applyNumberFormat="1" applyFont="1" applyFill="1" applyBorder="1" applyAlignment="1" applyProtection="1">
      <alignment horizontal="center" vertical="center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5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12" fillId="0" borderId="34" xfId="3" applyNumberFormat="1" applyFont="1" applyFill="1" applyBorder="1" applyAlignment="1" applyProtection="1">
      <alignment horizontal="center" vertical="center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vertical="top" wrapText="1"/>
      <protection locked="0"/>
    </xf>
    <xf numFmtId="49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25" fillId="0" borderId="1" xfId="2" applyNumberFormat="1" applyFont="1" applyFill="1" applyBorder="1" applyAlignment="1" applyProtection="1">
      <alignment horizontal="right" vertical="top" wrapText="1"/>
      <protection locked="0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0" fontId="22" fillId="5" borderId="5" xfId="16" applyFont="1" applyFill="1" applyBorder="1" applyAlignment="1" applyProtection="1">
      <alignment horizontal="left" vertical="center" wrapText="1"/>
    </xf>
    <xf numFmtId="0" fontId="22" fillId="5" borderId="1" xfId="16" applyFont="1" applyFill="1" applyBorder="1" applyAlignment="1" applyProtection="1">
      <alignment horizontal="center" vertical="center" wrapText="1"/>
    </xf>
    <xf numFmtId="49" fontId="22" fillId="5" borderId="1" xfId="16" applyNumberFormat="1" applyFont="1" applyFill="1" applyBorder="1" applyAlignment="1" applyProtection="1">
      <alignment horizontal="center" vertical="center" wrapText="1"/>
    </xf>
    <xf numFmtId="0" fontId="22" fillId="5" borderId="5" xfId="16" applyFont="1" applyFill="1" applyBorder="1" applyAlignment="1" applyProtection="1">
      <alignment horizontal="center" vertical="center" wrapText="1"/>
    </xf>
    <xf numFmtId="0" fontId="20" fillId="0" borderId="1" xfId="16" applyFont="1" applyFill="1" applyBorder="1" applyAlignment="1" applyProtection="1">
      <alignment horizontal="center" vertical="center" wrapText="1"/>
      <protection locked="0"/>
    </xf>
    <xf numFmtId="0" fontId="20" fillId="0" borderId="1" xfId="16" applyFont="1" applyFill="1" applyBorder="1" applyAlignment="1" applyProtection="1">
      <alignment horizontal="left" vertical="center" wrapText="1"/>
      <protection locked="0"/>
    </xf>
    <xf numFmtId="0" fontId="20" fillId="0" borderId="1" xfId="16" applyFont="1" applyFill="1" applyBorder="1" applyAlignment="1" applyProtection="1">
      <alignment vertical="center" wrapText="1"/>
      <protection locked="0"/>
    </xf>
    <xf numFmtId="49" fontId="20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1" fillId="0" borderId="1" xfId="16" applyFont="1" applyFill="1" applyBorder="1" applyAlignment="1" applyProtection="1">
      <alignment vertical="center" wrapText="1"/>
      <protection locked="0"/>
    </xf>
    <xf numFmtId="49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" fillId="0" borderId="1" xfId="15" applyFill="1" applyBorder="1" applyAlignment="1">
      <alignment horizontal="center" vertical="center"/>
    </xf>
    <xf numFmtId="0" fontId="18" fillId="0" borderId="1" xfId="0" applyFont="1" applyFill="1" applyBorder="1"/>
    <xf numFmtId="0" fontId="34" fillId="0" borderId="1" xfId="0" applyFont="1" applyFill="1" applyBorder="1"/>
    <xf numFmtId="0" fontId="20" fillId="0" borderId="1" xfId="16" applyFont="1" applyBorder="1" applyAlignment="1" applyProtection="1">
      <alignment vertical="center" wrapText="1"/>
      <protection locked="0"/>
    </xf>
    <xf numFmtId="49" fontId="20" fillId="0" borderId="1" xfId="16" applyNumberFormat="1" applyFont="1" applyBorder="1" applyAlignment="1" applyProtection="1">
      <alignment vertical="center" wrapText="1"/>
      <protection locked="0"/>
    </xf>
    <xf numFmtId="0" fontId="21" fillId="0" borderId="0" xfId="16" applyFont="1" applyProtection="1">
      <protection locked="0"/>
    </xf>
    <xf numFmtId="49" fontId="0" fillId="0" borderId="0" xfId="0" applyNumberFormat="1" applyProtection="1">
      <protection locked="0"/>
    </xf>
    <xf numFmtId="49" fontId="18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0" fontId="25" fillId="0" borderId="6" xfId="2" applyFont="1" applyFill="1" applyBorder="1" applyAlignment="1" applyProtection="1">
      <alignment horizontal="right" vertical="center" wrapText="1"/>
      <protection locked="0"/>
    </xf>
    <xf numFmtId="2" fontId="25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25" fillId="5" borderId="6" xfId="2" applyNumberFormat="1" applyFont="1" applyFill="1" applyBorder="1" applyAlignment="1" applyProtection="1">
      <alignment horizontal="right" vertical="top" wrapText="1"/>
      <protection locked="0"/>
    </xf>
    <xf numFmtId="14" fontId="28" fillId="0" borderId="2" xfId="11" applyNumberFormat="1" applyFont="1" applyBorder="1" applyAlignment="1" applyProtection="1">
      <alignment horizontal="right" vertical="center" wrapText="1"/>
      <protection locked="0"/>
    </xf>
    <xf numFmtId="2" fontId="25" fillId="0" borderId="6" xfId="2" applyNumberFormat="1" applyFont="1" applyFill="1" applyBorder="1" applyAlignment="1" applyProtection="1">
      <alignment horizontal="center" vertical="center" wrapText="1"/>
      <protection locked="0"/>
    </xf>
    <xf numFmtId="4" fontId="26" fillId="5" borderId="6" xfId="2" applyNumberFormat="1" applyFont="1" applyFill="1" applyBorder="1" applyAlignment="1" applyProtection="1">
      <alignment horizontal="right" vertical="top" wrapText="1"/>
      <protection locked="0"/>
    </xf>
    <xf numFmtId="14" fontId="28" fillId="0" borderId="2" xfId="5" applyNumberFormat="1" applyFont="1" applyFill="1" applyBorder="1" applyAlignment="1" applyProtection="1">
      <alignment wrapText="1"/>
      <protection locked="0"/>
    </xf>
    <xf numFmtId="0" fontId="25" fillId="0" borderId="6" xfId="2" applyNumberFormat="1" applyFont="1" applyFill="1" applyBorder="1" applyAlignment="1" applyProtection="1">
      <alignment horizontal="left" vertical="top" wrapText="1"/>
      <protection locked="0"/>
    </xf>
    <xf numFmtId="1" fontId="25" fillId="0" borderId="9" xfId="2" applyNumberFormat="1" applyFont="1" applyFill="1" applyBorder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horizontal="left" vertical="center" wrapText="1"/>
    </xf>
    <xf numFmtId="166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35" fillId="0" borderId="1" xfId="10" applyNumberFormat="1" applyFont="1" applyFill="1" applyBorder="1" applyAlignment="1" applyProtection="1">
      <alignment horizontal="left" vertical="center" wrapText="1"/>
      <protection locked="0"/>
    </xf>
    <xf numFmtId="165" fontId="35" fillId="2" borderId="1" xfId="10" applyNumberFormat="1" applyFont="1" applyFill="1" applyBorder="1" applyAlignment="1" applyProtection="1">
      <alignment horizontal="left" vertical="center" wrapText="1"/>
      <protection locked="0"/>
    </xf>
    <xf numFmtId="4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center"/>
    </xf>
    <xf numFmtId="0" fontId="18" fillId="5" borderId="0" xfId="0" applyFont="1" applyFill="1" applyBorder="1" applyAlignment="1" applyProtection="1">
      <alignment horizontal="left" vertical="center"/>
    </xf>
    <xf numFmtId="0" fontId="18" fillId="5" borderId="0" xfId="0" applyFont="1" applyFill="1" applyAlignment="1" applyProtection="1">
      <alignment horizontal="left" vertical="center"/>
    </xf>
    <xf numFmtId="0" fontId="18" fillId="2" borderId="0" xfId="0" applyFont="1" applyFill="1" applyBorder="1" applyAlignment="1" applyProtection="1">
      <alignment horizontal="left" vertical="center"/>
    </xf>
    <xf numFmtId="3" fontId="42" fillId="6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49" fontId="12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38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23" fillId="0" borderId="1" xfId="0" applyFont="1" applyFill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1" xfId="1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23" fillId="6" borderId="1" xfId="1" applyFont="1" applyFill="1" applyBorder="1" applyAlignment="1" applyProtection="1">
      <alignment horizontal="left" vertical="center" wrapText="1" indent="1"/>
    </xf>
    <xf numFmtId="4" fontId="23" fillId="5" borderId="1" xfId="1" applyNumberFormat="1" applyFont="1" applyFill="1" applyBorder="1" applyAlignment="1" applyProtection="1">
      <alignment horizontal="right" vertical="center"/>
    </xf>
    <xf numFmtId="4" fontId="23" fillId="5" borderId="1" xfId="1" applyNumberFormat="1" applyFont="1" applyFill="1" applyBorder="1" applyAlignment="1" applyProtection="1">
      <alignment horizontal="right" vertical="center" wrapText="1"/>
    </xf>
    <xf numFmtId="4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2" borderId="1" xfId="1" applyNumberFormat="1" applyFont="1" applyFill="1" applyBorder="1" applyAlignment="1" applyProtection="1">
      <alignment horizontal="right" vertical="center"/>
      <protection locked="0"/>
    </xf>
    <xf numFmtId="4" fontId="23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0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2" applyNumberFormat="1" applyFont="1" applyFill="1" applyBorder="1" applyAlignment="1" applyProtection="1">
      <alignment horizontal="right" vertical="top"/>
    </xf>
    <xf numFmtId="4" fontId="18" fillId="5" borderId="34" xfId="1" applyNumberFormat="1" applyFont="1" applyFill="1" applyBorder="1" applyAlignment="1" applyProtection="1">
      <alignment horizontal="right" vertical="center" wrapText="1"/>
    </xf>
    <xf numFmtId="4" fontId="23" fillId="5" borderId="4" xfId="3" applyNumberFormat="1" applyFont="1" applyFill="1" applyBorder="1" applyAlignment="1" applyProtection="1">
      <alignment horizontal="right"/>
    </xf>
    <xf numFmtId="4" fontId="18" fillId="0" borderId="4" xfId="3" applyNumberFormat="1" applyFont="1" applyFill="1" applyBorder="1" applyAlignment="1" applyProtection="1">
      <alignment horizontal="right"/>
      <protection locked="0"/>
    </xf>
    <xf numFmtId="4" fontId="18" fillId="5" borderId="32" xfId="1" applyNumberFormat="1" applyFont="1" applyFill="1" applyBorder="1" applyAlignment="1" applyProtection="1">
      <alignment horizontal="right" vertical="center" wrapText="1"/>
    </xf>
    <xf numFmtId="4" fontId="18" fillId="0" borderId="4" xfId="3" applyNumberFormat="1" applyFont="1" applyBorder="1" applyAlignment="1" applyProtection="1">
      <alignment horizontal="right"/>
      <protection locked="0"/>
    </xf>
    <xf numFmtId="4" fontId="23" fillId="5" borderId="2" xfId="0" applyNumberFormat="1" applyFont="1" applyFill="1" applyBorder="1" applyProtection="1"/>
    <xf numFmtId="4" fontId="23" fillId="2" borderId="4" xfId="0" applyNumberFormat="1" applyFont="1" applyFill="1" applyBorder="1" applyProtection="1"/>
    <xf numFmtId="4" fontId="23" fillId="5" borderId="1" xfId="0" applyNumberFormat="1" applyFont="1" applyFill="1" applyBorder="1" applyProtection="1"/>
    <xf numFmtId="4" fontId="18" fillId="0" borderId="1" xfId="0" applyNumberFormat="1" applyFont="1" applyBorder="1" applyProtection="1">
      <protection locked="0"/>
    </xf>
    <xf numFmtId="4" fontId="18" fillId="5" borderId="1" xfId="0" applyNumberFormat="1" applyFont="1" applyFill="1" applyBorder="1" applyProtection="1"/>
    <xf numFmtId="4" fontId="18" fillId="0" borderId="1" xfId="0" applyNumberFormat="1" applyFont="1" applyFill="1" applyBorder="1" applyProtection="1">
      <protection locked="0"/>
    </xf>
    <xf numFmtId="4" fontId="18" fillId="5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Protection="1"/>
    <xf numFmtId="4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0" borderId="1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Alignment="1">
      <alignment horizontal="center" vertical="center"/>
    </xf>
    <xf numFmtId="4" fontId="23" fillId="5" borderId="1" xfId="1" applyNumberFormat="1" applyFont="1" applyFill="1" applyBorder="1" applyAlignment="1" applyProtection="1">
      <alignment horizontal="center" vertical="center"/>
    </xf>
    <xf numFmtId="4" fontId="18" fillId="0" borderId="0" xfId="0" applyNumberFormat="1" applyFont="1" applyProtection="1">
      <protection locked="0"/>
    </xf>
    <xf numFmtId="0" fontId="35" fillId="0" borderId="5" xfId="9" applyFont="1" applyFill="1" applyBorder="1" applyAlignment="1" applyProtection="1">
      <alignment vertical="center"/>
      <protection locked="0"/>
    </xf>
    <xf numFmtId="0" fontId="18" fillId="0" borderId="1" xfId="0" applyFont="1" applyFill="1" applyBorder="1" applyProtection="1">
      <protection locked="0"/>
    </xf>
    <xf numFmtId="14" fontId="12" fillId="0" borderId="1" xfId="3" applyNumberFormat="1" applyBorder="1" applyAlignment="1" applyProtection="1">
      <alignment horizontal="center" vertical="center"/>
      <protection locked="0"/>
    </xf>
    <xf numFmtId="1" fontId="25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4" fontId="23" fillId="5" borderId="1" xfId="0" applyNumberFormat="1" applyFont="1" applyFill="1" applyBorder="1" applyAlignment="1" applyProtection="1">
      <alignment horizontal="righ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0" borderId="1" xfId="16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0" fillId="0" borderId="1" xfId="16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vertical="center" wrapText="1"/>
    </xf>
    <xf numFmtId="0" fontId="18" fillId="2" borderId="0" xfId="0" applyFont="1" applyFill="1" applyAlignment="1" applyProtection="1">
      <alignment wrapText="1"/>
      <protection locked="0"/>
    </xf>
    <xf numFmtId="0" fontId="18" fillId="0" borderId="32" xfId="0" applyFont="1" applyFill="1" applyBorder="1" applyAlignment="1" applyProtection="1">
      <alignment horizontal="center"/>
    </xf>
    <xf numFmtId="2" fontId="27" fillId="0" borderId="24" xfId="2" applyNumberFormat="1" applyFont="1" applyFill="1" applyBorder="1" applyAlignment="1" applyProtection="1">
      <alignment horizontal="left" vertical="top" wrapText="1"/>
    </xf>
    <xf numFmtId="0" fontId="18" fillId="5" borderId="0" xfId="0" applyFont="1" applyFill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0" fontId="18" fillId="2" borderId="0" xfId="0" applyFont="1" applyFill="1" applyAlignment="1" applyProtection="1">
      <alignment vertical="center"/>
    </xf>
    <xf numFmtId="3" fontId="23" fillId="6" borderId="1" xfId="1" applyNumberFormat="1" applyFont="1" applyFill="1" applyBorder="1" applyAlignment="1" applyProtection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0" fontId="45" fillId="0" borderId="1" xfId="1" applyFont="1" applyFill="1" applyBorder="1" applyAlignment="1" applyProtection="1">
      <alignment vertical="center" wrapText="1"/>
    </xf>
    <xf numFmtId="49" fontId="18" fillId="0" borderId="1" xfId="2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23" fillId="0" borderId="1" xfId="1" applyFont="1" applyFill="1" applyBorder="1" applyAlignment="1" applyProtection="1">
      <alignment vertical="center" wrapText="1"/>
    </xf>
    <xf numFmtId="0" fontId="23" fillId="0" borderId="1" xfId="0" applyFont="1" applyFill="1" applyBorder="1" applyAlignment="1" applyProtection="1">
      <alignment vertical="center"/>
      <protection locked="0"/>
    </xf>
    <xf numFmtId="0" fontId="18" fillId="0" borderId="1" xfId="0" applyFont="1" applyFill="1" applyBorder="1" applyAlignment="1" applyProtection="1">
      <alignment vertical="center"/>
      <protection locked="0"/>
    </xf>
    <xf numFmtId="0" fontId="23" fillId="2" borderId="0" xfId="0" applyFont="1" applyFill="1" applyAlignment="1" applyProtection="1">
      <alignment vertical="center"/>
      <protection locked="0"/>
    </xf>
    <xf numFmtId="0" fontId="18" fillId="2" borderId="0" xfId="0" applyFont="1" applyFill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7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3" fillId="5" borderId="0" xfId="0" applyFont="1" applyFill="1" applyBorder="1" applyAlignment="1" applyProtection="1">
      <alignment horizontal="left"/>
    </xf>
    <xf numFmtId="0" fontId="33" fillId="5" borderId="0" xfId="0" applyFont="1" applyFill="1" applyAlignment="1" applyProtection="1">
      <alignment horizontal="left"/>
    </xf>
    <xf numFmtId="0" fontId="33" fillId="2" borderId="0" xfId="0" applyFont="1" applyFill="1" applyBorder="1" applyAlignment="1" applyProtection="1">
      <alignment horizontal="left"/>
    </xf>
    <xf numFmtId="0" fontId="33" fillId="5" borderId="0" xfId="1" applyFont="1" applyFill="1" applyAlignment="1" applyProtection="1">
      <alignment horizontal="left" vertical="center"/>
    </xf>
    <xf numFmtId="0" fontId="33" fillId="0" borderId="1" xfId="1" applyFont="1" applyFill="1" applyBorder="1" applyAlignment="1" applyProtection="1">
      <alignment horizontal="left" vertical="center" wrapText="1"/>
    </xf>
    <xf numFmtId="0" fontId="42" fillId="0" borderId="1" xfId="0" applyFont="1" applyFill="1" applyBorder="1" applyAlignment="1" applyProtection="1">
      <alignment horizontal="left"/>
      <protection locked="0"/>
    </xf>
    <xf numFmtId="0" fontId="33" fillId="0" borderId="0" xfId="0" applyFont="1" applyAlignment="1" applyProtection="1">
      <alignment horizontal="left"/>
      <protection locked="0"/>
    </xf>
    <xf numFmtId="0" fontId="43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22" fillId="0" borderId="5" xfId="16" applyFont="1" applyFill="1" applyBorder="1" applyAlignment="1" applyProtection="1">
      <alignment horizontal="center" vertical="center" wrapText="1"/>
    </xf>
    <xf numFmtId="0" fontId="22" fillId="0" borderId="1" xfId="16" applyFont="1" applyFill="1" applyBorder="1" applyAlignment="1" applyProtection="1">
      <alignment horizontal="center" vertical="center" wrapText="1"/>
    </xf>
    <xf numFmtId="14" fontId="20" fillId="0" borderId="1" xfId="16" applyNumberFormat="1" applyFont="1" applyFill="1" applyBorder="1" applyAlignment="1" applyProtection="1">
      <alignment vertical="center" wrapText="1"/>
      <protection locked="0"/>
    </xf>
    <xf numFmtId="0" fontId="21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2" fillId="0" borderId="1" xfId="3" applyFill="1" applyBorder="1" applyAlignment="1" applyProtection="1">
      <alignment horizontal="left" vertical="center" wrapText="1"/>
      <protection locked="0"/>
    </xf>
    <xf numFmtId="0" fontId="20" fillId="0" borderId="1" xfId="4" applyFont="1" applyFill="1" applyBorder="1" applyAlignment="1" applyProtection="1">
      <alignment vertical="center" wrapText="1"/>
    </xf>
    <xf numFmtId="0" fontId="22" fillId="0" borderId="1" xfId="4" applyFont="1" applyFill="1" applyBorder="1" applyAlignment="1" applyProtection="1">
      <alignment vertical="center" wrapText="1"/>
    </xf>
    <xf numFmtId="3" fontId="23" fillId="0" borderId="1" xfId="1" applyNumberFormat="1" applyFont="1" applyFill="1" applyBorder="1" applyAlignment="1" applyProtection="1">
      <alignment horizontal="right" vertical="center"/>
    </xf>
    <xf numFmtId="4" fontId="20" fillId="0" borderId="1" xfId="4" applyNumberFormat="1" applyFont="1" applyFill="1" applyBorder="1" applyAlignment="1" applyProtection="1">
      <alignment vertical="center" wrapText="1"/>
      <protection locked="0"/>
    </xf>
    <xf numFmtId="4" fontId="20" fillId="0" borderId="1" xfId="4" applyNumberFormat="1" applyFont="1" applyBorder="1" applyAlignment="1" applyProtection="1">
      <alignment vertical="center" wrapText="1"/>
      <protection locked="0"/>
    </xf>
    <xf numFmtId="0" fontId="18" fillId="0" borderId="2" xfId="0" applyFont="1" applyFill="1" applyBorder="1" applyAlignment="1" applyProtection="1">
      <alignment horizontal="center"/>
    </xf>
    <xf numFmtId="0" fontId="18" fillId="0" borderId="5" xfId="3" applyFont="1" applyFill="1" applyBorder="1" applyAlignment="1" applyProtection="1">
      <alignment horizontal="left" vertical="center" indent="1"/>
    </xf>
    <xf numFmtId="4" fontId="18" fillId="0" borderId="32" xfId="1" applyNumberFormat="1" applyFont="1" applyFill="1" applyBorder="1" applyAlignment="1" applyProtection="1">
      <alignment horizontal="right" vertical="center" wrapText="1"/>
    </xf>
    <xf numFmtId="0" fontId="23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wrapText="1"/>
      <protection locked="0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14" fontId="22" fillId="2" borderId="35" xfId="9" applyNumberFormat="1" applyFont="1" applyFill="1" applyBorder="1" applyAlignment="1" applyProtection="1">
      <alignment horizontal="center" vertical="center"/>
    </xf>
    <xf numFmtId="14" fontId="22" fillId="2" borderId="35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0" fontId="18" fillId="5" borderId="0" xfId="1" applyFont="1" applyFill="1" applyAlignment="1" applyProtection="1">
      <alignment horizontal="center" vertical="center"/>
    </xf>
    <xf numFmtId="0" fontId="0" fillId="0" borderId="0" xfId="0" applyAlignment="1">
      <alignment horizontal="left" vertical="center" wrapText="1"/>
    </xf>
    <xf numFmtId="0" fontId="18" fillId="2" borderId="0" xfId="1" applyFont="1" applyFill="1" applyBorder="1" applyAlignment="1" applyProtection="1">
      <alignment horizontal="left" vertical="center" wrapText="1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5" xfId="10" applyNumberFormat="1" applyFont="1" applyFill="1" applyBorder="1" applyAlignment="1" applyProtection="1">
      <alignment horizontal="center" vertical="center"/>
    </xf>
    <xf numFmtId="14" fontId="22" fillId="2" borderId="35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0" fillId="0" borderId="1" xfId="16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0" fillId="0" borderId="1" xfId="16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vertical="center" wrapText="1"/>
    </xf>
    <xf numFmtId="0" fontId="18" fillId="0" borderId="3" xfId="0" applyFont="1" applyBorder="1" applyAlignment="1" applyProtection="1">
      <alignment horizont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 wrapText="1"/>
    </xf>
  </cellXfs>
  <cellStyles count="17">
    <cellStyle name="Normal" xfId="0" builtinId="0"/>
    <cellStyle name="Normal 2" xfId="2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171450</xdr:rowOff>
    </xdr:from>
    <xdr:to>
      <xdr:col>2</xdr:col>
      <xdr:colOff>1495425</xdr:colOff>
      <xdr:row>46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219</xdr:row>
      <xdr:rowOff>171450</xdr:rowOff>
    </xdr:from>
    <xdr:to>
      <xdr:col>1</xdr:col>
      <xdr:colOff>1495425</xdr:colOff>
      <xdr:row>219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135855075"/>
          <a:ext cx="971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219</xdr:row>
      <xdr:rowOff>180975</xdr:rowOff>
    </xdr:from>
    <xdr:to>
      <xdr:col>6</xdr:col>
      <xdr:colOff>219075</xdr:colOff>
      <xdr:row>219</xdr:row>
      <xdr:rowOff>180975</xdr:rowOff>
    </xdr:to>
    <xdr:cxnSp macro="">
      <xdr:nvCxnSpPr>
        <xdr:cNvPr id="5" name="Straight Connector 4"/>
        <xdr:cNvCxnSpPr/>
      </xdr:nvCxnSpPr>
      <xdr:spPr>
        <a:xfrm>
          <a:off x="3181350" y="135864600"/>
          <a:ext cx="3133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219</xdr:row>
      <xdr:rowOff>171450</xdr:rowOff>
    </xdr:from>
    <xdr:to>
      <xdr:col>1</xdr:col>
      <xdr:colOff>1495425</xdr:colOff>
      <xdr:row>219</xdr:row>
      <xdr:rowOff>171450</xdr:rowOff>
    </xdr:to>
    <xdr:cxnSp macro="">
      <xdr:nvCxnSpPr>
        <xdr:cNvPr id="6" name="Straight Connector 5"/>
        <xdr:cNvCxnSpPr/>
      </xdr:nvCxnSpPr>
      <xdr:spPr>
        <a:xfrm>
          <a:off x="295275" y="115881150"/>
          <a:ext cx="971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219</xdr:row>
      <xdr:rowOff>180975</xdr:rowOff>
    </xdr:from>
    <xdr:to>
      <xdr:col>6</xdr:col>
      <xdr:colOff>219075</xdr:colOff>
      <xdr:row>219</xdr:row>
      <xdr:rowOff>180975</xdr:rowOff>
    </xdr:to>
    <xdr:cxnSp macro="">
      <xdr:nvCxnSpPr>
        <xdr:cNvPr id="7" name="Straight Connector 6"/>
        <xdr:cNvCxnSpPr/>
      </xdr:nvCxnSpPr>
      <xdr:spPr>
        <a:xfrm>
          <a:off x="3181350" y="115890675"/>
          <a:ext cx="3933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37</xdr:row>
      <xdr:rowOff>152400</xdr:rowOff>
    </xdr:from>
    <xdr:to>
      <xdr:col>7</xdr:col>
      <xdr:colOff>9525</xdr:colOff>
      <xdr:row>37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190</xdr:row>
      <xdr:rowOff>4082</xdr:rowOff>
    </xdr:from>
    <xdr:to>
      <xdr:col>5</xdr:col>
      <xdr:colOff>110219</xdr:colOff>
      <xdr:row>190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38</xdr:row>
      <xdr:rowOff>4082</xdr:rowOff>
    </xdr:from>
    <xdr:to>
      <xdr:col>6</xdr:col>
      <xdr:colOff>110219</xdr:colOff>
      <xdr:row>38</xdr:row>
      <xdr:rowOff>4082</xdr:rowOff>
    </xdr:to>
    <xdr:cxnSp macro="">
      <xdr:nvCxnSpPr>
        <xdr:cNvPr id="5" name="Straight Connector 4"/>
        <xdr:cNvCxnSpPr/>
      </xdr:nvCxnSpPr>
      <xdr:spPr>
        <a:xfrm>
          <a:off x="3526972" y="16968107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188</xdr:row>
      <xdr:rowOff>171450</xdr:rowOff>
    </xdr:from>
    <xdr:to>
      <xdr:col>1</xdr:col>
      <xdr:colOff>1495425</xdr:colOff>
      <xdr:row>188</xdr:row>
      <xdr:rowOff>171450</xdr:rowOff>
    </xdr:to>
    <xdr:cxnSp macro="">
      <xdr:nvCxnSpPr>
        <xdr:cNvPr id="6" name="Straight Connector 5"/>
        <xdr:cNvCxnSpPr/>
      </xdr:nvCxnSpPr>
      <xdr:spPr>
        <a:xfrm>
          <a:off x="333375" y="85486875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189</xdr:row>
      <xdr:rowOff>4082</xdr:rowOff>
    </xdr:from>
    <xdr:to>
      <xdr:col>5</xdr:col>
      <xdr:colOff>110219</xdr:colOff>
      <xdr:row>189</xdr:row>
      <xdr:rowOff>4082</xdr:rowOff>
    </xdr:to>
    <xdr:cxnSp macro="">
      <xdr:nvCxnSpPr>
        <xdr:cNvPr id="7" name="Straight Connector 6"/>
        <xdr:cNvCxnSpPr/>
      </xdr:nvCxnSpPr>
      <xdr:spPr>
        <a:xfrm>
          <a:off x="2717347" y="855195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38</xdr:row>
      <xdr:rowOff>4082</xdr:rowOff>
    </xdr:from>
    <xdr:to>
      <xdr:col>6</xdr:col>
      <xdr:colOff>110219</xdr:colOff>
      <xdr:row>38</xdr:row>
      <xdr:rowOff>4082</xdr:rowOff>
    </xdr:to>
    <xdr:cxnSp macro="">
      <xdr:nvCxnSpPr>
        <xdr:cNvPr id="8" name="Straight Connector 7"/>
        <xdr:cNvCxnSpPr/>
      </xdr:nvCxnSpPr>
      <xdr:spPr>
        <a:xfrm>
          <a:off x="4069897" y="17253857"/>
          <a:ext cx="30221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mushao%20varianti/1.%20cliuri-deklaraciis_formebi%20%20%2001.01.2016-31.12.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mushao%20varianti/auditebis%20shemocmebuli%20sabol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samushao 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samushao 4 da 5 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მოქალაქეთა  პოლიტიკური გაერთიანება "ეროვნული ფორუმი"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5"/>
  <sheetViews>
    <sheetView showGridLines="0" tabSelected="1" view="pageBreakPreview" zoomScale="80" zoomScaleNormal="100" zoomScaleSheetLayoutView="80" workbookViewId="0">
      <selection activeCell="D4" sqref="D4"/>
    </sheetView>
  </sheetViews>
  <sheetFormatPr defaultRowHeight="15" x14ac:dyDescent="0.2"/>
  <cols>
    <col min="1" max="1" width="6.28515625" style="269" bestFit="1" customWidth="1"/>
    <col min="2" max="2" width="13.140625" style="269" customWidth="1"/>
    <col min="3" max="3" width="17.85546875" style="269" customWidth="1"/>
    <col min="4" max="4" width="15.140625" style="269" customWidth="1"/>
    <col min="5" max="5" width="24.5703125" style="269" customWidth="1"/>
    <col min="6" max="8" width="19.140625" style="270" customWidth="1"/>
    <col min="9" max="9" width="16.42578125" style="269" bestFit="1" customWidth="1"/>
    <col min="10" max="10" width="17.42578125" style="269" customWidth="1"/>
    <col min="11" max="11" width="13.140625" style="269" bestFit="1" customWidth="1"/>
    <col min="12" max="12" width="15.28515625" style="269" customWidth="1"/>
    <col min="13" max="16384" width="9.140625" style="269"/>
  </cols>
  <sheetData>
    <row r="1" spans="1:14" s="278" customFormat="1" x14ac:dyDescent="0.2">
      <c r="A1" s="337" t="s">
        <v>307</v>
      </c>
      <c r="B1" s="323"/>
      <c r="C1" s="323"/>
      <c r="D1" s="323"/>
      <c r="E1" s="324"/>
      <c r="F1" s="318"/>
      <c r="G1" s="324"/>
      <c r="H1" s="336"/>
      <c r="I1" s="323"/>
      <c r="J1" s="324"/>
      <c r="K1" s="324"/>
      <c r="L1" s="335" t="s">
        <v>109</v>
      </c>
    </row>
    <row r="2" spans="1:14" s="278" customFormat="1" ht="15.75" customHeight="1" x14ac:dyDescent="0.2">
      <c r="A2" s="334" t="s">
        <v>140</v>
      </c>
      <c r="B2" s="323"/>
      <c r="C2" s="323"/>
      <c r="D2" s="323"/>
      <c r="E2" s="324"/>
      <c r="F2" s="318"/>
      <c r="G2" s="324"/>
      <c r="H2" s="333"/>
      <c r="I2" s="323"/>
      <c r="J2" s="324"/>
      <c r="K2" s="628" t="s">
        <v>645</v>
      </c>
      <c r="L2" s="628"/>
      <c r="M2" s="628"/>
      <c r="N2" s="628"/>
    </row>
    <row r="3" spans="1:14" s="278" customFormat="1" x14ac:dyDescent="0.2">
      <c r="A3" s="332"/>
      <c r="B3" s="323"/>
      <c r="C3" s="331"/>
      <c r="D3" s="330"/>
      <c r="E3" s="324"/>
      <c r="F3" s="329"/>
      <c r="G3" s="324"/>
      <c r="H3" s="324"/>
      <c r="I3" s="318"/>
      <c r="J3" s="323"/>
      <c r="K3" s="323"/>
      <c r="L3" s="322"/>
    </row>
    <row r="4" spans="1:14" s="278" customFormat="1" x14ac:dyDescent="0.3">
      <c r="A4" s="365" t="s">
        <v>274</v>
      </c>
      <c r="B4" s="318"/>
      <c r="C4" s="318"/>
      <c r="D4" s="26" t="s">
        <v>644</v>
      </c>
      <c r="E4" s="26"/>
      <c r="F4" s="326"/>
      <c r="G4" s="324"/>
      <c r="H4" s="358"/>
      <c r="I4" s="357"/>
      <c r="J4" s="359"/>
      <c r="K4" s="272"/>
      <c r="L4" s="360"/>
    </row>
    <row r="5" spans="1:14" s="278" customFormat="1" ht="15.75" thickBot="1" x14ac:dyDescent="0.25">
      <c r="A5" s="328"/>
      <c r="B5" s="324"/>
      <c r="C5" s="327"/>
      <c r="D5" s="326"/>
      <c r="E5" s="324"/>
      <c r="F5" s="325"/>
      <c r="G5" s="325"/>
      <c r="H5" s="325"/>
      <c r="I5" s="324"/>
      <c r="J5" s="323"/>
      <c r="K5" s="323"/>
      <c r="L5" s="322"/>
    </row>
    <row r="6" spans="1:14" ht="15.75" thickBot="1" x14ac:dyDescent="0.25">
      <c r="A6" s="321"/>
      <c r="B6" s="320"/>
      <c r="C6" s="319"/>
      <c r="D6" s="319"/>
      <c r="E6" s="319"/>
      <c r="F6" s="318"/>
      <c r="G6" s="318"/>
      <c r="H6" s="318"/>
      <c r="I6" s="631" t="s">
        <v>475</v>
      </c>
      <c r="J6" s="632"/>
      <c r="K6" s="633"/>
      <c r="L6" s="317"/>
    </row>
    <row r="7" spans="1:14" s="305" customFormat="1" ht="51.75" thickBot="1" x14ac:dyDescent="0.25">
      <c r="A7" s="316" t="s">
        <v>64</v>
      </c>
      <c r="B7" s="315" t="s">
        <v>141</v>
      </c>
      <c r="C7" s="315" t="s">
        <v>474</v>
      </c>
      <c r="D7" s="314" t="s">
        <v>280</v>
      </c>
      <c r="E7" s="313" t="s">
        <v>473</v>
      </c>
      <c r="F7" s="312" t="s">
        <v>472</v>
      </c>
      <c r="G7" s="311" t="s">
        <v>228</v>
      </c>
      <c r="H7" s="310" t="s">
        <v>225</v>
      </c>
      <c r="I7" s="309" t="s">
        <v>471</v>
      </c>
      <c r="J7" s="308" t="s">
        <v>277</v>
      </c>
      <c r="K7" s="307" t="s">
        <v>229</v>
      </c>
      <c r="L7" s="306" t="s">
        <v>230</v>
      </c>
    </row>
    <row r="8" spans="1:14" s="299" customFormat="1" ht="15.75" thickBot="1" x14ac:dyDescent="0.25">
      <c r="A8" s="303">
        <v>1</v>
      </c>
      <c r="B8" s="302">
        <v>2</v>
      </c>
      <c r="C8" s="304">
        <v>3</v>
      </c>
      <c r="D8" s="304">
        <v>4</v>
      </c>
      <c r="E8" s="303">
        <v>5</v>
      </c>
      <c r="F8" s="302">
        <v>6</v>
      </c>
      <c r="G8" s="304">
        <v>7</v>
      </c>
      <c r="H8" s="302">
        <v>8</v>
      </c>
      <c r="I8" s="303">
        <v>9</v>
      </c>
      <c r="J8" s="302">
        <v>10</v>
      </c>
      <c r="K8" s="301">
        <v>11</v>
      </c>
      <c r="L8" s="300">
        <v>12</v>
      </c>
    </row>
    <row r="9" spans="1:14" ht="36" customHeight="1" x14ac:dyDescent="0.2">
      <c r="A9" s="368">
        <v>1</v>
      </c>
      <c r="B9" s="369">
        <v>42534</v>
      </c>
      <c r="C9" s="370" t="s">
        <v>515</v>
      </c>
      <c r="D9" s="371">
        <v>600</v>
      </c>
      <c r="E9" s="370" t="s">
        <v>516</v>
      </c>
      <c r="F9" s="372" t="s">
        <v>517</v>
      </c>
      <c r="G9" s="373" t="s">
        <v>518</v>
      </c>
      <c r="H9" s="374" t="s">
        <v>519</v>
      </c>
      <c r="I9" s="375"/>
      <c r="J9" s="375"/>
      <c r="K9" s="376"/>
      <c r="L9" s="377"/>
    </row>
    <row r="10" spans="1:14" ht="36" customHeight="1" x14ac:dyDescent="0.2">
      <c r="A10" s="368">
        <v>2</v>
      </c>
      <c r="B10" s="369">
        <v>42564</v>
      </c>
      <c r="C10" s="370" t="s">
        <v>515</v>
      </c>
      <c r="D10" s="371">
        <v>600</v>
      </c>
      <c r="E10" s="370" t="s">
        <v>516</v>
      </c>
      <c r="F10" s="372" t="s">
        <v>517</v>
      </c>
      <c r="G10" s="378">
        <v>0</v>
      </c>
      <c r="H10" s="374" t="s">
        <v>519</v>
      </c>
      <c r="I10" s="375"/>
      <c r="J10" s="375"/>
      <c r="K10" s="376"/>
      <c r="L10" s="377"/>
    </row>
    <row r="11" spans="1:14" ht="191.25" x14ac:dyDescent="0.2">
      <c r="A11" s="368">
        <v>3</v>
      </c>
      <c r="B11" s="369">
        <v>42586</v>
      </c>
      <c r="C11" s="370" t="s">
        <v>520</v>
      </c>
      <c r="D11" s="371">
        <v>3000</v>
      </c>
      <c r="E11" s="370" t="s">
        <v>521</v>
      </c>
      <c r="F11" s="372" t="s">
        <v>522</v>
      </c>
      <c r="G11" s="373"/>
      <c r="H11" s="374"/>
      <c r="I11" s="379" t="s">
        <v>523</v>
      </c>
      <c r="J11" s="375"/>
      <c r="K11" s="376"/>
      <c r="L11" s="377"/>
    </row>
    <row r="12" spans="1:14" ht="36" customHeight="1" x14ac:dyDescent="0.2">
      <c r="A12" s="368">
        <v>4</v>
      </c>
      <c r="B12" s="369">
        <v>42598</v>
      </c>
      <c r="C12" s="370" t="s">
        <v>515</v>
      </c>
      <c r="D12" s="371">
        <v>2000</v>
      </c>
      <c r="E12" s="370" t="s">
        <v>524</v>
      </c>
      <c r="F12" s="372" t="s">
        <v>525</v>
      </c>
      <c r="G12" s="378">
        <v>0</v>
      </c>
      <c r="H12" s="374" t="s">
        <v>526</v>
      </c>
      <c r="I12" s="380"/>
      <c r="J12" s="380"/>
      <c r="K12" s="376"/>
      <c r="L12" s="377"/>
    </row>
    <row r="13" spans="1:14" ht="36" customHeight="1" x14ac:dyDescent="0.2">
      <c r="A13" s="368">
        <v>5</v>
      </c>
      <c r="B13" s="369">
        <v>42598</v>
      </c>
      <c r="C13" s="370" t="s">
        <v>515</v>
      </c>
      <c r="D13" s="371">
        <v>500</v>
      </c>
      <c r="E13" s="381" t="s">
        <v>527</v>
      </c>
      <c r="F13" s="382">
        <v>445425914</v>
      </c>
      <c r="G13" s="381">
        <v>0</v>
      </c>
      <c r="H13" s="374" t="s">
        <v>528</v>
      </c>
      <c r="I13" s="380"/>
      <c r="J13" s="380"/>
      <c r="K13" s="376"/>
      <c r="L13" s="377"/>
    </row>
    <row r="14" spans="1:14" ht="204" x14ac:dyDescent="0.2">
      <c r="A14" s="368">
        <v>6</v>
      </c>
      <c r="B14" s="383">
        <v>42599</v>
      </c>
      <c r="C14" s="370" t="s">
        <v>520</v>
      </c>
      <c r="D14" s="371">
        <v>2100</v>
      </c>
      <c r="E14" s="370" t="s">
        <v>529</v>
      </c>
      <c r="F14" s="384">
        <v>42001016472</v>
      </c>
      <c r="G14" s="378"/>
      <c r="H14" s="374"/>
      <c r="I14" s="379" t="s">
        <v>530</v>
      </c>
      <c r="J14" s="380"/>
      <c r="K14" s="376"/>
      <c r="L14" s="377"/>
    </row>
    <row r="15" spans="1:14" ht="204" x14ac:dyDescent="0.2">
      <c r="A15" s="368">
        <v>7</v>
      </c>
      <c r="B15" s="383">
        <v>42599</v>
      </c>
      <c r="C15" s="370" t="s">
        <v>520</v>
      </c>
      <c r="D15" s="371">
        <v>600</v>
      </c>
      <c r="E15" s="385" t="s">
        <v>531</v>
      </c>
      <c r="F15" s="382">
        <v>215080105</v>
      </c>
      <c r="G15" s="373"/>
      <c r="H15" s="373"/>
      <c r="I15" s="379" t="s">
        <v>532</v>
      </c>
      <c r="J15" s="380"/>
      <c r="K15" s="376"/>
      <c r="L15" s="377"/>
    </row>
    <row r="16" spans="1:14" ht="36" customHeight="1" x14ac:dyDescent="0.2">
      <c r="A16" s="368">
        <v>8</v>
      </c>
      <c r="B16" s="369">
        <v>42608</v>
      </c>
      <c r="C16" s="370" t="s">
        <v>515</v>
      </c>
      <c r="D16" s="371">
        <v>620</v>
      </c>
      <c r="E16" s="385" t="s">
        <v>533</v>
      </c>
      <c r="F16" s="372" t="s">
        <v>534</v>
      </c>
      <c r="G16" s="381">
        <v>0</v>
      </c>
      <c r="H16" s="374" t="s">
        <v>526</v>
      </c>
      <c r="I16" s="379"/>
      <c r="J16" s="380"/>
      <c r="K16" s="376"/>
      <c r="L16" s="377"/>
    </row>
    <row r="17" spans="1:12" ht="36" customHeight="1" x14ac:dyDescent="0.2">
      <c r="A17" s="368">
        <v>9</v>
      </c>
      <c r="B17" s="369">
        <v>42613</v>
      </c>
      <c r="C17" s="386" t="s">
        <v>515</v>
      </c>
      <c r="D17" s="387">
        <v>2000</v>
      </c>
      <c r="E17" s="386" t="s">
        <v>524</v>
      </c>
      <c r="F17" s="388" t="s">
        <v>525</v>
      </c>
      <c r="G17" s="381">
        <v>0</v>
      </c>
      <c r="H17" s="389" t="s">
        <v>526</v>
      </c>
      <c r="I17" s="375"/>
      <c r="J17" s="375"/>
      <c r="K17" s="376"/>
      <c r="L17" s="377"/>
    </row>
    <row r="18" spans="1:12" ht="36" customHeight="1" x14ac:dyDescent="0.2">
      <c r="A18" s="368">
        <v>10</v>
      </c>
      <c r="B18" s="369">
        <v>42614</v>
      </c>
      <c r="C18" s="386" t="s">
        <v>515</v>
      </c>
      <c r="D18" s="387">
        <v>655</v>
      </c>
      <c r="E18" s="381" t="s">
        <v>535</v>
      </c>
      <c r="F18" s="390">
        <v>62004003053</v>
      </c>
      <c r="G18" s="381">
        <v>0</v>
      </c>
      <c r="H18" s="389" t="s">
        <v>536</v>
      </c>
      <c r="I18" s="375"/>
      <c r="J18" s="375"/>
      <c r="K18" s="376"/>
      <c r="L18" s="377"/>
    </row>
    <row r="19" spans="1:12" ht="36" customHeight="1" x14ac:dyDescent="0.2">
      <c r="A19" s="368">
        <v>11</v>
      </c>
      <c r="B19" s="369">
        <v>42615</v>
      </c>
      <c r="C19" s="386" t="s">
        <v>515</v>
      </c>
      <c r="D19" s="387">
        <v>343.98</v>
      </c>
      <c r="E19" s="386" t="s">
        <v>537</v>
      </c>
      <c r="F19" s="391">
        <v>61001034389</v>
      </c>
      <c r="G19" s="378">
        <v>0</v>
      </c>
      <c r="H19" s="389" t="s">
        <v>526</v>
      </c>
      <c r="I19" s="392"/>
      <c r="J19" s="375"/>
      <c r="K19" s="376"/>
      <c r="L19" s="377"/>
    </row>
    <row r="20" spans="1:12" ht="178.5" x14ac:dyDescent="0.2">
      <c r="A20" s="368">
        <v>12</v>
      </c>
      <c r="B20" s="369">
        <v>42618</v>
      </c>
      <c r="C20" s="386" t="s">
        <v>520</v>
      </c>
      <c r="D20" s="387">
        <v>1000</v>
      </c>
      <c r="E20" s="393" t="s">
        <v>538</v>
      </c>
      <c r="F20" s="390">
        <v>53001031149</v>
      </c>
      <c r="G20" s="394"/>
      <c r="H20" s="394"/>
      <c r="I20" s="392" t="s">
        <v>539</v>
      </c>
      <c r="J20" s="375"/>
      <c r="K20" s="376"/>
      <c r="L20" s="377"/>
    </row>
    <row r="21" spans="1:12" ht="191.25" x14ac:dyDescent="0.2">
      <c r="A21" s="368">
        <v>13</v>
      </c>
      <c r="B21" s="369">
        <v>42618</v>
      </c>
      <c r="C21" s="386" t="s">
        <v>520</v>
      </c>
      <c r="D21" s="387">
        <v>1200</v>
      </c>
      <c r="E21" s="393" t="s">
        <v>540</v>
      </c>
      <c r="F21" s="388" t="s">
        <v>541</v>
      </c>
      <c r="G21" s="381"/>
      <c r="H21" s="389"/>
      <c r="I21" s="392" t="s">
        <v>542</v>
      </c>
      <c r="J21" s="375"/>
      <c r="K21" s="376"/>
      <c r="L21" s="377"/>
    </row>
    <row r="22" spans="1:12" ht="36" customHeight="1" x14ac:dyDescent="0.2">
      <c r="A22" s="368">
        <v>14</v>
      </c>
      <c r="B22" s="369">
        <v>42621</v>
      </c>
      <c r="C22" s="386" t="s">
        <v>515</v>
      </c>
      <c r="D22" s="395">
        <v>1200</v>
      </c>
      <c r="E22" s="381" t="s">
        <v>543</v>
      </c>
      <c r="F22" s="372" t="s">
        <v>544</v>
      </c>
      <c r="G22" s="381">
        <v>0</v>
      </c>
      <c r="H22" s="374" t="s">
        <v>536</v>
      </c>
      <c r="I22" s="396"/>
      <c r="J22" s="375"/>
      <c r="K22" s="376"/>
      <c r="L22" s="377"/>
    </row>
    <row r="23" spans="1:12" ht="36" customHeight="1" x14ac:dyDescent="0.2">
      <c r="A23" s="368">
        <v>15</v>
      </c>
      <c r="B23" s="369">
        <v>42621</v>
      </c>
      <c r="C23" s="386" t="s">
        <v>515</v>
      </c>
      <c r="D23" s="395">
        <v>1300</v>
      </c>
      <c r="E23" s="381" t="s">
        <v>545</v>
      </c>
      <c r="F23" s="372" t="s">
        <v>546</v>
      </c>
      <c r="G23" s="381">
        <v>0</v>
      </c>
      <c r="H23" s="374" t="s">
        <v>526</v>
      </c>
      <c r="I23" s="396"/>
      <c r="J23" s="375"/>
      <c r="K23" s="376"/>
      <c r="L23" s="377"/>
    </row>
    <row r="24" spans="1:12" ht="36" customHeight="1" x14ac:dyDescent="0.2">
      <c r="A24" s="368">
        <v>16</v>
      </c>
      <c r="B24" s="369">
        <v>42621</v>
      </c>
      <c r="C24" s="386" t="s">
        <v>515</v>
      </c>
      <c r="D24" s="395">
        <v>1500</v>
      </c>
      <c r="E24" s="381" t="s">
        <v>547</v>
      </c>
      <c r="F24" s="397" t="s">
        <v>548</v>
      </c>
      <c r="G24" s="381">
        <v>0</v>
      </c>
      <c r="H24" s="374" t="s">
        <v>526</v>
      </c>
      <c r="I24" s="396"/>
      <c r="J24" s="375"/>
      <c r="K24" s="376"/>
      <c r="L24" s="377"/>
    </row>
    <row r="25" spans="1:12" ht="36" customHeight="1" x14ac:dyDescent="0.2">
      <c r="A25" s="368">
        <v>17</v>
      </c>
      <c r="B25" s="369">
        <v>42621</v>
      </c>
      <c r="C25" s="386" t="s">
        <v>515</v>
      </c>
      <c r="D25" s="395">
        <v>2000</v>
      </c>
      <c r="E25" s="381" t="s">
        <v>549</v>
      </c>
      <c r="F25" s="397" t="s">
        <v>550</v>
      </c>
      <c r="G25" s="381">
        <v>0</v>
      </c>
      <c r="H25" s="374" t="s">
        <v>526</v>
      </c>
      <c r="I25" s="396"/>
      <c r="J25" s="375"/>
      <c r="K25" s="376"/>
      <c r="L25" s="377"/>
    </row>
    <row r="26" spans="1:12" ht="36" customHeight="1" x14ac:dyDescent="0.2">
      <c r="A26" s="368">
        <v>18</v>
      </c>
      <c r="B26" s="369">
        <v>42621</v>
      </c>
      <c r="C26" s="386" t="s">
        <v>515</v>
      </c>
      <c r="D26" s="395">
        <v>2000</v>
      </c>
      <c r="E26" s="381" t="s">
        <v>551</v>
      </c>
      <c r="F26" s="397" t="s">
        <v>552</v>
      </c>
      <c r="G26" s="381">
        <v>0</v>
      </c>
      <c r="H26" s="374" t="s">
        <v>526</v>
      </c>
      <c r="I26" s="396"/>
      <c r="J26" s="375"/>
      <c r="K26" s="376"/>
      <c r="L26" s="377"/>
    </row>
    <row r="27" spans="1:12" ht="36" customHeight="1" x14ac:dyDescent="0.2">
      <c r="A27" s="368">
        <v>19</v>
      </c>
      <c r="B27" s="369">
        <v>42621</v>
      </c>
      <c r="C27" s="386" t="s">
        <v>515</v>
      </c>
      <c r="D27" s="395">
        <v>2000</v>
      </c>
      <c r="E27" s="381" t="s">
        <v>553</v>
      </c>
      <c r="F27" s="397" t="s">
        <v>554</v>
      </c>
      <c r="G27" s="381">
        <v>0</v>
      </c>
      <c r="H27" s="374" t="s">
        <v>526</v>
      </c>
      <c r="I27" s="396"/>
      <c r="J27" s="375"/>
      <c r="K27" s="376"/>
      <c r="L27" s="377"/>
    </row>
    <row r="28" spans="1:12" ht="36" customHeight="1" x14ac:dyDescent="0.2">
      <c r="A28" s="368">
        <v>20</v>
      </c>
      <c r="B28" s="369">
        <v>42621</v>
      </c>
      <c r="C28" s="386" t="s">
        <v>515</v>
      </c>
      <c r="D28" s="395">
        <v>2500</v>
      </c>
      <c r="E28" s="381" t="s">
        <v>555</v>
      </c>
      <c r="F28" s="397" t="s">
        <v>556</v>
      </c>
      <c r="G28" s="381">
        <v>0</v>
      </c>
      <c r="H28" s="374" t="s">
        <v>536</v>
      </c>
      <c r="I28" s="396"/>
      <c r="J28" s="375"/>
      <c r="K28" s="376"/>
      <c r="L28" s="377"/>
    </row>
    <row r="29" spans="1:12" ht="36" customHeight="1" x14ac:dyDescent="0.2">
      <c r="A29" s="368">
        <v>21</v>
      </c>
      <c r="B29" s="369">
        <v>42621</v>
      </c>
      <c r="C29" s="386" t="s">
        <v>515</v>
      </c>
      <c r="D29" s="395">
        <v>2500</v>
      </c>
      <c r="E29" s="381" t="s">
        <v>557</v>
      </c>
      <c r="F29" s="397" t="s">
        <v>558</v>
      </c>
      <c r="G29" s="381">
        <v>0</v>
      </c>
      <c r="H29" s="374" t="s">
        <v>536</v>
      </c>
      <c r="I29" s="396"/>
      <c r="J29" s="375"/>
      <c r="K29" s="376"/>
      <c r="L29" s="377"/>
    </row>
    <row r="30" spans="1:12" ht="36" customHeight="1" x14ac:dyDescent="0.2">
      <c r="A30" s="368">
        <v>22</v>
      </c>
      <c r="B30" s="369">
        <v>42621</v>
      </c>
      <c r="C30" s="386" t="s">
        <v>515</v>
      </c>
      <c r="D30" s="395">
        <v>4000</v>
      </c>
      <c r="E30" s="381" t="s">
        <v>559</v>
      </c>
      <c r="F30" s="397" t="s">
        <v>560</v>
      </c>
      <c r="G30" s="381">
        <v>0</v>
      </c>
      <c r="H30" s="374" t="s">
        <v>526</v>
      </c>
      <c r="I30" s="396"/>
      <c r="J30" s="375"/>
      <c r="K30" s="376"/>
      <c r="L30" s="377"/>
    </row>
    <row r="31" spans="1:12" s="278" customFormat="1" ht="36" customHeight="1" x14ac:dyDescent="0.2">
      <c r="A31" s="368">
        <v>23</v>
      </c>
      <c r="B31" s="369">
        <v>42621</v>
      </c>
      <c r="C31" s="386" t="s">
        <v>515</v>
      </c>
      <c r="D31" s="395">
        <v>5000</v>
      </c>
      <c r="E31" s="381" t="s">
        <v>561</v>
      </c>
      <c r="F31" s="397" t="s">
        <v>562</v>
      </c>
      <c r="G31" s="381">
        <v>0</v>
      </c>
      <c r="H31" s="374" t="s">
        <v>526</v>
      </c>
      <c r="I31" s="396"/>
      <c r="J31" s="375"/>
      <c r="K31" s="376"/>
      <c r="L31" s="377"/>
    </row>
    <row r="32" spans="1:12" s="279" customFormat="1" ht="36" customHeight="1" x14ac:dyDescent="0.2">
      <c r="A32" s="368">
        <v>24</v>
      </c>
      <c r="B32" s="369">
        <v>42622</v>
      </c>
      <c r="C32" s="386" t="s">
        <v>515</v>
      </c>
      <c r="D32" s="387">
        <v>4800</v>
      </c>
      <c r="E32" s="393" t="s">
        <v>563</v>
      </c>
      <c r="F32" s="388" t="s">
        <v>564</v>
      </c>
      <c r="G32" s="381">
        <v>0</v>
      </c>
      <c r="H32" s="389" t="s">
        <v>526</v>
      </c>
      <c r="I32" s="396"/>
      <c r="J32" s="375"/>
      <c r="K32" s="376"/>
      <c r="L32" s="377"/>
    </row>
    <row r="33" spans="1:12" s="279" customFormat="1" ht="36" customHeight="1" x14ac:dyDescent="0.2">
      <c r="A33" s="368">
        <v>25</v>
      </c>
      <c r="B33" s="369">
        <v>42625</v>
      </c>
      <c r="C33" s="386" t="s">
        <v>515</v>
      </c>
      <c r="D33" s="395">
        <v>270</v>
      </c>
      <c r="E33" s="381" t="s">
        <v>565</v>
      </c>
      <c r="F33" s="372" t="s">
        <v>566</v>
      </c>
      <c r="G33" s="381">
        <v>0</v>
      </c>
      <c r="H33" s="374" t="s">
        <v>526</v>
      </c>
      <c r="I33" s="396"/>
      <c r="J33" s="375"/>
      <c r="K33" s="376"/>
      <c r="L33" s="377"/>
    </row>
    <row r="34" spans="1:12" s="278" customFormat="1" ht="36" customHeight="1" x14ac:dyDescent="0.2">
      <c r="A34" s="368">
        <v>26</v>
      </c>
      <c r="B34" s="369">
        <v>42625</v>
      </c>
      <c r="C34" s="386" t="s">
        <v>515</v>
      </c>
      <c r="D34" s="395">
        <v>500</v>
      </c>
      <c r="E34" s="381" t="s">
        <v>567</v>
      </c>
      <c r="F34" s="372" t="s">
        <v>568</v>
      </c>
      <c r="G34" s="381">
        <v>0</v>
      </c>
      <c r="H34" s="374" t="s">
        <v>519</v>
      </c>
      <c r="I34" s="396"/>
      <c r="J34" s="375"/>
      <c r="K34" s="376"/>
      <c r="L34" s="377"/>
    </row>
    <row r="35" spans="1:12" s="278" customFormat="1" ht="36" customHeight="1" x14ac:dyDescent="0.2">
      <c r="A35" s="368">
        <v>27</v>
      </c>
      <c r="B35" s="369">
        <v>42627</v>
      </c>
      <c r="C35" s="386" t="s">
        <v>515</v>
      </c>
      <c r="D35" s="395">
        <v>1800</v>
      </c>
      <c r="E35" s="381" t="s">
        <v>569</v>
      </c>
      <c r="F35" s="398" t="s">
        <v>570</v>
      </c>
      <c r="G35" s="381">
        <v>0</v>
      </c>
      <c r="H35" s="374" t="s">
        <v>526</v>
      </c>
      <c r="I35" s="396"/>
      <c r="J35" s="375"/>
      <c r="K35" s="376"/>
      <c r="L35" s="377"/>
    </row>
    <row r="36" spans="1:12" s="278" customFormat="1" ht="36" customHeight="1" x14ac:dyDescent="0.2">
      <c r="A36" s="368">
        <v>28</v>
      </c>
      <c r="B36" s="369">
        <v>42627</v>
      </c>
      <c r="C36" s="386" t="s">
        <v>515</v>
      </c>
      <c r="D36" s="395">
        <v>2200</v>
      </c>
      <c r="E36" s="381" t="s">
        <v>571</v>
      </c>
      <c r="F36" s="398" t="s">
        <v>572</v>
      </c>
      <c r="G36" s="381">
        <v>0</v>
      </c>
      <c r="H36" s="374" t="s">
        <v>526</v>
      </c>
      <c r="I36" s="396"/>
      <c r="J36" s="375"/>
      <c r="K36" s="376"/>
      <c r="L36" s="377"/>
    </row>
    <row r="37" spans="1:12" s="278" customFormat="1" ht="36" customHeight="1" x14ac:dyDescent="0.2">
      <c r="A37" s="368">
        <v>29</v>
      </c>
      <c r="B37" s="369">
        <v>42627</v>
      </c>
      <c r="C37" s="386" t="s">
        <v>515</v>
      </c>
      <c r="D37" s="395">
        <v>5000</v>
      </c>
      <c r="E37" s="381" t="s">
        <v>559</v>
      </c>
      <c r="F37" s="397" t="s">
        <v>560</v>
      </c>
      <c r="G37" s="381">
        <v>0</v>
      </c>
      <c r="H37" s="374" t="s">
        <v>526</v>
      </c>
      <c r="I37" s="396"/>
      <c r="J37" s="375"/>
      <c r="K37" s="376"/>
      <c r="L37" s="377"/>
    </row>
    <row r="38" spans="1:12" s="278" customFormat="1" ht="36" customHeight="1" x14ac:dyDescent="0.2">
      <c r="A38" s="368">
        <v>30</v>
      </c>
      <c r="B38" s="369">
        <v>42627</v>
      </c>
      <c r="C38" s="386" t="s">
        <v>515</v>
      </c>
      <c r="D38" s="395">
        <v>5000</v>
      </c>
      <c r="E38" s="381" t="s">
        <v>551</v>
      </c>
      <c r="F38" s="372" t="s">
        <v>552</v>
      </c>
      <c r="G38" s="381">
        <v>0</v>
      </c>
      <c r="H38" s="374" t="s">
        <v>526</v>
      </c>
      <c r="I38" s="396"/>
      <c r="J38" s="375"/>
      <c r="K38" s="376"/>
      <c r="L38" s="377"/>
    </row>
    <row r="39" spans="1:12" s="278" customFormat="1" ht="36" customHeight="1" x14ac:dyDescent="0.2">
      <c r="A39" s="368">
        <v>31</v>
      </c>
      <c r="B39" s="369">
        <v>42628</v>
      </c>
      <c r="C39" s="386" t="s">
        <v>515</v>
      </c>
      <c r="D39" s="395">
        <v>2000</v>
      </c>
      <c r="E39" s="381" t="s">
        <v>545</v>
      </c>
      <c r="F39" s="372" t="s">
        <v>546</v>
      </c>
      <c r="G39" s="381">
        <v>0</v>
      </c>
      <c r="H39" s="374" t="s">
        <v>526</v>
      </c>
      <c r="I39" s="396"/>
      <c r="J39" s="375"/>
      <c r="K39" s="376"/>
      <c r="L39" s="377"/>
    </row>
    <row r="40" spans="1:12" ht="36" customHeight="1" x14ac:dyDescent="0.2">
      <c r="A40" s="368">
        <v>32</v>
      </c>
      <c r="B40" s="369">
        <v>42628</v>
      </c>
      <c r="C40" s="386" t="s">
        <v>515</v>
      </c>
      <c r="D40" s="395">
        <v>3000</v>
      </c>
      <c r="E40" s="381" t="s">
        <v>573</v>
      </c>
      <c r="F40" s="372" t="s">
        <v>574</v>
      </c>
      <c r="G40" s="381">
        <v>0</v>
      </c>
      <c r="H40" s="374" t="s">
        <v>575</v>
      </c>
      <c r="I40" s="396"/>
      <c r="J40" s="375"/>
      <c r="K40" s="376"/>
      <c r="L40" s="377"/>
    </row>
    <row r="41" spans="1:12" s="274" customFormat="1" ht="36" customHeight="1" x14ac:dyDescent="0.2">
      <c r="A41" s="368">
        <v>33</v>
      </c>
      <c r="B41" s="369">
        <v>42628</v>
      </c>
      <c r="C41" s="386" t="s">
        <v>515</v>
      </c>
      <c r="D41" s="395">
        <v>280</v>
      </c>
      <c r="E41" s="381" t="s">
        <v>576</v>
      </c>
      <c r="F41" s="372" t="s">
        <v>577</v>
      </c>
      <c r="G41" s="381">
        <v>0</v>
      </c>
      <c r="H41" s="374" t="s">
        <v>526</v>
      </c>
      <c r="I41" s="396"/>
      <c r="J41" s="375"/>
      <c r="K41" s="376"/>
      <c r="L41" s="377"/>
    </row>
    <row r="42" spans="1:12" s="274" customFormat="1" ht="36" customHeight="1" x14ac:dyDescent="0.2">
      <c r="A42" s="368">
        <v>34</v>
      </c>
      <c r="B42" s="369">
        <v>42629</v>
      </c>
      <c r="C42" s="386" t="s">
        <v>515</v>
      </c>
      <c r="D42" s="395">
        <v>2000</v>
      </c>
      <c r="E42" s="393" t="s">
        <v>578</v>
      </c>
      <c r="F42" s="372" t="s">
        <v>579</v>
      </c>
      <c r="G42" s="381">
        <v>0</v>
      </c>
      <c r="H42" s="374" t="s">
        <v>526</v>
      </c>
      <c r="I42" s="396"/>
      <c r="J42" s="375"/>
      <c r="K42" s="376"/>
      <c r="L42" s="377"/>
    </row>
    <row r="43" spans="1:12" s="274" customFormat="1" ht="36" customHeight="1" x14ac:dyDescent="0.2">
      <c r="A43" s="368">
        <v>35</v>
      </c>
      <c r="B43" s="369">
        <v>42632</v>
      </c>
      <c r="C43" s="386" t="s">
        <v>515</v>
      </c>
      <c r="D43" s="395">
        <v>620</v>
      </c>
      <c r="E43" s="393" t="s">
        <v>533</v>
      </c>
      <c r="F43" s="372" t="s">
        <v>534</v>
      </c>
      <c r="G43" s="381">
        <v>0</v>
      </c>
      <c r="H43" s="374" t="s">
        <v>526</v>
      </c>
      <c r="I43" s="396"/>
      <c r="J43" s="375"/>
      <c r="K43" s="376"/>
      <c r="L43" s="377"/>
    </row>
    <row r="44" spans="1:12" s="274" customFormat="1" ht="36" customHeight="1" x14ac:dyDescent="0.2">
      <c r="A44" s="368">
        <v>36</v>
      </c>
      <c r="B44" s="369">
        <v>42633</v>
      </c>
      <c r="C44" s="386" t="s">
        <v>515</v>
      </c>
      <c r="D44" s="395">
        <v>770</v>
      </c>
      <c r="E44" s="381" t="s">
        <v>576</v>
      </c>
      <c r="F44" s="372" t="s">
        <v>577</v>
      </c>
      <c r="G44" s="381">
        <v>0</v>
      </c>
      <c r="H44" s="374" t="s">
        <v>526</v>
      </c>
      <c r="I44" s="396"/>
      <c r="J44" s="375"/>
      <c r="K44" s="376"/>
      <c r="L44" s="377"/>
    </row>
    <row r="45" spans="1:12" s="271" customFormat="1" ht="36" customHeight="1" x14ac:dyDescent="0.2">
      <c r="A45" s="368">
        <v>37</v>
      </c>
      <c r="B45" s="369">
        <v>42633</v>
      </c>
      <c r="C45" s="386" t="s">
        <v>515</v>
      </c>
      <c r="D45" s="387">
        <v>1748</v>
      </c>
      <c r="E45" s="393" t="s">
        <v>580</v>
      </c>
      <c r="F45" s="372" t="s">
        <v>581</v>
      </c>
      <c r="G45" s="381">
        <v>0</v>
      </c>
      <c r="H45" s="389" t="s">
        <v>582</v>
      </c>
      <c r="I45" s="396"/>
      <c r="J45" s="375"/>
      <c r="K45" s="376"/>
      <c r="L45" s="377"/>
    </row>
    <row r="46" spans="1:12" s="271" customFormat="1" ht="36" customHeight="1" x14ac:dyDescent="0.2">
      <c r="A46" s="368">
        <v>38</v>
      </c>
      <c r="B46" s="369">
        <v>42633</v>
      </c>
      <c r="C46" s="386" t="s">
        <v>515</v>
      </c>
      <c r="D46" s="387">
        <v>1000</v>
      </c>
      <c r="E46" s="393" t="s">
        <v>583</v>
      </c>
      <c r="F46" s="372" t="s">
        <v>584</v>
      </c>
      <c r="G46" s="381">
        <v>0</v>
      </c>
      <c r="H46" s="374" t="s">
        <v>526</v>
      </c>
      <c r="I46" s="396"/>
      <c r="J46" s="375"/>
      <c r="K46" s="376"/>
      <c r="L46" s="377"/>
    </row>
    <row r="47" spans="1:12" s="271" customFormat="1" ht="36" customHeight="1" x14ac:dyDescent="0.2">
      <c r="A47" s="368">
        <v>39</v>
      </c>
      <c r="B47" s="369">
        <v>42633</v>
      </c>
      <c r="C47" s="386" t="s">
        <v>515</v>
      </c>
      <c r="D47" s="387">
        <v>1000</v>
      </c>
      <c r="E47" s="393" t="s">
        <v>585</v>
      </c>
      <c r="F47" s="372" t="s">
        <v>586</v>
      </c>
      <c r="G47" s="381">
        <v>0</v>
      </c>
      <c r="H47" s="374" t="s">
        <v>526</v>
      </c>
      <c r="I47" s="396"/>
      <c r="J47" s="375"/>
      <c r="K47" s="376"/>
      <c r="L47" s="377"/>
    </row>
    <row r="48" spans="1:12" s="271" customFormat="1" ht="36" customHeight="1" x14ac:dyDescent="0.2">
      <c r="A48" s="368">
        <v>40</v>
      </c>
      <c r="B48" s="369">
        <v>42633</v>
      </c>
      <c r="C48" s="386" t="s">
        <v>515</v>
      </c>
      <c r="D48" s="387">
        <v>1000</v>
      </c>
      <c r="E48" s="393" t="s">
        <v>587</v>
      </c>
      <c r="F48" s="372" t="s">
        <v>588</v>
      </c>
      <c r="G48" s="381">
        <v>0</v>
      </c>
      <c r="H48" s="374" t="s">
        <v>526</v>
      </c>
      <c r="I48" s="396"/>
      <c r="J48" s="375"/>
      <c r="K48" s="376"/>
      <c r="L48" s="377"/>
    </row>
    <row r="49" spans="1:12" s="271" customFormat="1" ht="36" customHeight="1" x14ac:dyDescent="0.2">
      <c r="A49" s="368">
        <v>41</v>
      </c>
      <c r="B49" s="369">
        <v>42634</v>
      </c>
      <c r="C49" s="386" t="s">
        <v>515</v>
      </c>
      <c r="D49" s="387">
        <v>1000</v>
      </c>
      <c r="E49" s="399" t="s">
        <v>589</v>
      </c>
      <c r="F49" s="388" t="s">
        <v>590</v>
      </c>
      <c r="G49" s="381">
        <v>0</v>
      </c>
      <c r="H49" s="389" t="s">
        <v>536</v>
      </c>
      <c r="I49" s="375"/>
      <c r="J49" s="375"/>
      <c r="K49" s="376"/>
      <c r="L49" s="377"/>
    </row>
    <row r="50" spans="1:12" s="271" customFormat="1" ht="36" customHeight="1" x14ac:dyDescent="0.2">
      <c r="A50" s="368">
        <v>42</v>
      </c>
      <c r="B50" s="369">
        <v>42634</v>
      </c>
      <c r="C50" s="386" t="s">
        <v>515</v>
      </c>
      <c r="D50" s="387">
        <v>1000</v>
      </c>
      <c r="E50" s="400" t="s">
        <v>591</v>
      </c>
      <c r="F50" s="390">
        <v>39001000566</v>
      </c>
      <c r="G50" s="381">
        <v>0</v>
      </c>
      <c r="H50" s="389" t="s">
        <v>526</v>
      </c>
      <c r="I50" s="375"/>
      <c r="J50" s="375"/>
      <c r="K50" s="376"/>
      <c r="L50" s="377"/>
    </row>
    <row r="51" spans="1:12" ht="165.75" x14ac:dyDescent="0.2">
      <c r="A51" s="368">
        <v>43</v>
      </c>
      <c r="B51" s="369">
        <v>42634</v>
      </c>
      <c r="C51" s="386" t="s">
        <v>520</v>
      </c>
      <c r="D51" s="395">
        <v>120</v>
      </c>
      <c r="E51" s="401" t="s">
        <v>592</v>
      </c>
      <c r="F51" s="402">
        <v>405122594</v>
      </c>
      <c r="G51" s="381"/>
      <c r="H51" s="374"/>
      <c r="I51" s="617" t="s">
        <v>593</v>
      </c>
      <c r="J51" s="375"/>
      <c r="K51" s="376"/>
      <c r="L51" s="377"/>
    </row>
    <row r="52" spans="1:12" ht="36" customHeight="1" x14ac:dyDescent="0.2">
      <c r="A52" s="368">
        <v>44</v>
      </c>
      <c r="B52" s="369">
        <v>42635</v>
      </c>
      <c r="C52" s="386" t="s">
        <v>515</v>
      </c>
      <c r="D52" s="387">
        <v>1500</v>
      </c>
      <c r="E52" s="399" t="s">
        <v>594</v>
      </c>
      <c r="F52" s="391">
        <v>18001001495</v>
      </c>
      <c r="G52" s="378">
        <v>0</v>
      </c>
      <c r="H52" s="389" t="s">
        <v>536</v>
      </c>
      <c r="I52" s="375"/>
      <c r="J52" s="375"/>
      <c r="K52" s="376"/>
      <c r="L52" s="377"/>
    </row>
    <row r="53" spans="1:12" ht="36" customHeight="1" x14ac:dyDescent="0.2">
      <c r="A53" s="368">
        <v>45</v>
      </c>
      <c r="B53" s="369">
        <v>42635</v>
      </c>
      <c r="C53" s="386" t="s">
        <v>515</v>
      </c>
      <c r="D53" s="395">
        <v>1500</v>
      </c>
      <c r="E53" s="400" t="s">
        <v>595</v>
      </c>
      <c r="F53" s="372" t="s">
        <v>596</v>
      </c>
      <c r="G53" s="381">
        <v>0</v>
      </c>
      <c r="H53" s="374" t="s">
        <v>582</v>
      </c>
      <c r="I53" s="375"/>
      <c r="J53" s="375"/>
      <c r="K53" s="376"/>
      <c r="L53" s="377"/>
    </row>
    <row r="54" spans="1:12" ht="127.5" x14ac:dyDescent="0.2">
      <c r="A54" s="368">
        <v>46</v>
      </c>
      <c r="B54" s="369">
        <v>42638</v>
      </c>
      <c r="C54" s="386" t="s">
        <v>520</v>
      </c>
      <c r="D54" s="387">
        <v>200</v>
      </c>
      <c r="E54" s="400" t="s">
        <v>597</v>
      </c>
      <c r="F54" s="397" t="s">
        <v>598</v>
      </c>
      <c r="G54" s="381"/>
      <c r="H54" s="389"/>
      <c r="I54" s="617" t="s">
        <v>599</v>
      </c>
      <c r="J54" s="375"/>
      <c r="K54" s="376"/>
      <c r="L54" s="377"/>
    </row>
    <row r="55" spans="1:12" ht="36" customHeight="1" x14ac:dyDescent="0.2">
      <c r="A55" s="368">
        <v>47</v>
      </c>
      <c r="B55" s="369">
        <v>42639</v>
      </c>
      <c r="C55" s="386" t="s">
        <v>515</v>
      </c>
      <c r="D55" s="395">
        <v>5000</v>
      </c>
      <c r="E55" s="400" t="s">
        <v>600</v>
      </c>
      <c r="F55" s="372" t="s">
        <v>601</v>
      </c>
      <c r="G55" s="381">
        <v>0</v>
      </c>
      <c r="H55" s="374" t="s">
        <v>526</v>
      </c>
      <c r="I55" s="375"/>
      <c r="J55" s="375"/>
      <c r="K55" s="376"/>
      <c r="L55" s="377"/>
    </row>
    <row r="56" spans="1:12" ht="36" customHeight="1" x14ac:dyDescent="0.2">
      <c r="A56" s="368">
        <v>48</v>
      </c>
      <c r="B56" s="369">
        <v>42641</v>
      </c>
      <c r="C56" s="386" t="s">
        <v>515</v>
      </c>
      <c r="D56" s="395">
        <v>2500</v>
      </c>
      <c r="E56" s="400" t="s">
        <v>602</v>
      </c>
      <c r="F56" s="397" t="s">
        <v>603</v>
      </c>
      <c r="G56" s="381">
        <v>0</v>
      </c>
      <c r="H56" s="374" t="s">
        <v>526</v>
      </c>
      <c r="I56" s="375"/>
      <c r="J56" s="375"/>
      <c r="K56" s="376"/>
      <c r="L56" s="377"/>
    </row>
    <row r="57" spans="1:12" ht="36" customHeight="1" x14ac:dyDescent="0.2">
      <c r="A57" s="368">
        <v>49</v>
      </c>
      <c r="B57" s="369">
        <v>42641</v>
      </c>
      <c r="C57" s="386" t="s">
        <v>515</v>
      </c>
      <c r="D57" s="395">
        <v>2500</v>
      </c>
      <c r="E57" s="400" t="s">
        <v>604</v>
      </c>
      <c r="F57" s="397" t="s">
        <v>605</v>
      </c>
      <c r="G57" s="381">
        <v>0</v>
      </c>
      <c r="H57" s="374" t="s">
        <v>536</v>
      </c>
      <c r="I57" s="375"/>
      <c r="J57" s="375"/>
      <c r="K57" s="376"/>
      <c r="L57" s="377"/>
    </row>
    <row r="58" spans="1:12" ht="89.25" x14ac:dyDescent="0.2">
      <c r="A58" s="368">
        <v>50</v>
      </c>
      <c r="B58" s="369">
        <v>42641</v>
      </c>
      <c r="C58" s="386" t="s">
        <v>520</v>
      </c>
      <c r="D58" s="395">
        <v>500</v>
      </c>
      <c r="E58" s="400" t="s">
        <v>606</v>
      </c>
      <c r="F58" s="397" t="s">
        <v>607</v>
      </c>
      <c r="G58" s="381"/>
      <c r="H58" s="374"/>
      <c r="I58" s="375"/>
      <c r="J58" s="379" t="s">
        <v>608</v>
      </c>
      <c r="K58" s="376"/>
      <c r="L58" s="377"/>
    </row>
    <row r="59" spans="1:12" ht="89.25" x14ac:dyDescent="0.2">
      <c r="A59" s="368">
        <v>51</v>
      </c>
      <c r="B59" s="369">
        <v>42641</v>
      </c>
      <c r="C59" s="386" t="s">
        <v>520</v>
      </c>
      <c r="D59" s="395">
        <v>500</v>
      </c>
      <c r="E59" s="400" t="s">
        <v>609</v>
      </c>
      <c r="F59" s="397" t="s">
        <v>610</v>
      </c>
      <c r="G59" s="381"/>
      <c r="H59" s="374"/>
      <c r="I59" s="375"/>
      <c r="J59" s="379" t="s">
        <v>608</v>
      </c>
      <c r="K59" s="376"/>
      <c r="L59" s="377"/>
    </row>
    <row r="60" spans="1:12" ht="89.25" x14ac:dyDescent="0.2">
      <c r="A60" s="368">
        <v>52</v>
      </c>
      <c r="B60" s="369">
        <v>42641</v>
      </c>
      <c r="C60" s="386" t="s">
        <v>520</v>
      </c>
      <c r="D60" s="395">
        <v>500</v>
      </c>
      <c r="E60" s="400" t="s">
        <v>611</v>
      </c>
      <c r="F60" s="397" t="s">
        <v>612</v>
      </c>
      <c r="G60" s="381"/>
      <c r="H60" s="374"/>
      <c r="I60" s="375"/>
      <c r="J60" s="379" t="s">
        <v>608</v>
      </c>
      <c r="K60" s="376"/>
      <c r="L60" s="377"/>
    </row>
    <row r="61" spans="1:12" ht="89.25" x14ac:dyDescent="0.2">
      <c r="A61" s="368">
        <v>53</v>
      </c>
      <c r="B61" s="369">
        <v>42641</v>
      </c>
      <c r="C61" s="386" t="s">
        <v>520</v>
      </c>
      <c r="D61" s="395">
        <v>500</v>
      </c>
      <c r="E61" s="400" t="s">
        <v>613</v>
      </c>
      <c r="F61" s="397" t="s">
        <v>614</v>
      </c>
      <c r="G61" s="381"/>
      <c r="H61" s="374"/>
      <c r="I61" s="375"/>
      <c r="J61" s="379" t="s">
        <v>608</v>
      </c>
      <c r="K61" s="376"/>
      <c r="L61" s="377"/>
    </row>
    <row r="62" spans="1:12" ht="89.25" x14ac:dyDescent="0.2">
      <c r="A62" s="368">
        <v>54</v>
      </c>
      <c r="B62" s="369">
        <v>42641</v>
      </c>
      <c r="C62" s="386" t="s">
        <v>520</v>
      </c>
      <c r="D62" s="395">
        <v>500</v>
      </c>
      <c r="E62" s="400" t="s">
        <v>615</v>
      </c>
      <c r="F62" s="397" t="s">
        <v>616</v>
      </c>
      <c r="G62" s="381"/>
      <c r="H62" s="374"/>
      <c r="I62" s="375"/>
      <c r="J62" s="379" t="s">
        <v>608</v>
      </c>
      <c r="K62" s="376"/>
      <c r="L62" s="377"/>
    </row>
    <row r="63" spans="1:12" ht="89.25" x14ac:dyDescent="0.2">
      <c r="A63" s="368">
        <v>55</v>
      </c>
      <c r="B63" s="369">
        <v>42641</v>
      </c>
      <c r="C63" s="386" t="s">
        <v>520</v>
      </c>
      <c r="D63" s="395">
        <v>500</v>
      </c>
      <c r="E63" s="400" t="s">
        <v>617</v>
      </c>
      <c r="F63" s="397" t="s">
        <v>618</v>
      </c>
      <c r="G63" s="381"/>
      <c r="H63" s="389"/>
      <c r="I63" s="375"/>
      <c r="J63" s="379" t="s">
        <v>608</v>
      </c>
      <c r="K63" s="376"/>
      <c r="L63" s="377"/>
    </row>
    <row r="64" spans="1:12" ht="89.25" x14ac:dyDescent="0.2">
      <c r="A64" s="368">
        <v>56</v>
      </c>
      <c r="B64" s="369">
        <v>42641</v>
      </c>
      <c r="C64" s="386" t="s">
        <v>520</v>
      </c>
      <c r="D64" s="395">
        <v>500</v>
      </c>
      <c r="E64" s="400" t="s">
        <v>619</v>
      </c>
      <c r="F64" s="397" t="s">
        <v>620</v>
      </c>
      <c r="G64" s="381"/>
      <c r="H64" s="389"/>
      <c r="I64" s="375"/>
      <c r="J64" s="379" t="s">
        <v>608</v>
      </c>
      <c r="K64" s="376"/>
      <c r="L64" s="377"/>
    </row>
    <row r="65" spans="1:12" ht="89.25" x14ac:dyDescent="0.2">
      <c r="A65" s="368">
        <v>57</v>
      </c>
      <c r="B65" s="369">
        <v>42641</v>
      </c>
      <c r="C65" s="386" t="s">
        <v>520</v>
      </c>
      <c r="D65" s="395">
        <v>500</v>
      </c>
      <c r="E65" s="400" t="s">
        <v>621</v>
      </c>
      <c r="F65" s="397" t="s">
        <v>622</v>
      </c>
      <c r="G65" s="381"/>
      <c r="H65" s="389"/>
      <c r="I65" s="375"/>
      <c r="J65" s="379" t="s">
        <v>608</v>
      </c>
      <c r="K65" s="376"/>
      <c r="L65" s="377"/>
    </row>
    <row r="66" spans="1:12" ht="36" customHeight="1" x14ac:dyDescent="0.2">
      <c r="A66" s="368">
        <v>58</v>
      </c>
      <c r="B66" s="369">
        <v>42641</v>
      </c>
      <c r="C66" s="386" t="s">
        <v>515</v>
      </c>
      <c r="D66" s="395">
        <v>400</v>
      </c>
      <c r="E66" s="400" t="s">
        <v>576</v>
      </c>
      <c r="F66" s="372" t="s">
        <v>577</v>
      </c>
      <c r="G66" s="381">
        <v>0</v>
      </c>
      <c r="H66" s="374" t="s">
        <v>526</v>
      </c>
      <c r="I66" s="375"/>
      <c r="J66" s="375"/>
      <c r="K66" s="376"/>
      <c r="L66" s="377"/>
    </row>
    <row r="67" spans="1:12" ht="36" customHeight="1" x14ac:dyDescent="0.2">
      <c r="A67" s="368">
        <v>59</v>
      </c>
      <c r="B67" s="369">
        <v>42642</v>
      </c>
      <c r="C67" s="386" t="s">
        <v>515</v>
      </c>
      <c r="D67" s="387">
        <v>500</v>
      </c>
      <c r="E67" s="400" t="s">
        <v>591</v>
      </c>
      <c r="F67" s="390">
        <v>39001000566</v>
      </c>
      <c r="G67" s="381">
        <v>0</v>
      </c>
      <c r="H67" s="389" t="s">
        <v>526</v>
      </c>
      <c r="I67" s="375"/>
      <c r="J67" s="375"/>
      <c r="K67" s="376"/>
      <c r="L67" s="377"/>
    </row>
    <row r="68" spans="1:12" ht="36" customHeight="1" x14ac:dyDescent="0.2">
      <c r="A68" s="368">
        <v>60</v>
      </c>
      <c r="B68" s="369">
        <v>42642</v>
      </c>
      <c r="C68" s="386" t="s">
        <v>515</v>
      </c>
      <c r="D68" s="395">
        <v>630</v>
      </c>
      <c r="E68" s="400" t="s">
        <v>549</v>
      </c>
      <c r="F68" s="397" t="s">
        <v>550</v>
      </c>
      <c r="G68" s="381">
        <v>0</v>
      </c>
      <c r="H68" s="374" t="s">
        <v>526</v>
      </c>
      <c r="I68" s="375"/>
      <c r="J68" s="375"/>
      <c r="K68" s="376"/>
      <c r="L68" s="377"/>
    </row>
    <row r="69" spans="1:12" ht="36" customHeight="1" x14ac:dyDescent="0.2">
      <c r="A69" s="368">
        <v>61</v>
      </c>
      <c r="B69" s="369">
        <v>42643</v>
      </c>
      <c r="C69" s="386" t="s">
        <v>515</v>
      </c>
      <c r="D69" s="387">
        <v>1000</v>
      </c>
      <c r="E69" s="403" t="s">
        <v>563</v>
      </c>
      <c r="F69" s="388" t="s">
        <v>564</v>
      </c>
      <c r="G69" s="381">
        <v>0</v>
      </c>
      <c r="H69" s="389" t="s">
        <v>526</v>
      </c>
      <c r="I69" s="375"/>
      <c r="J69" s="375"/>
      <c r="K69" s="376"/>
      <c r="L69" s="377"/>
    </row>
    <row r="70" spans="1:12" ht="36" customHeight="1" x14ac:dyDescent="0.2">
      <c r="A70" s="368">
        <v>62</v>
      </c>
      <c r="B70" s="369">
        <v>42646</v>
      </c>
      <c r="C70" s="386" t="s">
        <v>515</v>
      </c>
      <c r="D70" s="387">
        <v>300</v>
      </c>
      <c r="E70" s="400" t="s">
        <v>623</v>
      </c>
      <c r="F70" s="388" t="s">
        <v>624</v>
      </c>
      <c r="G70" s="381">
        <v>0</v>
      </c>
      <c r="H70" s="389" t="s">
        <v>526</v>
      </c>
      <c r="I70" s="375"/>
      <c r="J70" s="375"/>
      <c r="K70" s="376"/>
      <c r="L70" s="377"/>
    </row>
    <row r="71" spans="1:12" ht="36" customHeight="1" x14ac:dyDescent="0.2">
      <c r="A71" s="368">
        <v>63</v>
      </c>
      <c r="B71" s="369">
        <v>42647</v>
      </c>
      <c r="C71" s="386" t="s">
        <v>515</v>
      </c>
      <c r="D71" s="387">
        <v>200</v>
      </c>
      <c r="E71" s="400" t="s">
        <v>567</v>
      </c>
      <c r="F71" s="397" t="s">
        <v>568</v>
      </c>
      <c r="G71" s="381">
        <v>0</v>
      </c>
      <c r="H71" s="389" t="s">
        <v>519</v>
      </c>
      <c r="I71" s="375"/>
      <c r="J71" s="375"/>
      <c r="K71" s="376"/>
      <c r="L71" s="377"/>
    </row>
    <row r="72" spans="1:12" ht="36" customHeight="1" x14ac:dyDescent="0.2">
      <c r="A72" s="368">
        <v>64</v>
      </c>
      <c r="B72" s="369">
        <v>42647</v>
      </c>
      <c r="C72" s="386" t="s">
        <v>515</v>
      </c>
      <c r="D72" s="387">
        <v>2500</v>
      </c>
      <c r="E72" s="400" t="s">
        <v>625</v>
      </c>
      <c r="F72" s="397" t="s">
        <v>626</v>
      </c>
      <c r="G72" s="381">
        <v>0</v>
      </c>
      <c r="H72" s="389" t="s">
        <v>582</v>
      </c>
      <c r="I72" s="375"/>
      <c r="J72" s="375"/>
      <c r="K72" s="376"/>
      <c r="L72" s="377"/>
    </row>
    <row r="73" spans="1:12" ht="36" customHeight="1" x14ac:dyDescent="0.2">
      <c r="A73" s="368">
        <v>65</v>
      </c>
      <c r="B73" s="369">
        <v>42647</v>
      </c>
      <c r="C73" s="386" t="s">
        <v>515</v>
      </c>
      <c r="D73" s="381">
        <v>2500</v>
      </c>
      <c r="E73" s="400" t="s">
        <v>627</v>
      </c>
      <c r="F73" s="397" t="s">
        <v>628</v>
      </c>
      <c r="G73" s="404">
        <v>0</v>
      </c>
      <c r="H73" s="389" t="s">
        <v>519</v>
      </c>
      <c r="I73" s="375"/>
      <c r="J73" s="375"/>
      <c r="K73" s="376"/>
      <c r="L73" s="377"/>
    </row>
    <row r="74" spans="1:12" ht="36" customHeight="1" x14ac:dyDescent="0.2">
      <c r="A74" s="368">
        <v>66</v>
      </c>
      <c r="B74" s="369">
        <v>42647</v>
      </c>
      <c r="C74" s="386" t="s">
        <v>515</v>
      </c>
      <c r="D74" s="387">
        <v>2900</v>
      </c>
      <c r="E74" s="400" t="s">
        <v>629</v>
      </c>
      <c r="F74" s="397" t="s">
        <v>630</v>
      </c>
      <c r="G74" s="381">
        <v>0</v>
      </c>
      <c r="H74" s="389" t="s">
        <v>526</v>
      </c>
      <c r="I74" s="375"/>
      <c r="J74" s="375"/>
      <c r="K74" s="376"/>
      <c r="L74" s="377"/>
    </row>
    <row r="75" spans="1:12" ht="36" customHeight="1" x14ac:dyDescent="0.2">
      <c r="A75" s="368">
        <v>67</v>
      </c>
      <c r="B75" s="369">
        <v>42649</v>
      </c>
      <c r="C75" s="386" t="s">
        <v>515</v>
      </c>
      <c r="D75" s="387">
        <v>900</v>
      </c>
      <c r="E75" s="381" t="s">
        <v>631</v>
      </c>
      <c r="F75" s="397" t="s">
        <v>632</v>
      </c>
      <c r="G75" s="381">
        <v>0</v>
      </c>
      <c r="H75" s="389" t="s">
        <v>536</v>
      </c>
      <c r="I75" s="375"/>
      <c r="J75" s="375"/>
      <c r="K75" s="376"/>
      <c r="L75" s="377"/>
    </row>
    <row r="76" spans="1:12" ht="36" customHeight="1" x14ac:dyDescent="0.2">
      <c r="A76" s="368">
        <v>68</v>
      </c>
      <c r="B76" s="369">
        <v>42650</v>
      </c>
      <c r="C76" s="386" t="s">
        <v>515</v>
      </c>
      <c r="D76" s="387">
        <v>450</v>
      </c>
      <c r="E76" s="381" t="s">
        <v>623</v>
      </c>
      <c r="F76" s="397" t="s">
        <v>624</v>
      </c>
      <c r="G76" s="381">
        <v>0</v>
      </c>
      <c r="H76" s="389" t="s">
        <v>526</v>
      </c>
      <c r="I76" s="375"/>
      <c r="J76" s="375"/>
      <c r="K76" s="376"/>
      <c r="L76" s="377"/>
    </row>
    <row r="77" spans="1:12" ht="36" customHeight="1" x14ac:dyDescent="0.2">
      <c r="A77" s="368">
        <v>69</v>
      </c>
      <c r="B77" s="369">
        <v>42650</v>
      </c>
      <c r="C77" s="386" t="s">
        <v>515</v>
      </c>
      <c r="D77" s="387">
        <v>1340</v>
      </c>
      <c r="E77" s="381" t="s">
        <v>633</v>
      </c>
      <c r="F77" s="397" t="s">
        <v>634</v>
      </c>
      <c r="G77" s="381">
        <v>0</v>
      </c>
      <c r="H77" s="389" t="s">
        <v>582</v>
      </c>
      <c r="I77" s="375"/>
      <c r="J77" s="375"/>
      <c r="K77" s="376"/>
      <c r="L77" s="377"/>
    </row>
    <row r="78" spans="1:12" ht="36" customHeight="1" x14ac:dyDescent="0.2">
      <c r="A78" s="368">
        <v>70</v>
      </c>
      <c r="B78" s="369">
        <v>42650</v>
      </c>
      <c r="C78" s="386" t="s">
        <v>515</v>
      </c>
      <c r="D78" s="387">
        <v>7000</v>
      </c>
      <c r="E78" s="381" t="s">
        <v>635</v>
      </c>
      <c r="F78" s="397" t="s">
        <v>636</v>
      </c>
      <c r="G78" s="381">
        <v>0</v>
      </c>
      <c r="H78" s="389" t="s">
        <v>526</v>
      </c>
      <c r="I78" s="375"/>
      <c r="J78" s="375"/>
      <c r="K78" s="376"/>
      <c r="L78" s="377"/>
    </row>
    <row r="79" spans="1:12" ht="36" customHeight="1" x14ac:dyDescent="0.2">
      <c r="A79" s="368">
        <v>71</v>
      </c>
      <c r="B79" s="405">
        <v>42654</v>
      </c>
      <c r="C79" s="399" t="s">
        <v>515</v>
      </c>
      <c r="D79" s="406">
        <v>200</v>
      </c>
      <c r="E79" s="400" t="s">
        <v>591</v>
      </c>
      <c r="F79" s="407" t="s">
        <v>637</v>
      </c>
      <c r="G79" s="400">
        <v>0</v>
      </c>
      <c r="H79" s="408" t="s">
        <v>526</v>
      </c>
      <c r="I79" s="375"/>
      <c r="J79" s="375"/>
      <c r="K79" s="376"/>
      <c r="L79" s="377"/>
    </row>
    <row r="80" spans="1:12" ht="36" customHeight="1" x14ac:dyDescent="0.2">
      <c r="A80" s="368">
        <v>72</v>
      </c>
      <c r="B80" s="405">
        <v>42667</v>
      </c>
      <c r="C80" s="399" t="s">
        <v>515</v>
      </c>
      <c r="D80" s="409">
        <v>620</v>
      </c>
      <c r="E80" s="403" t="s">
        <v>533</v>
      </c>
      <c r="F80" s="410" t="s">
        <v>534</v>
      </c>
      <c r="G80" s="400">
        <v>0</v>
      </c>
      <c r="H80" s="411" t="s">
        <v>526</v>
      </c>
      <c r="I80" s="375"/>
      <c r="J80" s="375"/>
      <c r="K80" s="376"/>
      <c r="L80" s="377"/>
    </row>
    <row r="81" spans="1:12" ht="36" customHeight="1" x14ac:dyDescent="0.2">
      <c r="A81" s="368">
        <v>73</v>
      </c>
      <c r="B81" s="405">
        <v>42674</v>
      </c>
      <c r="C81" s="399" t="s">
        <v>515</v>
      </c>
      <c r="D81" s="406">
        <v>300</v>
      </c>
      <c r="E81" s="400" t="s">
        <v>638</v>
      </c>
      <c r="F81" s="412" t="s">
        <v>639</v>
      </c>
      <c r="G81" s="400">
        <v>0</v>
      </c>
      <c r="H81" s="408" t="s">
        <v>526</v>
      </c>
      <c r="I81" s="375"/>
      <c r="J81" s="375"/>
      <c r="K81" s="376"/>
      <c r="L81" s="377"/>
    </row>
    <row r="82" spans="1:12" ht="36" customHeight="1" x14ac:dyDescent="0.2">
      <c r="A82" s="368">
        <v>74</v>
      </c>
      <c r="B82" s="405">
        <v>42674</v>
      </c>
      <c r="C82" s="399" t="s">
        <v>515</v>
      </c>
      <c r="D82" s="406">
        <v>1165</v>
      </c>
      <c r="E82" s="400" t="s">
        <v>535</v>
      </c>
      <c r="F82" s="412" t="s">
        <v>640</v>
      </c>
      <c r="G82" s="400">
        <v>0</v>
      </c>
      <c r="H82" s="408" t="s">
        <v>536</v>
      </c>
      <c r="I82" s="375"/>
      <c r="J82" s="375"/>
      <c r="K82" s="376"/>
      <c r="L82" s="377"/>
    </row>
    <row r="83" spans="1:12" ht="36" customHeight="1" x14ac:dyDescent="0.2">
      <c r="A83" s="368">
        <v>75</v>
      </c>
      <c r="B83" s="405">
        <v>42674</v>
      </c>
      <c r="C83" s="399" t="s">
        <v>515</v>
      </c>
      <c r="D83" s="406">
        <v>2000</v>
      </c>
      <c r="E83" s="400" t="s">
        <v>524</v>
      </c>
      <c r="F83" s="412" t="s">
        <v>525</v>
      </c>
      <c r="G83" s="400">
        <v>0</v>
      </c>
      <c r="H83" s="408" t="s">
        <v>526</v>
      </c>
      <c r="I83" s="375"/>
      <c r="J83" s="375"/>
      <c r="K83" s="376"/>
      <c r="L83" s="377"/>
    </row>
    <row r="84" spans="1:12" ht="36" customHeight="1" x14ac:dyDescent="0.2">
      <c r="A84" s="368">
        <v>76</v>
      </c>
      <c r="B84" s="405">
        <v>42676</v>
      </c>
      <c r="C84" s="399" t="s">
        <v>515</v>
      </c>
      <c r="D84" s="406">
        <v>1790</v>
      </c>
      <c r="E84" s="400" t="s">
        <v>641</v>
      </c>
      <c r="F84" s="407" t="s">
        <v>642</v>
      </c>
      <c r="G84" s="400">
        <v>0</v>
      </c>
      <c r="H84" s="408" t="s">
        <v>526</v>
      </c>
      <c r="I84" s="375"/>
      <c r="J84" s="375"/>
      <c r="K84" s="376"/>
      <c r="L84" s="377"/>
    </row>
    <row r="85" spans="1:12" ht="36" customHeight="1" x14ac:dyDescent="0.2">
      <c r="A85" s="368">
        <v>77</v>
      </c>
      <c r="B85" s="405">
        <v>42676</v>
      </c>
      <c r="C85" s="399" t="s">
        <v>515</v>
      </c>
      <c r="D85" s="406">
        <v>1200</v>
      </c>
      <c r="E85" s="400" t="s">
        <v>551</v>
      </c>
      <c r="F85" s="407" t="s">
        <v>643</v>
      </c>
      <c r="G85" s="400">
        <v>0</v>
      </c>
      <c r="H85" s="408" t="s">
        <v>526</v>
      </c>
      <c r="I85" s="375"/>
      <c r="J85" s="375"/>
      <c r="K85" s="376"/>
      <c r="L85" s="377"/>
    </row>
    <row r="86" spans="1:12" ht="36" customHeight="1" x14ac:dyDescent="0.2">
      <c r="A86" s="368">
        <v>78</v>
      </c>
      <c r="B86" s="405">
        <v>42676</v>
      </c>
      <c r="C86" s="399" t="s">
        <v>515</v>
      </c>
      <c r="D86" s="406">
        <v>1000</v>
      </c>
      <c r="E86" s="400" t="s">
        <v>545</v>
      </c>
      <c r="F86" s="413" t="s">
        <v>546</v>
      </c>
      <c r="G86" s="400">
        <v>0</v>
      </c>
      <c r="H86" s="408" t="s">
        <v>526</v>
      </c>
      <c r="I86" s="375"/>
      <c r="J86" s="375"/>
      <c r="K86" s="376"/>
      <c r="L86" s="377"/>
    </row>
    <row r="87" spans="1:12" ht="36" customHeight="1" x14ac:dyDescent="0.2">
      <c r="A87" s="368">
        <v>79</v>
      </c>
      <c r="B87" s="405">
        <v>42713</v>
      </c>
      <c r="C87" s="399" t="s">
        <v>515</v>
      </c>
      <c r="D87" s="406">
        <v>300</v>
      </c>
      <c r="E87" s="400" t="s">
        <v>547</v>
      </c>
      <c r="F87" s="398" t="s">
        <v>548</v>
      </c>
      <c r="G87" s="400">
        <v>0</v>
      </c>
      <c r="H87" s="408" t="s">
        <v>526</v>
      </c>
      <c r="I87" s="293"/>
      <c r="J87" s="292"/>
      <c r="K87" s="291"/>
      <c r="L87" s="290"/>
    </row>
    <row r="88" spans="1:12" ht="36" customHeight="1" x14ac:dyDescent="0.2">
      <c r="A88" s="368">
        <v>80</v>
      </c>
      <c r="B88" s="405">
        <v>42713</v>
      </c>
      <c r="C88" s="399" t="s">
        <v>515</v>
      </c>
      <c r="D88" s="406">
        <v>700</v>
      </c>
      <c r="E88" s="400" t="s">
        <v>563</v>
      </c>
      <c r="F88" s="398" t="s">
        <v>564</v>
      </c>
      <c r="G88" s="400">
        <v>0</v>
      </c>
      <c r="H88" s="408" t="s">
        <v>526</v>
      </c>
      <c r="I88" s="293"/>
      <c r="J88" s="292"/>
      <c r="K88" s="291"/>
      <c r="L88" s="290"/>
    </row>
    <row r="89" spans="1:12" ht="36" customHeight="1" x14ac:dyDescent="0.2">
      <c r="A89" s="368">
        <v>81</v>
      </c>
      <c r="B89" s="405">
        <v>42717</v>
      </c>
      <c r="C89" s="386" t="s">
        <v>515</v>
      </c>
      <c r="D89" s="387">
        <v>2000</v>
      </c>
      <c r="E89" s="381" t="s">
        <v>633</v>
      </c>
      <c r="F89" s="397" t="s">
        <v>634</v>
      </c>
      <c r="G89" s="381">
        <v>0</v>
      </c>
      <c r="H89" s="389" t="s">
        <v>582</v>
      </c>
      <c r="I89" s="293"/>
      <c r="J89" s="292"/>
      <c r="K89" s="291"/>
      <c r="L89" s="290"/>
    </row>
    <row r="90" spans="1:12" ht="36" customHeight="1" x14ac:dyDescent="0.2">
      <c r="A90" s="368">
        <v>82</v>
      </c>
      <c r="B90" s="405">
        <v>42719</v>
      </c>
      <c r="C90" s="399" t="s">
        <v>515</v>
      </c>
      <c r="D90" s="406">
        <v>1000</v>
      </c>
      <c r="E90" s="400" t="s">
        <v>646</v>
      </c>
      <c r="F90" s="398" t="s">
        <v>647</v>
      </c>
      <c r="G90" s="400">
        <v>0</v>
      </c>
      <c r="H90" s="408" t="s">
        <v>526</v>
      </c>
      <c r="I90" s="293"/>
      <c r="J90" s="292"/>
      <c r="K90" s="291"/>
      <c r="L90" s="290"/>
    </row>
    <row r="91" spans="1:12" ht="36" customHeight="1" x14ac:dyDescent="0.2">
      <c r="A91" s="368">
        <v>83</v>
      </c>
      <c r="B91" s="405">
        <v>42720</v>
      </c>
      <c r="C91" s="399" t="s">
        <v>515</v>
      </c>
      <c r="D91" s="406">
        <v>400</v>
      </c>
      <c r="E91" s="400" t="s">
        <v>571</v>
      </c>
      <c r="F91" s="398" t="s">
        <v>572</v>
      </c>
      <c r="G91" s="400">
        <v>0</v>
      </c>
      <c r="H91" s="408" t="s">
        <v>526</v>
      </c>
      <c r="I91" s="293"/>
      <c r="J91" s="292"/>
      <c r="K91" s="291"/>
      <c r="L91" s="290"/>
    </row>
    <row r="92" spans="1:12" ht="36" customHeight="1" x14ac:dyDescent="0.2">
      <c r="A92" s="368">
        <v>84</v>
      </c>
      <c r="B92" s="405">
        <v>42720</v>
      </c>
      <c r="C92" s="399" t="s">
        <v>515</v>
      </c>
      <c r="D92" s="406">
        <v>450</v>
      </c>
      <c r="E92" s="400" t="s">
        <v>549</v>
      </c>
      <c r="F92" s="398" t="s">
        <v>550</v>
      </c>
      <c r="G92" s="400">
        <v>0</v>
      </c>
      <c r="H92" s="408" t="s">
        <v>526</v>
      </c>
      <c r="I92" s="293"/>
      <c r="J92" s="292"/>
      <c r="K92" s="291"/>
      <c r="L92" s="290"/>
    </row>
    <row r="93" spans="1:12" ht="36" customHeight="1" x14ac:dyDescent="0.2">
      <c r="A93" s="368">
        <v>85</v>
      </c>
      <c r="B93" s="405">
        <v>42723</v>
      </c>
      <c r="C93" s="399" t="s">
        <v>515</v>
      </c>
      <c r="D93" s="406">
        <v>1000</v>
      </c>
      <c r="E93" s="400" t="s">
        <v>648</v>
      </c>
      <c r="F93" s="397" t="s">
        <v>649</v>
      </c>
      <c r="G93" s="400">
        <v>0</v>
      </c>
      <c r="H93" s="408" t="s">
        <v>526</v>
      </c>
      <c r="I93" s="293"/>
      <c r="J93" s="292"/>
      <c r="K93" s="291"/>
      <c r="L93" s="290"/>
    </row>
    <row r="94" spans="1:12" ht="36" customHeight="1" x14ac:dyDescent="0.2">
      <c r="A94" s="368">
        <v>86</v>
      </c>
      <c r="B94" s="405">
        <v>42727</v>
      </c>
      <c r="C94" s="399" t="s">
        <v>515</v>
      </c>
      <c r="D94" s="406">
        <v>400</v>
      </c>
      <c r="E94" s="400" t="s">
        <v>650</v>
      </c>
      <c r="F94" s="398" t="s">
        <v>651</v>
      </c>
      <c r="G94" s="400">
        <v>0</v>
      </c>
      <c r="H94" s="408" t="s">
        <v>526</v>
      </c>
      <c r="I94" s="293"/>
      <c r="J94" s="292"/>
      <c r="K94" s="291"/>
      <c r="L94" s="290"/>
    </row>
    <row r="95" spans="1:12" ht="36" customHeight="1" x14ac:dyDescent="0.2">
      <c r="A95" s="368">
        <v>87</v>
      </c>
      <c r="B95" s="405">
        <v>42731</v>
      </c>
      <c r="C95" s="399" t="s">
        <v>515</v>
      </c>
      <c r="D95" s="406">
        <v>600</v>
      </c>
      <c r="E95" s="400" t="s">
        <v>652</v>
      </c>
      <c r="F95" s="398" t="s">
        <v>653</v>
      </c>
      <c r="G95" s="400">
        <v>0</v>
      </c>
      <c r="H95" s="408" t="s">
        <v>526</v>
      </c>
      <c r="I95" s="293"/>
      <c r="J95" s="292"/>
      <c r="K95" s="291"/>
      <c r="L95" s="290"/>
    </row>
    <row r="96" spans="1:12" ht="36" customHeight="1" x14ac:dyDescent="0.2">
      <c r="A96" s="368">
        <v>88</v>
      </c>
      <c r="B96" s="405">
        <v>42732</v>
      </c>
      <c r="C96" s="386" t="s">
        <v>515</v>
      </c>
      <c r="D96" s="387">
        <v>700</v>
      </c>
      <c r="E96" s="381" t="s">
        <v>633</v>
      </c>
      <c r="F96" s="397" t="s">
        <v>634</v>
      </c>
      <c r="G96" s="381">
        <v>0</v>
      </c>
      <c r="H96" s="389" t="s">
        <v>582</v>
      </c>
      <c r="I96" s="293"/>
      <c r="J96" s="292"/>
      <c r="K96" s="291"/>
      <c r="L96" s="290"/>
    </row>
    <row r="97" spans="1:12" ht="36" customHeight="1" x14ac:dyDescent="0.2">
      <c r="A97" s="368">
        <v>89</v>
      </c>
      <c r="B97" s="405">
        <v>42733</v>
      </c>
      <c r="C97" s="297" t="s">
        <v>515</v>
      </c>
      <c r="D97" s="387">
        <v>1300</v>
      </c>
      <c r="E97" s="418" t="s">
        <v>655</v>
      </c>
      <c r="F97" s="372" t="s">
        <v>654</v>
      </c>
      <c r="G97" s="373" t="s">
        <v>518</v>
      </c>
      <c r="H97" s="408" t="s">
        <v>526</v>
      </c>
      <c r="I97" s="293"/>
      <c r="J97" s="292"/>
      <c r="K97" s="291"/>
      <c r="L97" s="290"/>
    </row>
    <row r="98" spans="1:12" x14ac:dyDescent="0.2">
      <c r="A98" s="368">
        <v>90</v>
      </c>
      <c r="B98" s="298"/>
      <c r="C98" s="297"/>
      <c r="D98" s="296"/>
      <c r="E98" s="295"/>
      <c r="F98" s="294"/>
      <c r="G98" s="294"/>
      <c r="H98" s="294"/>
      <c r="I98" s="293"/>
      <c r="J98" s="292"/>
      <c r="K98" s="291"/>
      <c r="L98" s="290"/>
    </row>
    <row r="99" spans="1:12" ht="18" customHeight="1" x14ac:dyDescent="0.2">
      <c r="A99" s="368">
        <v>91</v>
      </c>
      <c r="B99" s="298"/>
      <c r="C99" s="297"/>
      <c r="D99" s="296"/>
      <c r="E99" s="295"/>
      <c r="F99" s="294"/>
      <c r="G99" s="294"/>
      <c r="H99" s="294"/>
      <c r="I99" s="293"/>
      <c r="J99" s="292"/>
      <c r="K99" s="291"/>
      <c r="L99" s="290"/>
    </row>
    <row r="100" spans="1:12" x14ac:dyDescent="0.2">
      <c r="A100" s="368">
        <v>92</v>
      </c>
      <c r="B100" s="298"/>
      <c r="C100" s="297"/>
      <c r="D100" s="296"/>
      <c r="E100" s="295"/>
      <c r="F100" s="294"/>
      <c r="G100" s="294"/>
      <c r="H100" s="294"/>
      <c r="I100" s="293"/>
      <c r="J100" s="292"/>
      <c r="K100" s="291"/>
      <c r="L100" s="290"/>
    </row>
    <row r="101" spans="1:12" ht="18" customHeight="1" x14ac:dyDescent="0.2">
      <c r="A101" s="368">
        <v>93</v>
      </c>
      <c r="B101" s="298"/>
      <c r="C101" s="297"/>
      <c r="D101" s="562"/>
      <c r="E101" s="295"/>
      <c r="F101" s="294"/>
      <c r="G101" s="294"/>
      <c r="H101" s="294"/>
      <c r="I101" s="293"/>
      <c r="J101" s="292"/>
      <c r="K101" s="291"/>
      <c r="L101" s="290"/>
    </row>
    <row r="102" spans="1:12" x14ac:dyDescent="0.2">
      <c r="A102" s="368">
        <v>94</v>
      </c>
      <c r="B102" s="298"/>
      <c r="C102" s="297"/>
      <c r="D102" s="296"/>
      <c r="E102" s="295"/>
      <c r="F102" s="294"/>
      <c r="G102" s="294"/>
      <c r="H102" s="294"/>
      <c r="I102" s="293"/>
      <c r="J102" s="292"/>
      <c r="K102" s="291"/>
      <c r="L102" s="290"/>
    </row>
    <row r="103" spans="1:12" ht="15.75" thickBot="1" x14ac:dyDescent="0.25">
      <c r="A103" s="289" t="s">
        <v>276</v>
      </c>
      <c r="B103" s="288"/>
      <c r="C103" s="287"/>
      <c r="D103" s="286"/>
      <c r="E103" s="285"/>
      <c r="F103" s="284"/>
      <c r="G103" s="284"/>
      <c r="H103" s="284"/>
      <c r="I103" s="283"/>
      <c r="J103" s="282"/>
      <c r="K103" s="281"/>
      <c r="L103" s="280"/>
    </row>
    <row r="104" spans="1:12" x14ac:dyDescent="0.2">
      <c r="A104" s="272"/>
      <c r="B104" s="273"/>
      <c r="C104" s="272"/>
      <c r="D104" s="273"/>
      <c r="E104" s="272"/>
      <c r="F104" s="273"/>
      <c r="G104" s="272"/>
      <c r="H104" s="273"/>
      <c r="I104" s="272"/>
      <c r="J104" s="273"/>
      <c r="K104" s="272"/>
      <c r="L104" s="273"/>
    </row>
    <row r="105" spans="1:12" x14ac:dyDescent="0.2">
      <c r="A105" s="272"/>
      <c r="B105" s="277"/>
      <c r="C105" s="272"/>
      <c r="D105" s="277"/>
      <c r="E105" s="272"/>
      <c r="F105" s="277"/>
      <c r="G105" s="272"/>
      <c r="H105" s="277"/>
      <c r="I105" s="272"/>
      <c r="J105" s="277"/>
      <c r="K105" s="272"/>
      <c r="L105" s="277"/>
    </row>
    <row r="106" spans="1:12" x14ac:dyDescent="0.2">
      <c r="A106" s="630" t="s">
        <v>433</v>
      </c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</row>
    <row r="107" spans="1:12" x14ac:dyDescent="0.2">
      <c r="A107" s="630" t="s">
        <v>470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</row>
    <row r="108" spans="1:12" x14ac:dyDescent="0.2">
      <c r="A108" s="630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</row>
    <row r="109" spans="1:12" x14ac:dyDescent="0.2">
      <c r="A109" s="630" t="s">
        <v>469</v>
      </c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</row>
    <row r="110" spans="1:12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</row>
    <row r="111" spans="1:12" x14ac:dyDescent="0.2">
      <c r="A111" s="630" t="s">
        <v>468</v>
      </c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</row>
    <row r="112" spans="1:12" x14ac:dyDescent="0.2">
      <c r="A112" s="272"/>
      <c r="B112" s="273"/>
      <c r="C112" s="272"/>
      <c r="D112" s="273"/>
      <c r="E112" s="272"/>
      <c r="F112" s="273"/>
      <c r="G112" s="272"/>
      <c r="H112" s="273"/>
      <c r="I112" s="272"/>
      <c r="J112" s="273"/>
      <c r="K112" s="272"/>
      <c r="L112" s="273"/>
    </row>
    <row r="113" spans="1:12" x14ac:dyDescent="0.2">
      <c r="A113" s="272"/>
      <c r="B113" s="277"/>
      <c r="C113" s="272"/>
      <c r="D113" s="277"/>
      <c r="E113" s="272"/>
      <c r="F113" s="277"/>
      <c r="G113" s="272"/>
      <c r="H113" s="277"/>
      <c r="I113" s="272"/>
      <c r="J113" s="277"/>
      <c r="K113" s="272"/>
      <c r="L113" s="277"/>
    </row>
    <row r="114" spans="1:12" x14ac:dyDescent="0.2">
      <c r="A114" s="272"/>
      <c r="B114" s="273"/>
      <c r="C114" s="272"/>
      <c r="D114" s="273"/>
      <c r="E114" s="272"/>
      <c r="F114" s="273"/>
      <c r="G114" s="272"/>
      <c r="H114" s="273"/>
      <c r="I114" s="272"/>
      <c r="J114" s="273"/>
      <c r="K114" s="272"/>
      <c r="L114" s="273"/>
    </row>
    <row r="115" spans="1:12" x14ac:dyDescent="0.2">
      <c r="A115" s="272"/>
      <c r="B115" s="277"/>
      <c r="C115" s="272"/>
      <c r="D115" s="277"/>
      <c r="E115" s="272"/>
      <c r="F115" s="277"/>
      <c r="G115" s="272"/>
      <c r="H115" s="277"/>
      <c r="I115" s="272"/>
      <c r="J115" s="277"/>
      <c r="K115" s="272"/>
      <c r="L115" s="277"/>
    </row>
    <row r="116" spans="1:12" x14ac:dyDescent="0.2">
      <c r="A116" s="634" t="s">
        <v>107</v>
      </c>
      <c r="B116" s="634"/>
      <c r="C116" s="273"/>
      <c r="D116" s="272"/>
      <c r="E116" s="273"/>
      <c r="F116" s="273"/>
      <c r="G116" s="272"/>
      <c r="H116" s="273"/>
      <c r="I116" s="273"/>
      <c r="J116" s="272"/>
      <c r="K116" s="273"/>
      <c r="L116" s="272"/>
    </row>
    <row r="117" spans="1:12" x14ac:dyDescent="0.2">
      <c r="A117" s="273"/>
      <c r="B117" s="272"/>
      <c r="C117" s="275"/>
      <c r="D117" s="276"/>
      <c r="E117" s="275"/>
      <c r="F117" s="273"/>
      <c r="G117" s="272"/>
      <c r="H117" s="414"/>
      <c r="I117" s="273"/>
      <c r="J117" s="272"/>
      <c r="K117" s="273"/>
      <c r="L117" s="272"/>
    </row>
    <row r="118" spans="1:12" ht="36" customHeight="1" x14ac:dyDescent="0.2">
      <c r="A118" s="273"/>
      <c r="B118" s="272"/>
      <c r="C118" s="635" t="s">
        <v>268</v>
      </c>
      <c r="D118" s="635"/>
      <c r="E118" s="635"/>
      <c r="F118" s="273"/>
      <c r="G118" s="272"/>
      <c r="H118" s="636" t="s">
        <v>467</v>
      </c>
      <c r="I118" s="636"/>
      <c r="J118" s="272"/>
      <c r="K118" s="273"/>
      <c r="L118" s="272"/>
    </row>
    <row r="119" spans="1:12" x14ac:dyDescent="0.2">
      <c r="A119" s="273"/>
      <c r="B119" s="272"/>
      <c r="C119" s="273"/>
      <c r="D119" s="272"/>
      <c r="E119" s="273"/>
      <c r="F119" s="273"/>
      <c r="G119" s="272"/>
      <c r="H119" s="637"/>
      <c r="I119" s="637"/>
      <c r="J119" s="272"/>
      <c r="K119" s="273"/>
      <c r="L119" s="272"/>
    </row>
    <row r="120" spans="1:12" x14ac:dyDescent="0.2">
      <c r="A120" s="273"/>
      <c r="B120" s="272"/>
      <c r="C120" s="629" t="s">
        <v>139</v>
      </c>
      <c r="D120" s="629"/>
      <c r="E120" s="629"/>
      <c r="F120" s="273"/>
      <c r="G120" s="272"/>
      <c r="H120" s="273"/>
      <c r="I120" s="273"/>
      <c r="J120" s="272"/>
      <c r="K120" s="273"/>
      <c r="L120" s="272"/>
    </row>
    <row r="121" spans="1:12" x14ac:dyDescent="0.2">
      <c r="A121" s="271"/>
      <c r="B121" s="271"/>
      <c r="C121" s="271"/>
      <c r="D121" s="271"/>
      <c r="F121" s="271"/>
      <c r="G121" s="271"/>
      <c r="H121" s="271"/>
      <c r="I121" s="271"/>
      <c r="J121" s="271"/>
      <c r="K121" s="271"/>
      <c r="L121" s="271"/>
    </row>
    <row r="122" spans="1:12" x14ac:dyDescent="0.2">
      <c r="A122" s="271"/>
      <c r="B122" s="271"/>
      <c r="C122" s="271"/>
      <c r="D122" s="271"/>
      <c r="F122" s="271"/>
      <c r="G122" s="271"/>
      <c r="H122" s="271"/>
      <c r="I122" s="271"/>
      <c r="J122" s="271"/>
      <c r="K122" s="271"/>
      <c r="L122" s="271"/>
    </row>
    <row r="123" spans="1:12" x14ac:dyDescent="0.2">
      <c r="A123" s="271"/>
      <c r="B123" s="271"/>
      <c r="C123" s="271"/>
      <c r="D123" s="271"/>
      <c r="F123" s="271"/>
      <c r="G123" s="271"/>
      <c r="H123" s="271"/>
      <c r="I123" s="271"/>
      <c r="J123" s="271"/>
      <c r="K123" s="271"/>
      <c r="L123" s="271"/>
    </row>
    <row r="124" spans="1:12" x14ac:dyDescent="0.2">
      <c r="A124" s="271"/>
      <c r="B124" s="271"/>
      <c r="C124" s="271"/>
      <c r="D124" s="271"/>
      <c r="F124" s="271"/>
      <c r="G124" s="271"/>
      <c r="H124" s="271"/>
      <c r="I124" s="271"/>
      <c r="J124" s="271"/>
      <c r="K124" s="271"/>
      <c r="L124" s="271"/>
    </row>
    <row r="125" spans="1:12" x14ac:dyDescent="0.2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</row>
  </sheetData>
  <autoFilter ref="C1:C125"/>
  <mergeCells count="10">
    <mergeCell ref="K2:N2"/>
    <mergeCell ref="C120:E120"/>
    <mergeCell ref="A107:L108"/>
    <mergeCell ref="A109:L110"/>
    <mergeCell ref="A111:L111"/>
    <mergeCell ref="I6:K6"/>
    <mergeCell ref="A116:B116"/>
    <mergeCell ref="A106:L106"/>
    <mergeCell ref="C118:E118"/>
    <mergeCell ref="H118:I119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50 F52:F103">
      <formula1>11</formula1>
    </dataValidation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4:B15">
      <formula1>40544</formula1>
      <formula2>41640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3 B16:B97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4 H16:H19 H21:H9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98:B103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03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showGridLines="0" view="pageBreakPreview" topLeftCell="A58" zoomScale="80" zoomScaleSheetLayoutView="80" workbookViewId="0">
      <selection activeCell="M15" sqref="M1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5" x14ac:dyDescent="0.3">
      <c r="A1" s="65" t="s">
        <v>302</v>
      </c>
      <c r="B1" s="105"/>
      <c r="C1" s="638" t="s">
        <v>109</v>
      </c>
      <c r="D1" s="638"/>
      <c r="E1" s="141"/>
    </row>
    <row r="2" spans="1:5" x14ac:dyDescent="0.3">
      <c r="A2" s="67" t="s">
        <v>140</v>
      </c>
      <c r="B2" s="105"/>
      <c r="C2" s="628" t="s">
        <v>645</v>
      </c>
      <c r="D2" s="639"/>
      <c r="E2" s="639"/>
    </row>
    <row r="3" spans="1:5" x14ac:dyDescent="0.3">
      <c r="A3" s="67"/>
      <c r="B3" s="105"/>
      <c r="C3" s="339"/>
      <c r="D3" s="339"/>
      <c r="E3" s="141"/>
    </row>
    <row r="4" spans="1:5" s="2" customFormat="1" x14ac:dyDescent="0.3">
      <c r="A4" s="68" t="s">
        <v>274</v>
      </c>
      <c r="B4" s="68"/>
      <c r="C4" s="67"/>
      <c r="D4" s="67"/>
      <c r="E4" s="99"/>
    </row>
    <row r="5" spans="1:5" s="2" customFormat="1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102"/>
      <c r="C5" s="49"/>
      <c r="D5" s="49"/>
      <c r="E5" s="99"/>
    </row>
    <row r="6" spans="1:5" s="2" customFormat="1" x14ac:dyDescent="0.3">
      <c r="A6" s="68"/>
      <c r="B6" s="68"/>
      <c r="C6" s="67"/>
      <c r="D6" s="67"/>
      <c r="E6" s="99"/>
    </row>
    <row r="7" spans="1:5" s="6" customFormat="1" x14ac:dyDescent="0.3">
      <c r="A7" s="338"/>
      <c r="B7" s="338"/>
      <c r="C7" s="69"/>
      <c r="D7" s="69"/>
      <c r="E7" s="142"/>
    </row>
    <row r="8" spans="1:5" s="6" customFormat="1" ht="30" x14ac:dyDescent="0.3">
      <c r="A8" s="97" t="s">
        <v>64</v>
      </c>
      <c r="B8" s="70" t="s">
        <v>11</v>
      </c>
      <c r="C8" s="70" t="s">
        <v>10</v>
      </c>
      <c r="D8" s="70" t="s">
        <v>9</v>
      </c>
      <c r="E8" s="142"/>
    </row>
    <row r="9" spans="1:5" s="9" customFormat="1" ht="18" x14ac:dyDescent="0.2">
      <c r="A9" s="13">
        <v>1</v>
      </c>
      <c r="B9" s="13" t="s">
        <v>57</v>
      </c>
      <c r="C9" s="533">
        <f>SUM(C10,C13,C53,C56,C57,C58,C76)</f>
        <v>936113.34000000008</v>
      </c>
      <c r="D9" s="533">
        <f>SUM(D10,D13,D53,D56,D57,D58,D64,D72,D73)</f>
        <v>811955.8</v>
      </c>
      <c r="E9" s="143"/>
    </row>
    <row r="10" spans="1:5" s="9" customFormat="1" ht="18" x14ac:dyDescent="0.2">
      <c r="A10" s="14">
        <v>1.1000000000000001</v>
      </c>
      <c r="B10" s="14" t="s">
        <v>58</v>
      </c>
      <c r="C10" s="534">
        <f>SUM(C11:C12)</f>
        <v>140600</v>
      </c>
      <c r="D10" s="534">
        <f>SUM(D11:D12)</f>
        <v>147050</v>
      </c>
      <c r="E10" s="143"/>
    </row>
    <row r="11" spans="1:5" s="9" customFormat="1" ht="16.5" customHeight="1" x14ac:dyDescent="0.2">
      <c r="A11" s="16" t="s">
        <v>30</v>
      </c>
      <c r="B11" s="16" t="s">
        <v>59</v>
      </c>
      <c r="C11" s="535">
        <v>138100</v>
      </c>
      <c r="D11" s="536">
        <v>144550</v>
      </c>
      <c r="E11" s="143"/>
    </row>
    <row r="12" spans="1:5" ht="16.5" customHeight="1" x14ac:dyDescent="0.3">
      <c r="A12" s="16" t="s">
        <v>31</v>
      </c>
      <c r="B12" s="16" t="s">
        <v>0</v>
      </c>
      <c r="C12" s="537">
        <v>2500</v>
      </c>
      <c r="D12" s="538">
        <v>2500</v>
      </c>
      <c r="E12" s="141"/>
    </row>
    <row r="13" spans="1:5" x14ac:dyDescent="0.3">
      <c r="A13" s="14">
        <v>1.2</v>
      </c>
      <c r="B13" s="14" t="s">
        <v>60</v>
      </c>
      <c r="C13" s="534">
        <f>SUM(C14,C17,C29:C32,C35,C36,C43,C44,C45,C46,C47,C51,C52)</f>
        <v>783143.54</v>
      </c>
      <c r="D13" s="534">
        <f>SUM(D14,D17,D29:D32,D35,D36,D43,D44,D45,D46,D47,D51,D52)</f>
        <v>650014.25</v>
      </c>
      <c r="E13" s="141"/>
    </row>
    <row r="14" spans="1:5" x14ac:dyDescent="0.3">
      <c r="A14" s="16" t="s">
        <v>32</v>
      </c>
      <c r="B14" s="16" t="s">
        <v>1</v>
      </c>
      <c r="C14" s="539">
        <f>SUM(C15:C16)</f>
        <v>20457</v>
      </c>
      <c r="D14" s="539">
        <f>SUM(D15:D16)</f>
        <v>20412</v>
      </c>
      <c r="E14" s="141"/>
    </row>
    <row r="15" spans="1:5" ht="17.25" customHeight="1" x14ac:dyDescent="0.3">
      <c r="A15" s="17" t="s">
        <v>98</v>
      </c>
      <c r="B15" s="17" t="s">
        <v>61</v>
      </c>
      <c r="C15" s="540">
        <f>4460+1115+12795+2087</f>
        <v>20457</v>
      </c>
      <c r="D15" s="541">
        <f>2087+17210+1115</f>
        <v>20412</v>
      </c>
      <c r="E15" s="141"/>
    </row>
    <row r="16" spans="1:5" ht="17.25" customHeight="1" x14ac:dyDescent="0.3">
      <c r="A16" s="17" t="s">
        <v>99</v>
      </c>
      <c r="B16" s="17" t="s">
        <v>62</v>
      </c>
      <c r="C16" s="540"/>
      <c r="D16" s="541"/>
      <c r="E16" s="141"/>
    </row>
    <row r="17" spans="1:5" x14ac:dyDescent="0.3">
      <c r="A17" s="16" t="s">
        <v>33</v>
      </c>
      <c r="B17" s="16" t="s">
        <v>2</v>
      </c>
      <c r="C17" s="539">
        <f>SUM(C18:C23,C28)</f>
        <v>6819.6500000000005</v>
      </c>
      <c r="D17" s="539">
        <f>SUM(D18:D23,D28)</f>
        <v>6819.6500000000005</v>
      </c>
      <c r="E17" s="141"/>
    </row>
    <row r="18" spans="1:5" ht="30" x14ac:dyDescent="0.3">
      <c r="A18" s="17" t="s">
        <v>12</v>
      </c>
      <c r="B18" s="17" t="s">
        <v>250</v>
      </c>
      <c r="C18" s="33">
        <f>1601.7+665.37</f>
        <v>2267.0700000000002</v>
      </c>
      <c r="D18" s="33">
        <f>594.87+70.5+1601.7</f>
        <v>2267.0700000000002</v>
      </c>
      <c r="E18" s="141"/>
    </row>
    <row r="19" spans="1:5" x14ac:dyDescent="0.3">
      <c r="A19" s="17" t="s">
        <v>13</v>
      </c>
      <c r="B19" s="17" t="s">
        <v>14</v>
      </c>
      <c r="C19" s="542"/>
      <c r="D19" s="33"/>
      <c r="E19" s="141"/>
    </row>
    <row r="20" spans="1:5" ht="27.75" customHeight="1" x14ac:dyDescent="0.3">
      <c r="A20" s="17" t="s">
        <v>281</v>
      </c>
      <c r="B20" s="17" t="s">
        <v>22</v>
      </c>
      <c r="C20" s="542"/>
      <c r="D20" s="33"/>
      <c r="E20" s="141"/>
    </row>
    <row r="21" spans="1:5" x14ac:dyDescent="0.3">
      <c r="A21" s="17" t="s">
        <v>282</v>
      </c>
      <c r="B21" s="17" t="s">
        <v>15</v>
      </c>
      <c r="C21" s="542">
        <v>2821.07</v>
      </c>
      <c r="D21" s="33">
        <v>2821.07</v>
      </c>
      <c r="E21" s="141"/>
    </row>
    <row r="22" spans="1:5" x14ac:dyDescent="0.3">
      <c r="A22" s="17" t="s">
        <v>283</v>
      </c>
      <c r="B22" s="17" t="s">
        <v>16</v>
      </c>
      <c r="C22" s="542"/>
      <c r="D22" s="33"/>
      <c r="E22" s="141"/>
    </row>
    <row r="23" spans="1:5" x14ac:dyDescent="0.3">
      <c r="A23" s="17" t="s">
        <v>284</v>
      </c>
      <c r="B23" s="17" t="s">
        <v>17</v>
      </c>
      <c r="C23" s="543">
        <f>SUM(C24:C27)</f>
        <v>1416.9099999999999</v>
      </c>
      <c r="D23" s="543">
        <f>SUM(D24:D27)</f>
        <v>1416.9099999999999</v>
      </c>
      <c r="E23" s="141"/>
    </row>
    <row r="24" spans="1:5" ht="16.5" customHeight="1" x14ac:dyDescent="0.3">
      <c r="A24" s="18" t="s">
        <v>285</v>
      </c>
      <c r="B24" s="18" t="s">
        <v>18</v>
      </c>
      <c r="C24" s="542">
        <v>53.27</v>
      </c>
      <c r="D24" s="33">
        <v>53.27</v>
      </c>
      <c r="E24" s="141"/>
    </row>
    <row r="25" spans="1:5" ht="16.5" customHeight="1" x14ac:dyDescent="0.3">
      <c r="A25" s="18" t="s">
        <v>286</v>
      </c>
      <c r="B25" s="18" t="s">
        <v>19</v>
      </c>
      <c r="C25" s="542">
        <v>844.85</v>
      </c>
      <c r="D25" s="33">
        <v>844.85</v>
      </c>
      <c r="E25" s="141"/>
    </row>
    <row r="26" spans="1:5" ht="16.5" customHeight="1" x14ac:dyDescent="0.3">
      <c r="A26" s="18" t="s">
        <v>287</v>
      </c>
      <c r="B26" s="18" t="s">
        <v>20</v>
      </c>
      <c r="C26" s="542">
        <v>286.5</v>
      </c>
      <c r="D26" s="33">
        <v>286.5</v>
      </c>
      <c r="E26" s="141"/>
    </row>
    <row r="27" spans="1:5" ht="16.5" customHeight="1" x14ac:dyDescent="0.3">
      <c r="A27" s="18" t="s">
        <v>288</v>
      </c>
      <c r="B27" s="18" t="s">
        <v>23</v>
      </c>
      <c r="C27" s="542">
        <v>232.29</v>
      </c>
      <c r="D27" s="33">
        <f>137.15+95.14</f>
        <v>232.29000000000002</v>
      </c>
      <c r="E27" s="141"/>
    </row>
    <row r="28" spans="1:5" x14ac:dyDescent="0.3">
      <c r="A28" s="17" t="s">
        <v>289</v>
      </c>
      <c r="B28" s="17" t="s">
        <v>21</v>
      </c>
      <c r="C28" s="542">
        <v>314.60000000000002</v>
      </c>
      <c r="D28" s="33">
        <v>314.60000000000002</v>
      </c>
      <c r="E28" s="141"/>
    </row>
    <row r="29" spans="1:5" x14ac:dyDescent="0.3">
      <c r="A29" s="16" t="s">
        <v>34</v>
      </c>
      <c r="B29" s="16" t="s">
        <v>3</v>
      </c>
      <c r="C29" s="535">
        <f>1358.6+566.5</f>
        <v>1925.1</v>
      </c>
      <c r="D29" s="536">
        <f>1925.1</f>
        <v>1925.1</v>
      </c>
      <c r="E29" s="141"/>
    </row>
    <row r="30" spans="1:5" x14ac:dyDescent="0.3">
      <c r="A30" s="16" t="s">
        <v>35</v>
      </c>
      <c r="B30" s="16" t="s">
        <v>4</v>
      </c>
      <c r="C30" s="535"/>
      <c r="D30" s="536"/>
      <c r="E30" s="141"/>
    </row>
    <row r="31" spans="1:5" x14ac:dyDescent="0.3">
      <c r="A31" s="16" t="s">
        <v>36</v>
      </c>
      <c r="B31" s="16" t="s">
        <v>5</v>
      </c>
      <c r="C31" s="535"/>
      <c r="D31" s="536"/>
      <c r="E31" s="141"/>
    </row>
    <row r="32" spans="1:5" x14ac:dyDescent="0.3">
      <c r="A32" s="16" t="s">
        <v>37</v>
      </c>
      <c r="B32" s="16" t="s">
        <v>63</v>
      </c>
      <c r="C32" s="539">
        <f>SUM(C33:C34)</f>
        <v>31961.09</v>
      </c>
      <c r="D32" s="539">
        <f>SUM(D33:D34)</f>
        <v>31531.05</v>
      </c>
      <c r="E32" s="141"/>
    </row>
    <row r="33" spans="1:5" x14ac:dyDescent="0.3">
      <c r="A33" s="17" t="s">
        <v>290</v>
      </c>
      <c r="B33" s="17" t="s">
        <v>56</v>
      </c>
      <c r="C33" s="535">
        <v>28356.04</v>
      </c>
      <c r="D33" s="536">
        <v>27926</v>
      </c>
      <c r="E33" s="141"/>
    </row>
    <row r="34" spans="1:5" x14ac:dyDescent="0.3">
      <c r="A34" s="17" t="s">
        <v>291</v>
      </c>
      <c r="B34" s="17" t="s">
        <v>55</v>
      </c>
      <c r="C34" s="535">
        <v>3605.05</v>
      </c>
      <c r="D34" s="536">
        <v>3605.05</v>
      </c>
      <c r="E34" s="141"/>
    </row>
    <row r="35" spans="1:5" x14ac:dyDescent="0.3">
      <c r="A35" s="16" t="s">
        <v>38</v>
      </c>
      <c r="B35" s="16" t="s">
        <v>49</v>
      </c>
      <c r="C35" s="535">
        <v>1244.5999999999999</v>
      </c>
      <c r="D35" s="536">
        <v>1244.5999999999999</v>
      </c>
      <c r="E35" s="141"/>
    </row>
    <row r="36" spans="1:5" x14ac:dyDescent="0.3">
      <c r="A36" s="16" t="s">
        <v>39</v>
      </c>
      <c r="B36" s="16" t="s">
        <v>358</v>
      </c>
      <c r="C36" s="539">
        <f>SUM(C37:C42)</f>
        <v>163178.64000000001</v>
      </c>
      <c r="D36" s="539">
        <f>SUM(D37:D42)</f>
        <v>43453</v>
      </c>
      <c r="E36" s="141"/>
    </row>
    <row r="37" spans="1:5" x14ac:dyDescent="0.3">
      <c r="A37" s="17" t="s">
        <v>355</v>
      </c>
      <c r="B37" s="17" t="s">
        <v>359</v>
      </c>
      <c r="C37" s="537">
        <f>119760.64-35</f>
        <v>119725.64</v>
      </c>
      <c r="D37" s="535"/>
      <c r="E37" s="141"/>
    </row>
    <row r="38" spans="1:5" x14ac:dyDescent="0.3">
      <c r="A38" s="17" t="s">
        <v>356</v>
      </c>
      <c r="B38" s="17" t="s">
        <v>360</v>
      </c>
      <c r="C38" s="537">
        <f>8850+34603</f>
        <v>43453</v>
      </c>
      <c r="D38" s="537">
        <f>34603+8850</f>
        <v>43453</v>
      </c>
      <c r="E38" s="141"/>
    </row>
    <row r="39" spans="1:5" x14ac:dyDescent="0.3">
      <c r="A39" s="17" t="s">
        <v>357</v>
      </c>
      <c r="B39" s="17" t="s">
        <v>363</v>
      </c>
      <c r="C39" s="535"/>
      <c r="D39" s="536"/>
      <c r="E39" s="141"/>
    </row>
    <row r="40" spans="1:5" x14ac:dyDescent="0.3">
      <c r="A40" s="17" t="s">
        <v>362</v>
      </c>
      <c r="B40" s="17" t="s">
        <v>364</v>
      </c>
      <c r="C40" s="535"/>
      <c r="D40" s="536"/>
      <c r="E40" s="141"/>
    </row>
    <row r="41" spans="1:5" x14ac:dyDescent="0.3">
      <c r="A41" s="17" t="s">
        <v>365</v>
      </c>
      <c r="B41" s="17" t="s">
        <v>499</v>
      </c>
      <c r="C41" s="535"/>
      <c r="D41" s="536"/>
      <c r="E41" s="141"/>
    </row>
    <row r="42" spans="1:5" x14ac:dyDescent="0.3">
      <c r="A42" s="17" t="s">
        <v>500</v>
      </c>
      <c r="B42" s="17" t="s">
        <v>361</v>
      </c>
      <c r="C42" s="535"/>
      <c r="D42" s="536"/>
      <c r="E42" s="141"/>
    </row>
    <row r="43" spans="1:5" ht="30" x14ac:dyDescent="0.3">
      <c r="A43" s="16" t="s">
        <v>40</v>
      </c>
      <c r="B43" s="16" t="s">
        <v>28</v>
      </c>
      <c r="C43" s="535">
        <v>5318.8</v>
      </c>
      <c r="D43" s="536">
        <v>5318.8</v>
      </c>
      <c r="E43" s="141"/>
    </row>
    <row r="44" spans="1:5" x14ac:dyDescent="0.3">
      <c r="A44" s="16" t="s">
        <v>41</v>
      </c>
      <c r="B44" s="16" t="s">
        <v>24</v>
      </c>
      <c r="C44" s="535"/>
      <c r="D44" s="536"/>
      <c r="E44" s="141"/>
    </row>
    <row r="45" spans="1:5" x14ac:dyDescent="0.3">
      <c r="A45" s="16" t="s">
        <v>42</v>
      </c>
      <c r="B45" s="16" t="s">
        <v>25</v>
      </c>
      <c r="C45" s="535"/>
      <c r="D45" s="536"/>
      <c r="E45" s="141"/>
    </row>
    <row r="46" spans="1:5" x14ac:dyDescent="0.3">
      <c r="A46" s="16" t="s">
        <v>43</v>
      </c>
      <c r="B46" s="16" t="s">
        <v>26</v>
      </c>
      <c r="C46" s="535"/>
      <c r="D46" s="536"/>
      <c r="E46" s="141"/>
    </row>
    <row r="47" spans="1:5" x14ac:dyDescent="0.3">
      <c r="A47" s="16" t="s">
        <v>44</v>
      </c>
      <c r="B47" s="16" t="s">
        <v>296</v>
      </c>
      <c r="C47" s="539">
        <f>SUM(C48:C50)</f>
        <v>128812.66</v>
      </c>
      <c r="D47" s="539">
        <f>SUM(D48:D50)</f>
        <v>120204.04999999999</v>
      </c>
      <c r="E47" s="141"/>
    </row>
    <row r="48" spans="1:5" x14ac:dyDescent="0.3">
      <c r="A48" s="88" t="s">
        <v>371</v>
      </c>
      <c r="B48" s="88" t="s">
        <v>374</v>
      </c>
      <c r="C48" s="535">
        <f>112712.66+7900</f>
        <v>120612.66</v>
      </c>
      <c r="D48" s="536">
        <f>111176.76-272.71</f>
        <v>110904.04999999999</v>
      </c>
      <c r="E48" s="141"/>
    </row>
    <row r="49" spans="1:5" x14ac:dyDescent="0.3">
      <c r="A49" s="88" t="s">
        <v>372</v>
      </c>
      <c r="B49" s="88" t="s">
        <v>373</v>
      </c>
      <c r="C49" s="535">
        <v>8200</v>
      </c>
      <c r="D49" s="536">
        <v>9300</v>
      </c>
      <c r="E49" s="141"/>
    </row>
    <row r="50" spans="1:5" x14ac:dyDescent="0.3">
      <c r="A50" s="88" t="s">
        <v>375</v>
      </c>
      <c r="B50" s="88" t="s">
        <v>376</v>
      </c>
      <c r="C50" s="535"/>
      <c r="D50" s="536"/>
      <c r="E50" s="141"/>
    </row>
    <row r="51" spans="1:5" ht="26.25" customHeight="1" x14ac:dyDescent="0.3">
      <c r="A51" s="16" t="s">
        <v>45</v>
      </c>
      <c r="B51" s="16" t="s">
        <v>29</v>
      </c>
      <c r="C51" s="535"/>
      <c r="D51" s="536"/>
      <c r="E51" s="141"/>
    </row>
    <row r="52" spans="1:5" x14ac:dyDescent="0.3">
      <c r="A52" s="16" t="s">
        <v>46</v>
      </c>
      <c r="B52" s="16" t="s">
        <v>6</v>
      </c>
      <c r="C52" s="537">
        <f>12406+125+1875+5975+27375+336500+34850+4320</f>
        <v>423426</v>
      </c>
      <c r="D52" s="536">
        <f>6250+900+1980+265+976+2035+125+1875+5975+27375+336500+34850</f>
        <v>419106</v>
      </c>
      <c r="E52" s="141"/>
    </row>
    <row r="53" spans="1:5" ht="30" x14ac:dyDescent="0.3">
      <c r="A53" s="14">
        <v>1.3</v>
      </c>
      <c r="B53" s="78" t="s">
        <v>415</v>
      </c>
      <c r="C53" s="534">
        <f>SUM(C54:C55)</f>
        <v>3944.8</v>
      </c>
      <c r="D53" s="534">
        <f>SUM(D54:D55)</f>
        <v>3944.8</v>
      </c>
      <c r="E53" s="141"/>
    </row>
    <row r="54" spans="1:5" ht="30" x14ac:dyDescent="0.3">
      <c r="A54" s="16" t="s">
        <v>50</v>
      </c>
      <c r="B54" s="16" t="s">
        <v>48</v>
      </c>
      <c r="C54" s="537">
        <v>3944.8</v>
      </c>
      <c r="D54" s="536">
        <f>2387+465+1092.8</f>
        <v>3944.8</v>
      </c>
      <c r="E54" s="141"/>
    </row>
    <row r="55" spans="1:5" x14ac:dyDescent="0.3">
      <c r="A55" s="16" t="s">
        <v>51</v>
      </c>
      <c r="B55" s="16" t="s">
        <v>47</v>
      </c>
      <c r="C55" s="535"/>
      <c r="D55" s="536"/>
      <c r="E55" s="141"/>
    </row>
    <row r="56" spans="1:5" ht="18.75" customHeight="1" x14ac:dyDescent="0.3">
      <c r="A56" s="14">
        <v>1.4</v>
      </c>
      <c r="B56" s="78" t="s">
        <v>417</v>
      </c>
      <c r="C56" s="537"/>
      <c r="D56" s="537"/>
      <c r="E56" s="141"/>
    </row>
    <row r="57" spans="1:5" x14ac:dyDescent="0.3">
      <c r="A57" s="14">
        <v>1.5</v>
      </c>
      <c r="B57" s="14" t="s">
        <v>7</v>
      </c>
      <c r="C57" s="542"/>
      <c r="D57" s="33"/>
      <c r="E57" s="141"/>
    </row>
    <row r="58" spans="1:5" x14ac:dyDescent="0.3">
      <c r="A58" s="14">
        <v>1.6</v>
      </c>
      <c r="B58" s="35" t="s">
        <v>8</v>
      </c>
      <c r="C58" s="534">
        <f>SUM(C59:C63)</f>
        <v>8425</v>
      </c>
      <c r="D58" s="534">
        <f>SUM(D59:D63)</f>
        <v>10093.75</v>
      </c>
      <c r="E58" s="141"/>
    </row>
    <row r="59" spans="1:5" x14ac:dyDescent="0.3">
      <c r="A59" s="16" t="s">
        <v>297</v>
      </c>
      <c r="B59" s="36" t="s">
        <v>52</v>
      </c>
      <c r="C59" s="542">
        <f>6740+1685</f>
        <v>8425</v>
      </c>
      <c r="D59" s="33">
        <f>8075+2018.75</f>
        <v>10093.75</v>
      </c>
      <c r="E59" s="141"/>
    </row>
    <row r="60" spans="1:5" ht="30" x14ac:dyDescent="0.3">
      <c r="A60" s="16" t="s">
        <v>298</v>
      </c>
      <c r="B60" s="36" t="s">
        <v>54</v>
      </c>
      <c r="C60" s="542"/>
      <c r="D60" s="33"/>
      <c r="E60" s="141"/>
    </row>
    <row r="61" spans="1:5" x14ac:dyDescent="0.3">
      <c r="A61" s="16" t="s">
        <v>299</v>
      </c>
      <c r="B61" s="36" t="s">
        <v>53</v>
      </c>
      <c r="C61" s="33"/>
      <c r="D61" s="33"/>
      <c r="E61" s="141"/>
    </row>
    <row r="62" spans="1:5" x14ac:dyDescent="0.3">
      <c r="A62" s="16" t="s">
        <v>300</v>
      </c>
      <c r="B62" s="36" t="s">
        <v>27</v>
      </c>
      <c r="C62" s="542"/>
      <c r="D62" s="33"/>
      <c r="E62" s="141"/>
    </row>
    <row r="63" spans="1:5" x14ac:dyDescent="0.3">
      <c r="A63" s="16" t="s">
        <v>337</v>
      </c>
      <c r="B63" s="202" t="s">
        <v>338</v>
      </c>
      <c r="C63" s="542"/>
      <c r="D63" s="203"/>
      <c r="E63" s="141"/>
    </row>
    <row r="64" spans="1:5" x14ac:dyDescent="0.3">
      <c r="A64" s="13">
        <v>2</v>
      </c>
      <c r="B64" s="37" t="s">
        <v>106</v>
      </c>
      <c r="C64" s="544"/>
      <c r="D64" s="545">
        <f>SUM(D65:D71)</f>
        <v>853</v>
      </c>
      <c r="E64" s="141"/>
    </row>
    <row r="65" spans="1:5" x14ac:dyDescent="0.3">
      <c r="A65" s="15">
        <v>2.1</v>
      </c>
      <c r="B65" s="38" t="s">
        <v>100</v>
      </c>
      <c r="C65" s="544"/>
      <c r="D65" s="546"/>
      <c r="E65" s="141"/>
    </row>
    <row r="66" spans="1:5" x14ac:dyDescent="0.3">
      <c r="A66" s="15"/>
      <c r="B66" s="38"/>
      <c r="C66" s="547"/>
      <c r="D66" s="546"/>
      <c r="E66" s="141"/>
    </row>
    <row r="67" spans="1:5" x14ac:dyDescent="0.3">
      <c r="A67" s="15">
        <v>2.2000000000000002</v>
      </c>
      <c r="B67" s="38" t="s">
        <v>104</v>
      </c>
      <c r="C67" s="547"/>
      <c r="D67" s="548"/>
      <c r="E67" s="141"/>
    </row>
    <row r="68" spans="1:5" x14ac:dyDescent="0.3">
      <c r="A68" s="15">
        <v>2.2999999999999998</v>
      </c>
      <c r="B68" s="38" t="s">
        <v>103</v>
      </c>
      <c r="C68" s="547"/>
      <c r="D68" s="548"/>
      <c r="E68" s="141"/>
    </row>
    <row r="69" spans="1:5" x14ac:dyDescent="0.3">
      <c r="A69" s="15">
        <v>2.4</v>
      </c>
      <c r="B69" s="38" t="s">
        <v>105</v>
      </c>
      <c r="C69" s="547"/>
      <c r="D69" s="548"/>
      <c r="E69" s="141"/>
    </row>
    <row r="70" spans="1:5" x14ac:dyDescent="0.3">
      <c r="A70" s="15">
        <v>2.5</v>
      </c>
      <c r="B70" s="38" t="s">
        <v>101</v>
      </c>
      <c r="C70" s="547"/>
      <c r="D70" s="548">
        <f>480+373</f>
        <v>853</v>
      </c>
      <c r="E70" s="141"/>
    </row>
    <row r="71" spans="1:5" s="2" customFormat="1" x14ac:dyDescent="0.3">
      <c r="A71" s="15">
        <v>2.6</v>
      </c>
      <c r="B71" s="624" t="s">
        <v>102</v>
      </c>
      <c r="C71" s="625"/>
      <c r="D71" s="546"/>
      <c r="E71" s="96"/>
    </row>
    <row r="72" spans="1:5" s="2" customFormat="1" x14ac:dyDescent="0.3">
      <c r="A72" s="13">
        <v>3</v>
      </c>
      <c r="B72" s="263" t="s">
        <v>451</v>
      </c>
      <c r="C72" s="549"/>
      <c r="D72" s="550"/>
      <c r="E72" s="96"/>
    </row>
    <row r="73" spans="1:5" s="2" customFormat="1" x14ac:dyDescent="0.3">
      <c r="A73" s="13">
        <v>4</v>
      </c>
      <c r="B73" s="13" t="s">
        <v>252</v>
      </c>
      <c r="C73" s="549">
        <f>SUM(C74:C75)</f>
        <v>0</v>
      </c>
      <c r="D73" s="551">
        <f>SUM(D74:D75)</f>
        <v>0</v>
      </c>
      <c r="E73" s="96"/>
    </row>
    <row r="74" spans="1:5" s="2" customFormat="1" x14ac:dyDescent="0.3">
      <c r="A74" s="15">
        <v>4.0999999999999996</v>
      </c>
      <c r="B74" s="15" t="s">
        <v>253</v>
      </c>
      <c r="C74" s="552"/>
      <c r="D74" s="552"/>
      <c r="E74" s="96"/>
    </row>
    <row r="75" spans="1:5" s="2" customFormat="1" x14ac:dyDescent="0.3">
      <c r="A75" s="15">
        <v>4.2</v>
      </c>
      <c r="B75" s="15" t="s">
        <v>254</v>
      </c>
      <c r="C75" s="552"/>
      <c r="D75" s="552"/>
      <c r="E75" s="96"/>
    </row>
    <row r="76" spans="1:5" s="2" customFormat="1" x14ac:dyDescent="0.3">
      <c r="A76" s="13">
        <v>5</v>
      </c>
      <c r="B76" s="261" t="s">
        <v>279</v>
      </c>
      <c r="C76" s="552"/>
      <c r="D76" s="551"/>
      <c r="E76" s="96"/>
    </row>
    <row r="77" spans="1:5" s="2" customFormat="1" x14ac:dyDescent="0.3">
      <c r="A77" s="640" t="s">
        <v>501</v>
      </c>
      <c r="B77" s="640"/>
      <c r="C77" s="640"/>
      <c r="D77" s="640"/>
      <c r="E77" s="96"/>
    </row>
    <row r="78" spans="1:5" s="2" customFormat="1" x14ac:dyDescent="0.3">
      <c r="A78" s="346"/>
      <c r="B78" s="346"/>
      <c r="C78" s="12"/>
      <c r="D78" s="12"/>
      <c r="E78" s="96"/>
    </row>
    <row r="79" spans="1:5" s="22" customFormat="1" ht="12.75" x14ac:dyDescent="0.2"/>
    <row r="80" spans="1:5" s="2" customFormat="1" x14ac:dyDescent="0.3">
      <c r="A80" s="60" t="s">
        <v>107</v>
      </c>
      <c r="E80" s="5"/>
    </row>
    <row r="81" spans="1:8" s="2" customFormat="1" x14ac:dyDescent="0.3">
      <c r="E81"/>
      <c r="F81"/>
      <c r="G81"/>
      <c r="H81"/>
    </row>
    <row r="82" spans="1:8" s="2" customFormat="1" x14ac:dyDescent="0.3">
      <c r="D82" s="12"/>
      <c r="E82"/>
      <c r="F82"/>
      <c r="G82"/>
      <c r="H82"/>
    </row>
    <row r="83" spans="1:8" s="2" customFormat="1" x14ac:dyDescent="0.3">
      <c r="A83"/>
      <c r="B83" s="34" t="s">
        <v>502</v>
      </c>
      <c r="D83" s="12"/>
      <c r="E83"/>
      <c r="F83"/>
      <c r="G83"/>
      <c r="H83"/>
    </row>
    <row r="84" spans="1:8" s="2" customFormat="1" x14ac:dyDescent="0.3">
      <c r="A84"/>
      <c r="B84" s="648" t="s">
        <v>503</v>
      </c>
      <c r="C84" s="648"/>
      <c r="D84" s="648"/>
      <c r="E84"/>
      <c r="F84"/>
      <c r="G84"/>
      <c r="H84"/>
    </row>
    <row r="85" spans="1:8" customFormat="1" ht="12.75" x14ac:dyDescent="0.2">
      <c r="B85" s="56" t="s">
        <v>504</v>
      </c>
    </row>
    <row r="86" spans="1:8" s="2" customFormat="1" x14ac:dyDescent="0.3">
      <c r="A86" s="11"/>
      <c r="B86" s="648" t="s">
        <v>505</v>
      </c>
      <c r="C86" s="648"/>
      <c r="D86" s="648"/>
    </row>
    <row r="87" spans="1:8" s="22" customFormat="1" ht="12.75" x14ac:dyDescent="0.2"/>
    <row r="88" spans="1:8" s="22" customFormat="1" ht="12.75" x14ac:dyDescent="0.2"/>
  </sheetData>
  <mergeCells count="5">
    <mergeCell ref="C1:D1"/>
    <mergeCell ref="A77:D77"/>
    <mergeCell ref="B84:D84"/>
    <mergeCell ref="B86:D86"/>
    <mergeCell ref="C2:E2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G40" sqref="G4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334</v>
      </c>
      <c r="B1" s="68"/>
      <c r="C1" s="638" t="s">
        <v>109</v>
      </c>
      <c r="D1" s="638"/>
      <c r="E1" s="82"/>
    </row>
    <row r="2" spans="1:5" s="6" customFormat="1" x14ac:dyDescent="0.3">
      <c r="A2" s="65" t="s">
        <v>328</v>
      </c>
      <c r="B2" s="68"/>
      <c r="C2" s="628" t="s">
        <v>645</v>
      </c>
      <c r="D2" s="639"/>
      <c r="E2" s="639"/>
    </row>
    <row r="3" spans="1:5" s="6" customFormat="1" x14ac:dyDescent="0.3">
      <c r="A3" s="67" t="s">
        <v>140</v>
      </c>
      <c r="B3" s="65"/>
      <c r="C3" s="150"/>
      <c r="D3" s="150"/>
      <c r="E3" s="82"/>
    </row>
    <row r="4" spans="1:5" s="6" customFormat="1" x14ac:dyDescent="0.3">
      <c r="A4" s="67"/>
      <c r="B4" s="67"/>
      <c r="C4" s="150"/>
      <c r="D4" s="150"/>
      <c r="E4" s="82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71" t="str">
        <f>'ფორმა N1'!D4</f>
        <v>მოქალაქეთა  პოლიტიკური გაერთიანება "ეროვნული ფორუმი"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9"/>
      <c r="B8" s="149"/>
      <c r="C8" s="69"/>
      <c r="D8" s="69"/>
      <c r="E8" s="82"/>
    </row>
    <row r="9" spans="1:5" s="6" customFormat="1" ht="30" x14ac:dyDescent="0.3">
      <c r="A9" s="80" t="s">
        <v>64</v>
      </c>
      <c r="B9" s="80" t="s">
        <v>333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329</v>
      </c>
      <c r="B10" s="89"/>
      <c r="C10" s="4"/>
      <c r="D10" s="4"/>
      <c r="E10" s="84"/>
    </row>
    <row r="11" spans="1:5" s="10" customFormat="1" x14ac:dyDescent="0.2">
      <c r="A11" s="89" t="s">
        <v>330</v>
      </c>
      <c r="B11" s="89"/>
      <c r="C11" s="4"/>
      <c r="D11" s="4"/>
      <c r="E11" s="85"/>
    </row>
    <row r="12" spans="1:5" s="10" customFormat="1" x14ac:dyDescent="0.2">
      <c r="A12" s="78" t="s">
        <v>278</v>
      </c>
      <c r="B12" s="78"/>
      <c r="C12" s="4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5" s="10" customFormat="1" ht="34.5" customHeight="1" x14ac:dyDescent="0.2">
      <c r="A17" s="89" t="s">
        <v>331</v>
      </c>
      <c r="B17" s="532" t="s">
        <v>1259</v>
      </c>
      <c r="C17" s="4">
        <v>12406</v>
      </c>
      <c r="D17" s="4">
        <f>6250+900+1980+265+976+2035</f>
        <v>12406</v>
      </c>
      <c r="E17" s="85"/>
    </row>
    <row r="18" spans="1:5" s="10" customFormat="1" ht="34.5" customHeight="1" x14ac:dyDescent="0.2">
      <c r="A18" s="89" t="s">
        <v>332</v>
      </c>
      <c r="B18" s="532" t="s">
        <v>1260</v>
      </c>
      <c r="C18" s="4">
        <v>27375</v>
      </c>
      <c r="D18" s="4">
        <v>27375</v>
      </c>
      <c r="E18" s="85"/>
    </row>
    <row r="19" spans="1:5" s="10" customFormat="1" ht="45" x14ac:dyDescent="0.2">
      <c r="A19" s="89" t="s">
        <v>1261</v>
      </c>
      <c r="B19" s="78" t="s">
        <v>1262</v>
      </c>
      <c r="C19" s="4">
        <f>1875+5975</f>
        <v>7850</v>
      </c>
      <c r="D19" s="4">
        <f>1875+5975</f>
        <v>7850</v>
      </c>
      <c r="E19" s="85"/>
    </row>
    <row r="20" spans="1:5" s="10" customFormat="1" ht="30" x14ac:dyDescent="0.2">
      <c r="A20" s="89" t="s">
        <v>1263</v>
      </c>
      <c r="B20" s="78" t="s">
        <v>1264</v>
      </c>
      <c r="C20" s="4">
        <v>125</v>
      </c>
      <c r="D20" s="4">
        <v>125</v>
      </c>
      <c r="E20" s="85"/>
    </row>
    <row r="21" spans="1:5" s="10" customFormat="1" ht="30" x14ac:dyDescent="0.2">
      <c r="A21" s="89" t="s">
        <v>1265</v>
      </c>
      <c r="B21" s="78" t="s">
        <v>656</v>
      </c>
      <c r="C21" s="419">
        <f>336500+34890-40</f>
        <v>371350</v>
      </c>
      <c r="D21" s="4">
        <f>336500+34890-40</f>
        <v>371350</v>
      </c>
      <c r="E21" s="85"/>
    </row>
    <row r="22" spans="1:5" s="10" customFormat="1" ht="45" x14ac:dyDescent="0.2">
      <c r="A22" s="89" t="s">
        <v>1266</v>
      </c>
      <c r="B22" s="78" t="s">
        <v>1267</v>
      </c>
      <c r="C22" s="419">
        <v>4320</v>
      </c>
      <c r="D22" s="4"/>
      <c r="E22" s="85"/>
    </row>
    <row r="23" spans="1:5" s="10" customFormat="1" x14ac:dyDescent="0.2">
      <c r="A23" s="78" t="s">
        <v>278</v>
      </c>
      <c r="B23" s="78"/>
      <c r="C23" s="4"/>
      <c r="D23" s="4"/>
      <c r="E23" s="85"/>
    </row>
    <row r="24" spans="1:5" s="3" customFormat="1" x14ac:dyDescent="0.2">
      <c r="A24" s="79"/>
      <c r="B24" s="79"/>
      <c r="C24" s="4"/>
      <c r="D24" s="4"/>
      <c r="E24" s="86"/>
    </row>
    <row r="25" spans="1:5" x14ac:dyDescent="0.3">
      <c r="A25" s="90"/>
      <c r="B25" s="90" t="s">
        <v>335</v>
      </c>
      <c r="C25" s="77">
        <f>SUM(C10:C24)</f>
        <v>423426</v>
      </c>
      <c r="D25" s="77">
        <f>SUM(D10:D24)</f>
        <v>419106</v>
      </c>
      <c r="E25" s="87"/>
    </row>
    <row r="26" spans="1:5" x14ac:dyDescent="0.3">
      <c r="A26" s="34"/>
      <c r="B26" s="3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01" t="s">
        <v>420</v>
      </c>
    </row>
    <row r="30" spans="1:5" x14ac:dyDescent="0.3">
      <c r="A30" s="201"/>
    </row>
    <row r="31" spans="1:5" x14ac:dyDescent="0.3">
      <c r="A31" s="201" t="s">
        <v>352</v>
      </c>
    </row>
    <row r="32" spans="1:5" s="22" customFormat="1" ht="12.75" x14ac:dyDescent="0.2"/>
    <row r="33" spans="1:9" x14ac:dyDescent="0.3">
      <c r="A33" s="6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0"/>
      <c r="B36" s="6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56"/>
      <c r="B38" s="56" t="s">
        <v>139</v>
      </c>
    </row>
    <row r="39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view="pageBreakPreview" topLeftCell="A13" zoomScale="80" zoomScaleSheetLayoutView="80" workbookViewId="0">
      <selection activeCell="C36" sqref="C36"/>
    </sheetView>
  </sheetViews>
  <sheetFormatPr defaultRowHeight="12.75" x14ac:dyDescent="0.2"/>
  <cols>
    <col min="1" max="1" width="5.42578125" style="171" customWidth="1"/>
    <col min="2" max="2" width="20.85546875" style="171" customWidth="1"/>
    <col min="3" max="3" width="26" style="171" customWidth="1"/>
    <col min="4" max="4" width="17" style="171" customWidth="1"/>
    <col min="5" max="5" width="18.140625" style="171" customWidth="1"/>
    <col min="6" max="6" width="14.7109375" style="171" customWidth="1"/>
    <col min="7" max="7" width="15.5703125" style="171" customWidth="1"/>
    <col min="8" max="8" width="14.7109375" style="171" customWidth="1"/>
    <col min="9" max="9" width="29.7109375" style="171" customWidth="1"/>
    <col min="10" max="10" width="0" style="171" hidden="1" customWidth="1"/>
    <col min="11" max="16384" width="9.140625" style="171"/>
  </cols>
  <sheetData>
    <row r="1" spans="1:11" ht="15" x14ac:dyDescent="0.3">
      <c r="A1" s="65" t="s">
        <v>476</v>
      </c>
      <c r="B1" s="65"/>
      <c r="C1" s="68"/>
      <c r="D1" s="68"/>
      <c r="E1" s="68"/>
      <c r="F1" s="68"/>
      <c r="G1" s="268"/>
      <c r="H1" s="268"/>
      <c r="I1" s="638" t="s">
        <v>109</v>
      </c>
      <c r="J1" s="638"/>
    </row>
    <row r="2" spans="1:11" ht="15" x14ac:dyDescent="0.3">
      <c r="A2" s="67" t="s">
        <v>140</v>
      </c>
      <c r="B2" s="65"/>
      <c r="C2" s="68"/>
      <c r="D2" s="68"/>
      <c r="E2" s="68"/>
      <c r="F2" s="68"/>
      <c r="G2" s="268"/>
      <c r="H2" s="268"/>
      <c r="I2" s="628" t="s">
        <v>645</v>
      </c>
      <c r="J2" s="639"/>
      <c r="K2" s="639"/>
    </row>
    <row r="3" spans="1:11" ht="15" x14ac:dyDescent="0.3">
      <c r="A3" s="67"/>
      <c r="B3" s="67"/>
      <c r="C3" s="65"/>
      <c r="D3" s="65"/>
      <c r="E3" s="65"/>
      <c r="F3" s="65"/>
      <c r="G3" s="268"/>
      <c r="H3" s="268"/>
      <c r="I3" s="268"/>
    </row>
    <row r="4" spans="1:11" ht="15" x14ac:dyDescent="0.3">
      <c r="A4" s="68" t="s">
        <v>274</v>
      </c>
      <c r="B4" s="68"/>
      <c r="C4" s="68"/>
      <c r="D4" s="68"/>
      <c r="E4" s="68"/>
      <c r="F4" s="68"/>
      <c r="G4" s="67"/>
      <c r="H4" s="67"/>
      <c r="I4" s="67"/>
    </row>
    <row r="5" spans="1:11" ht="15" x14ac:dyDescent="0.3">
      <c r="A5" s="71" t="str">
        <f>'ფორმა N1'!D4</f>
        <v>მოქალაქეთა  პოლიტიკური გაერთიანება "ეროვნული ფორუმი"</v>
      </c>
      <c r="B5" s="71"/>
      <c r="C5" s="71"/>
      <c r="D5" s="71"/>
      <c r="E5" s="71"/>
      <c r="F5" s="71"/>
      <c r="G5" s="72"/>
      <c r="H5" s="72"/>
      <c r="I5" s="72"/>
    </row>
    <row r="6" spans="1:11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1" ht="15" x14ac:dyDescent="0.2">
      <c r="A7" s="267"/>
      <c r="B7" s="267"/>
      <c r="C7" s="267"/>
      <c r="D7" s="267"/>
      <c r="E7" s="267"/>
      <c r="F7" s="267"/>
      <c r="G7" s="69"/>
      <c r="H7" s="69"/>
      <c r="I7" s="69"/>
    </row>
    <row r="8" spans="1:11" ht="45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345</v>
      </c>
      <c r="F8" s="81" t="s">
        <v>349</v>
      </c>
      <c r="G8" s="70" t="s">
        <v>10</v>
      </c>
      <c r="H8" s="70" t="s">
        <v>9</v>
      </c>
      <c r="I8" s="70" t="s">
        <v>396</v>
      </c>
      <c r="J8" s="216" t="s">
        <v>348</v>
      </c>
    </row>
    <row r="9" spans="1:11" ht="21.75" customHeight="1" x14ac:dyDescent="0.2">
      <c r="A9" s="89">
        <v>1</v>
      </c>
      <c r="B9" s="494" t="s">
        <v>1187</v>
      </c>
      <c r="C9" s="494" t="s">
        <v>663</v>
      </c>
      <c r="D9" s="398" t="s">
        <v>564</v>
      </c>
      <c r="E9" s="527" t="s">
        <v>1238</v>
      </c>
      <c r="F9" s="494" t="s">
        <v>348</v>
      </c>
      <c r="G9" s="528">
        <v>11000</v>
      </c>
      <c r="H9" s="528">
        <v>10300</v>
      </c>
      <c r="I9" s="419">
        <f>H9*20%</f>
        <v>2060</v>
      </c>
      <c r="J9" s="216" t="s">
        <v>0</v>
      </c>
    </row>
    <row r="10" spans="1:11" ht="21.75" customHeight="1" x14ac:dyDescent="0.2">
      <c r="A10" s="89">
        <v>2</v>
      </c>
      <c r="B10" s="494" t="s">
        <v>1189</v>
      </c>
      <c r="C10" s="494" t="s">
        <v>1190</v>
      </c>
      <c r="D10" s="398" t="s">
        <v>1191</v>
      </c>
      <c r="E10" s="527" t="s">
        <v>1238</v>
      </c>
      <c r="F10" s="494" t="s">
        <v>348</v>
      </c>
      <c r="G10" s="529">
        <v>8000</v>
      </c>
      <c r="H10" s="529">
        <v>7800</v>
      </c>
      <c r="I10" s="419">
        <f t="shared" ref="I10:I35" si="0">H10*20%</f>
        <v>1560</v>
      </c>
    </row>
    <row r="11" spans="1:11" ht="21.75" customHeight="1" x14ac:dyDescent="0.2">
      <c r="A11" s="89">
        <v>3</v>
      </c>
      <c r="B11" s="494" t="s">
        <v>715</v>
      </c>
      <c r="C11" s="494" t="s">
        <v>1239</v>
      </c>
      <c r="D11" s="398" t="s">
        <v>1240</v>
      </c>
      <c r="E11" s="527" t="s">
        <v>1238</v>
      </c>
      <c r="F11" s="494" t="s">
        <v>348</v>
      </c>
      <c r="G11" s="529">
        <v>8000</v>
      </c>
      <c r="H11" s="528">
        <v>9400</v>
      </c>
      <c r="I11" s="419">
        <f t="shared" si="0"/>
        <v>1880</v>
      </c>
    </row>
    <row r="12" spans="1:11" ht="21.75" customHeight="1" x14ac:dyDescent="0.2">
      <c r="A12" s="89">
        <v>4</v>
      </c>
      <c r="B12" s="494" t="s">
        <v>892</v>
      </c>
      <c r="C12" s="494" t="s">
        <v>1162</v>
      </c>
      <c r="D12" s="494">
        <v>65002007395</v>
      </c>
      <c r="E12" s="527" t="s">
        <v>1238</v>
      </c>
      <c r="F12" s="494" t="s">
        <v>348</v>
      </c>
      <c r="G12" s="529">
        <v>8000</v>
      </c>
      <c r="H12" s="529">
        <v>9400</v>
      </c>
      <c r="I12" s="419">
        <f t="shared" si="0"/>
        <v>1880</v>
      </c>
    </row>
    <row r="13" spans="1:11" ht="21.75" customHeight="1" x14ac:dyDescent="0.2">
      <c r="A13" s="89">
        <v>5</v>
      </c>
      <c r="B13" s="494" t="s">
        <v>1241</v>
      </c>
      <c r="C13" s="494" t="s">
        <v>1242</v>
      </c>
      <c r="D13" s="504">
        <v>61001005366</v>
      </c>
      <c r="E13" s="527" t="s">
        <v>1238</v>
      </c>
      <c r="F13" s="494" t="s">
        <v>348</v>
      </c>
      <c r="G13" s="529">
        <v>8000</v>
      </c>
      <c r="H13" s="528">
        <v>7800</v>
      </c>
      <c r="I13" s="419">
        <f t="shared" si="0"/>
        <v>1560</v>
      </c>
    </row>
    <row r="14" spans="1:11" ht="21.75" customHeight="1" x14ac:dyDescent="0.2">
      <c r="A14" s="89">
        <v>6</v>
      </c>
      <c r="B14" s="494" t="s">
        <v>1158</v>
      </c>
      <c r="C14" s="494" t="s">
        <v>668</v>
      </c>
      <c r="D14" s="398" t="s">
        <v>560</v>
      </c>
      <c r="E14" s="527" t="s">
        <v>1238</v>
      </c>
      <c r="F14" s="494" t="s">
        <v>348</v>
      </c>
      <c r="G14" s="529">
        <v>8000</v>
      </c>
      <c r="H14" s="529">
        <v>9200</v>
      </c>
      <c r="I14" s="419">
        <f t="shared" si="0"/>
        <v>1840</v>
      </c>
    </row>
    <row r="15" spans="1:11" ht="21.75" customHeight="1" x14ac:dyDescent="0.2">
      <c r="A15" s="89">
        <v>7</v>
      </c>
      <c r="B15" s="494" t="s">
        <v>1243</v>
      </c>
      <c r="C15" s="494" t="s">
        <v>1244</v>
      </c>
      <c r="D15" s="398" t="s">
        <v>1245</v>
      </c>
      <c r="E15" s="527" t="s">
        <v>1238</v>
      </c>
      <c r="F15" s="494" t="s">
        <v>348</v>
      </c>
      <c r="G15" s="529">
        <v>7000</v>
      </c>
      <c r="H15" s="529">
        <v>6600</v>
      </c>
      <c r="I15" s="419">
        <f t="shared" si="0"/>
        <v>1320</v>
      </c>
    </row>
    <row r="16" spans="1:11" ht="21.75" customHeight="1" x14ac:dyDescent="0.2">
      <c r="A16" s="89">
        <v>8</v>
      </c>
      <c r="B16" s="494" t="s">
        <v>739</v>
      </c>
      <c r="C16" s="494" t="s">
        <v>1193</v>
      </c>
      <c r="D16" s="398" t="s">
        <v>550</v>
      </c>
      <c r="E16" s="527" t="s">
        <v>1238</v>
      </c>
      <c r="F16" s="494" t="s">
        <v>348</v>
      </c>
      <c r="G16" s="529">
        <v>6500</v>
      </c>
      <c r="H16" s="528">
        <v>5200</v>
      </c>
      <c r="I16" s="419">
        <f t="shared" si="0"/>
        <v>1040</v>
      </c>
    </row>
    <row r="17" spans="1:10" ht="21.75" customHeight="1" x14ac:dyDescent="0.2">
      <c r="A17" s="89">
        <v>9</v>
      </c>
      <c r="B17" s="494" t="s">
        <v>1185</v>
      </c>
      <c r="C17" s="494" t="s">
        <v>1186</v>
      </c>
      <c r="D17" s="398" t="s">
        <v>548</v>
      </c>
      <c r="E17" s="527" t="s">
        <v>1238</v>
      </c>
      <c r="F17" s="494" t="s">
        <v>348</v>
      </c>
      <c r="G17" s="529">
        <v>6000</v>
      </c>
      <c r="H17" s="529">
        <v>6900</v>
      </c>
      <c r="I17" s="419">
        <f t="shared" si="0"/>
        <v>1380</v>
      </c>
    </row>
    <row r="18" spans="1:10" ht="21.75" customHeight="1" x14ac:dyDescent="0.2">
      <c r="A18" s="89">
        <v>10</v>
      </c>
      <c r="B18" s="494" t="s">
        <v>1177</v>
      </c>
      <c r="C18" s="494" t="s">
        <v>1178</v>
      </c>
      <c r="D18" s="398" t="s">
        <v>1165</v>
      </c>
      <c r="E18" s="527" t="s">
        <v>1238</v>
      </c>
      <c r="F18" s="494" t="s">
        <v>348</v>
      </c>
      <c r="G18" s="529">
        <v>4500</v>
      </c>
      <c r="H18" s="528">
        <v>3600</v>
      </c>
      <c r="I18" s="419">
        <f t="shared" si="0"/>
        <v>720</v>
      </c>
    </row>
    <row r="19" spans="1:10" ht="21.75" customHeight="1" x14ac:dyDescent="0.2">
      <c r="A19" s="89">
        <v>11</v>
      </c>
      <c r="B19" s="494" t="s">
        <v>676</v>
      </c>
      <c r="C19" s="494" t="s">
        <v>677</v>
      </c>
      <c r="D19" s="398" t="s">
        <v>572</v>
      </c>
      <c r="E19" s="527" t="s">
        <v>1238</v>
      </c>
      <c r="F19" s="494" t="s">
        <v>348</v>
      </c>
      <c r="G19" s="529">
        <v>4500</v>
      </c>
      <c r="H19" s="529">
        <v>6200</v>
      </c>
      <c r="I19" s="419">
        <f t="shared" si="0"/>
        <v>1240</v>
      </c>
    </row>
    <row r="20" spans="1:10" ht="21.75" customHeight="1" x14ac:dyDescent="0.2">
      <c r="A20" s="89">
        <v>12</v>
      </c>
      <c r="B20" s="494" t="s">
        <v>892</v>
      </c>
      <c r="C20" s="494" t="s">
        <v>1159</v>
      </c>
      <c r="D20" s="398" t="s">
        <v>570</v>
      </c>
      <c r="E20" s="527" t="s">
        <v>1238</v>
      </c>
      <c r="F20" s="494" t="s">
        <v>348</v>
      </c>
      <c r="G20" s="529">
        <v>5500</v>
      </c>
      <c r="H20" s="528">
        <v>6200</v>
      </c>
      <c r="I20" s="419">
        <f t="shared" si="0"/>
        <v>1240</v>
      </c>
    </row>
    <row r="21" spans="1:10" ht="21.75" customHeight="1" x14ac:dyDescent="0.2">
      <c r="A21" s="89">
        <v>13</v>
      </c>
      <c r="B21" s="494" t="s">
        <v>672</v>
      </c>
      <c r="C21" s="494" t="s">
        <v>673</v>
      </c>
      <c r="D21" s="398" t="s">
        <v>1160</v>
      </c>
      <c r="E21" s="527" t="s">
        <v>1238</v>
      </c>
      <c r="F21" s="494" t="s">
        <v>348</v>
      </c>
      <c r="G21" s="529">
        <v>5500</v>
      </c>
      <c r="H21" s="529">
        <v>6200</v>
      </c>
      <c r="I21" s="419">
        <f t="shared" si="0"/>
        <v>1240</v>
      </c>
    </row>
    <row r="22" spans="1:10" ht="21.75" customHeight="1" x14ac:dyDescent="0.2">
      <c r="A22" s="89">
        <v>14</v>
      </c>
      <c r="B22" s="494" t="s">
        <v>1246</v>
      </c>
      <c r="C22" s="494" t="s">
        <v>1247</v>
      </c>
      <c r="D22" s="398" t="s">
        <v>1248</v>
      </c>
      <c r="E22" s="527" t="s">
        <v>1238</v>
      </c>
      <c r="F22" s="494" t="s">
        <v>348</v>
      </c>
      <c r="G22" s="529">
        <v>1250</v>
      </c>
      <c r="H22" s="528">
        <v>1500</v>
      </c>
      <c r="I22" s="419">
        <f t="shared" si="0"/>
        <v>300</v>
      </c>
    </row>
    <row r="23" spans="1:10" ht="21.75" customHeight="1" x14ac:dyDescent="0.2">
      <c r="A23" s="89">
        <v>15</v>
      </c>
      <c r="B23" s="494" t="s">
        <v>1249</v>
      </c>
      <c r="C23" s="494" t="s">
        <v>1250</v>
      </c>
      <c r="D23" s="398" t="s">
        <v>1251</v>
      </c>
      <c r="E23" s="527" t="s">
        <v>1238</v>
      </c>
      <c r="F23" s="494" t="s">
        <v>348</v>
      </c>
      <c r="G23" s="529">
        <v>2750</v>
      </c>
      <c r="H23" s="529">
        <v>3250</v>
      </c>
      <c r="I23" s="419">
        <f t="shared" si="0"/>
        <v>650</v>
      </c>
    </row>
    <row r="24" spans="1:10" ht="21.75" customHeight="1" x14ac:dyDescent="0.2">
      <c r="A24" s="89">
        <v>16</v>
      </c>
      <c r="B24" s="494" t="s">
        <v>680</v>
      </c>
      <c r="C24" s="494" t="s">
        <v>681</v>
      </c>
      <c r="D24" s="412" t="s">
        <v>525</v>
      </c>
      <c r="E24" s="527" t="s">
        <v>1238</v>
      </c>
      <c r="F24" s="494" t="s">
        <v>348</v>
      </c>
      <c r="G24" s="529">
        <v>10000</v>
      </c>
      <c r="H24" s="528">
        <v>11400</v>
      </c>
      <c r="I24" s="419">
        <f t="shared" si="0"/>
        <v>2280</v>
      </c>
      <c r="J24" s="216" t="s">
        <v>0</v>
      </c>
    </row>
    <row r="25" spans="1:10" ht="21.75" customHeight="1" x14ac:dyDescent="0.2">
      <c r="A25" s="89">
        <v>17</v>
      </c>
      <c r="B25" s="494" t="s">
        <v>1182</v>
      </c>
      <c r="C25" s="494" t="s">
        <v>1183</v>
      </c>
      <c r="D25" s="412" t="s">
        <v>1184</v>
      </c>
      <c r="E25" s="527" t="s">
        <v>1238</v>
      </c>
      <c r="F25" s="494" t="s">
        <v>348</v>
      </c>
      <c r="G25" s="529">
        <v>4500</v>
      </c>
      <c r="H25" s="529">
        <v>4500</v>
      </c>
      <c r="I25" s="419">
        <f t="shared" si="0"/>
        <v>900</v>
      </c>
    </row>
    <row r="26" spans="1:10" ht="21.75" customHeight="1" x14ac:dyDescent="0.2">
      <c r="A26" s="89">
        <v>18</v>
      </c>
      <c r="B26" s="494" t="s">
        <v>1167</v>
      </c>
      <c r="C26" s="494" t="s">
        <v>1168</v>
      </c>
      <c r="D26" s="412" t="s">
        <v>1169</v>
      </c>
      <c r="E26" s="527" t="s">
        <v>1238</v>
      </c>
      <c r="F26" s="494" t="s">
        <v>348</v>
      </c>
      <c r="G26" s="529">
        <v>4500</v>
      </c>
      <c r="H26" s="529">
        <v>4500</v>
      </c>
      <c r="I26" s="419">
        <f t="shared" si="0"/>
        <v>900</v>
      </c>
    </row>
    <row r="27" spans="1:10" ht="21.75" customHeight="1" x14ac:dyDescent="0.2">
      <c r="A27" s="89">
        <v>19</v>
      </c>
      <c r="B27" s="494" t="s">
        <v>892</v>
      </c>
      <c r="C27" s="494" t="s">
        <v>1166</v>
      </c>
      <c r="D27" s="412" t="s">
        <v>562</v>
      </c>
      <c r="E27" s="527" t="s">
        <v>1238</v>
      </c>
      <c r="F27" s="494" t="s">
        <v>348</v>
      </c>
      <c r="G27" s="529">
        <v>4500</v>
      </c>
      <c r="H27" s="529">
        <v>4500</v>
      </c>
      <c r="I27" s="419">
        <f t="shared" si="0"/>
        <v>900</v>
      </c>
    </row>
    <row r="28" spans="1:10" ht="21.75" customHeight="1" x14ac:dyDescent="0.2">
      <c r="A28" s="89">
        <v>20</v>
      </c>
      <c r="B28" s="494" t="s">
        <v>1179</v>
      </c>
      <c r="C28" s="494" t="s">
        <v>1180</v>
      </c>
      <c r="D28" s="412" t="s">
        <v>1181</v>
      </c>
      <c r="E28" s="527" t="s">
        <v>1238</v>
      </c>
      <c r="F28" s="494" t="s">
        <v>348</v>
      </c>
      <c r="G28" s="529">
        <v>4500</v>
      </c>
      <c r="H28" s="529">
        <v>4500</v>
      </c>
      <c r="I28" s="419">
        <f t="shared" si="0"/>
        <v>900</v>
      </c>
    </row>
    <row r="29" spans="1:10" ht="21.75" customHeight="1" x14ac:dyDescent="0.2">
      <c r="A29" s="89">
        <v>21</v>
      </c>
      <c r="B29" s="494" t="s">
        <v>680</v>
      </c>
      <c r="C29" s="494" t="s">
        <v>1199</v>
      </c>
      <c r="D29" s="412" t="s">
        <v>1200</v>
      </c>
      <c r="E29" s="527" t="s">
        <v>1238</v>
      </c>
      <c r="F29" s="494" t="s">
        <v>348</v>
      </c>
      <c r="G29" s="529">
        <v>4500</v>
      </c>
      <c r="H29" s="529">
        <v>4500</v>
      </c>
      <c r="I29" s="419">
        <f t="shared" si="0"/>
        <v>900</v>
      </c>
    </row>
    <row r="30" spans="1:10" ht="21.75" customHeight="1" x14ac:dyDescent="0.2">
      <c r="A30" s="89">
        <v>22</v>
      </c>
      <c r="B30" s="530" t="s">
        <v>1170</v>
      </c>
      <c r="C30" s="530" t="s">
        <v>1171</v>
      </c>
      <c r="D30" s="531" t="s">
        <v>546</v>
      </c>
      <c r="E30" s="527" t="s">
        <v>1238</v>
      </c>
      <c r="F30" s="494" t="s">
        <v>348</v>
      </c>
      <c r="G30" s="529">
        <v>4500</v>
      </c>
      <c r="H30" s="529">
        <v>4500</v>
      </c>
      <c r="I30" s="419">
        <f t="shared" si="0"/>
        <v>900</v>
      </c>
    </row>
    <row r="31" spans="1:10" ht="21.75" customHeight="1" x14ac:dyDescent="0.2">
      <c r="A31" s="89">
        <v>23</v>
      </c>
      <c r="B31" s="494" t="s">
        <v>747</v>
      </c>
      <c r="C31" s="494" t="s">
        <v>1252</v>
      </c>
      <c r="D31" s="412" t="s">
        <v>1253</v>
      </c>
      <c r="E31" s="527" t="s">
        <v>1238</v>
      </c>
      <c r="F31" s="494" t="s">
        <v>348</v>
      </c>
      <c r="G31" s="528">
        <v>2500</v>
      </c>
      <c r="H31" s="529">
        <v>2500</v>
      </c>
      <c r="I31" s="419">
        <f t="shared" si="0"/>
        <v>500</v>
      </c>
    </row>
    <row r="32" spans="1:10" ht="21.75" customHeight="1" x14ac:dyDescent="0.2">
      <c r="A32" s="89">
        <v>24</v>
      </c>
      <c r="B32" s="494" t="s">
        <v>1254</v>
      </c>
      <c r="C32" s="494" t="s">
        <v>1255</v>
      </c>
      <c r="D32" s="412" t="s">
        <v>1256</v>
      </c>
      <c r="E32" s="527" t="s">
        <v>1238</v>
      </c>
      <c r="F32" s="494" t="s">
        <v>348</v>
      </c>
      <c r="G32" s="529">
        <v>2500</v>
      </c>
      <c r="H32" s="528">
        <v>2500</v>
      </c>
      <c r="I32" s="419">
        <f t="shared" si="0"/>
        <v>500</v>
      </c>
    </row>
    <row r="33" spans="1:9" ht="21.75" customHeight="1" x14ac:dyDescent="0.2">
      <c r="A33" s="89">
        <v>25</v>
      </c>
      <c r="B33" s="494" t="s">
        <v>920</v>
      </c>
      <c r="C33" s="494" t="s">
        <v>1257</v>
      </c>
      <c r="D33" s="398" t="s">
        <v>1258</v>
      </c>
      <c r="E33" s="527" t="s">
        <v>1238</v>
      </c>
      <c r="F33" s="494" t="s">
        <v>348</v>
      </c>
      <c r="G33" s="529">
        <v>1600</v>
      </c>
      <c r="H33" s="529">
        <v>1600</v>
      </c>
      <c r="I33" s="419">
        <f t="shared" si="0"/>
        <v>320</v>
      </c>
    </row>
    <row r="34" spans="1:9" ht="21.75" customHeight="1" x14ac:dyDescent="0.2">
      <c r="A34" s="89">
        <v>26</v>
      </c>
      <c r="B34" s="494" t="s">
        <v>739</v>
      </c>
      <c r="C34" s="494" t="s">
        <v>1193</v>
      </c>
      <c r="D34" s="398" t="s">
        <v>550</v>
      </c>
      <c r="E34" s="527" t="s">
        <v>1238</v>
      </c>
      <c r="F34" s="494" t="s">
        <v>0</v>
      </c>
      <c r="G34" s="528">
        <v>1300</v>
      </c>
      <c r="H34" s="528">
        <v>1300</v>
      </c>
      <c r="I34" s="419">
        <f t="shared" si="0"/>
        <v>260</v>
      </c>
    </row>
    <row r="35" spans="1:9" ht="21.75" customHeight="1" x14ac:dyDescent="0.2">
      <c r="A35" s="89">
        <v>27</v>
      </c>
      <c r="B35" s="494" t="s">
        <v>1185</v>
      </c>
      <c r="C35" s="494" t="s">
        <v>1186</v>
      </c>
      <c r="D35" s="398" t="s">
        <v>548</v>
      </c>
      <c r="E35" s="527" t="s">
        <v>1238</v>
      </c>
      <c r="F35" s="494" t="s">
        <v>0</v>
      </c>
      <c r="G35" s="529">
        <v>1200</v>
      </c>
      <c r="H35" s="529">
        <v>1200</v>
      </c>
      <c r="I35" s="419">
        <f t="shared" si="0"/>
        <v>240</v>
      </c>
    </row>
    <row r="36" spans="1:9" ht="15" x14ac:dyDescent="0.2">
      <c r="A36" s="89">
        <v>28</v>
      </c>
      <c r="B36" s="78"/>
      <c r="C36" s="78"/>
      <c r="D36" s="78"/>
      <c r="E36" s="78"/>
      <c r="F36" s="89"/>
      <c r="G36" s="4"/>
      <c r="H36" s="4"/>
      <c r="I36" s="4"/>
    </row>
    <row r="37" spans="1:9" ht="15" x14ac:dyDescent="0.2">
      <c r="A37" s="78" t="s">
        <v>276</v>
      </c>
      <c r="B37" s="78"/>
      <c r="C37" s="78"/>
      <c r="D37" s="78"/>
      <c r="E37" s="78"/>
      <c r="F37" s="89"/>
      <c r="G37" s="4"/>
      <c r="H37" s="4"/>
      <c r="I37" s="4"/>
    </row>
    <row r="38" spans="1:9" ht="15" x14ac:dyDescent="0.3">
      <c r="A38" s="78"/>
      <c r="B38" s="90"/>
      <c r="C38" s="90"/>
      <c r="D38" s="90"/>
      <c r="E38" s="90"/>
      <c r="F38" s="78" t="s">
        <v>456</v>
      </c>
      <c r="G38" s="77">
        <f>SUM(G9:G37)</f>
        <v>140600</v>
      </c>
      <c r="H38" s="77">
        <f>SUM(H9:H37)</f>
        <v>147050</v>
      </c>
      <c r="I38" s="77">
        <f>SUM(I9:I37)</f>
        <v>29410</v>
      </c>
    </row>
    <row r="39" spans="1:9" ht="15" x14ac:dyDescent="0.3">
      <c r="A39" s="214"/>
      <c r="B39" s="214"/>
      <c r="C39" s="214"/>
      <c r="D39" s="214"/>
      <c r="E39" s="214"/>
      <c r="F39" s="214"/>
      <c r="G39" s="214"/>
      <c r="H39" s="170"/>
      <c r="I39" s="170"/>
    </row>
    <row r="40" spans="1:9" ht="15" x14ac:dyDescent="0.3">
      <c r="A40" s="215" t="s">
        <v>477</v>
      </c>
      <c r="B40" s="215"/>
      <c r="C40" s="214"/>
      <c r="D40" s="214"/>
      <c r="E40" s="214"/>
      <c r="F40" s="214"/>
      <c r="G40" s="214"/>
      <c r="H40" s="170"/>
      <c r="I40" s="170"/>
    </row>
    <row r="41" spans="1:9" ht="15" x14ac:dyDescent="0.3">
      <c r="A41" s="215"/>
      <c r="B41" s="215"/>
      <c r="C41" s="214"/>
      <c r="D41" s="214"/>
      <c r="E41" s="214"/>
      <c r="F41" s="214"/>
      <c r="G41" s="214"/>
      <c r="H41" s="170"/>
      <c r="I41" s="170"/>
    </row>
    <row r="42" spans="1:9" ht="15" x14ac:dyDescent="0.3">
      <c r="A42" s="215"/>
      <c r="B42" s="215"/>
      <c r="C42" s="170"/>
      <c r="D42" s="170"/>
      <c r="E42" s="170"/>
      <c r="F42" s="170"/>
      <c r="G42" s="170"/>
      <c r="H42" s="170"/>
      <c r="I42" s="170"/>
    </row>
    <row r="43" spans="1:9" ht="15" x14ac:dyDescent="0.3">
      <c r="A43" s="215"/>
      <c r="B43" s="215"/>
      <c r="C43" s="170"/>
      <c r="D43" s="170"/>
      <c r="E43" s="170"/>
      <c r="F43" s="170"/>
      <c r="G43" s="170"/>
      <c r="H43" s="170"/>
      <c r="I43" s="170"/>
    </row>
    <row r="44" spans="1:9" x14ac:dyDescent="0.2">
      <c r="A44" s="211"/>
      <c r="B44" s="211"/>
      <c r="C44" s="211"/>
      <c r="D44" s="211"/>
      <c r="E44" s="211"/>
      <c r="F44" s="211"/>
      <c r="G44" s="211"/>
      <c r="H44" s="211"/>
      <c r="I44" s="211"/>
    </row>
    <row r="45" spans="1:9" ht="15" x14ac:dyDescent="0.3">
      <c r="A45" s="176" t="s">
        <v>107</v>
      </c>
      <c r="B45" s="176"/>
      <c r="C45" s="170"/>
      <c r="D45" s="170"/>
      <c r="E45" s="170"/>
      <c r="F45" s="170"/>
      <c r="G45" s="170"/>
      <c r="H45" s="170"/>
      <c r="I45" s="170"/>
    </row>
    <row r="46" spans="1:9" ht="15" x14ac:dyDescent="0.3">
      <c r="A46" s="170"/>
      <c r="B46" s="170"/>
      <c r="C46" s="170"/>
      <c r="D46" s="170"/>
      <c r="E46" s="170"/>
      <c r="F46" s="170"/>
      <c r="G46" s="170"/>
      <c r="H46" s="170"/>
      <c r="I46" s="170"/>
    </row>
    <row r="47" spans="1:9" ht="15" x14ac:dyDescent="0.3">
      <c r="A47" s="170"/>
      <c r="B47" s="170"/>
      <c r="C47" s="170"/>
      <c r="D47" s="170"/>
      <c r="E47" s="174"/>
      <c r="F47" s="174"/>
      <c r="G47" s="174"/>
      <c r="H47" s="170"/>
      <c r="I47" s="170"/>
    </row>
    <row r="48" spans="1:9" ht="15" x14ac:dyDescent="0.3">
      <c r="A48" s="176"/>
      <c r="B48" s="176"/>
      <c r="C48" s="176" t="s">
        <v>395</v>
      </c>
      <c r="D48" s="176"/>
      <c r="E48" s="176"/>
      <c r="F48" s="176"/>
      <c r="G48" s="176"/>
      <c r="H48" s="170"/>
      <c r="I48" s="170"/>
    </row>
    <row r="49" spans="1:9" ht="15" x14ac:dyDescent="0.3">
      <c r="A49" s="170"/>
      <c r="B49" s="170"/>
      <c r="C49" s="170" t="s">
        <v>394</v>
      </c>
      <c r="D49" s="170"/>
      <c r="E49" s="170"/>
      <c r="F49" s="170"/>
      <c r="G49" s="170"/>
      <c r="H49" s="170"/>
      <c r="I49" s="170"/>
    </row>
    <row r="50" spans="1:9" x14ac:dyDescent="0.2">
      <c r="A50" s="178"/>
      <c r="B50" s="178"/>
      <c r="C50" s="178" t="s">
        <v>139</v>
      </c>
      <c r="D50" s="178"/>
      <c r="E50" s="178"/>
      <c r="F50" s="178"/>
      <c r="G50" s="178"/>
    </row>
  </sheetData>
  <mergeCells count="2">
    <mergeCell ref="I1:J1"/>
    <mergeCell ref="I2:K2"/>
  </mergeCells>
  <printOptions gridLines="1"/>
  <pageMargins left="0.25" right="0.25" top="0.5" bottom="0.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3"/>
  <sheetViews>
    <sheetView view="pageBreakPreview" zoomScale="80" zoomScaleSheetLayoutView="80" workbookViewId="0">
      <selection activeCell="F103" sqref="F103"/>
    </sheetView>
  </sheetViews>
  <sheetFormatPr defaultRowHeight="12.75" x14ac:dyDescent="0.2"/>
  <cols>
    <col min="1" max="1" width="4.42578125" customWidth="1"/>
    <col min="2" max="2" width="14.5703125" customWidth="1"/>
    <col min="3" max="3" width="16.140625" customWidth="1"/>
    <col min="4" max="4" width="16.7109375" customWidth="1"/>
    <col min="5" max="5" width="24.28515625" style="606" customWidth="1"/>
    <col min="6" max="6" width="27.28515625" style="526" customWidth="1"/>
    <col min="7" max="7" width="15" customWidth="1"/>
    <col min="8" max="8" width="12" customWidth="1"/>
  </cols>
  <sheetData>
    <row r="1" spans="1:9" ht="15" x14ac:dyDescent="0.3">
      <c r="A1" s="65" t="s">
        <v>478</v>
      </c>
      <c r="B1" s="68"/>
      <c r="C1" s="68"/>
      <c r="D1" s="68"/>
      <c r="E1" s="597"/>
      <c r="F1" s="505"/>
      <c r="G1" s="638" t="s">
        <v>109</v>
      </c>
      <c r="H1" s="638"/>
      <c r="I1" s="569"/>
    </row>
    <row r="2" spans="1:9" ht="15" customHeight="1" x14ac:dyDescent="0.3">
      <c r="A2" s="67" t="s">
        <v>140</v>
      </c>
      <c r="B2" s="68"/>
      <c r="C2" s="68"/>
      <c r="D2" s="68"/>
      <c r="E2" s="597"/>
      <c r="F2" s="505"/>
      <c r="G2" s="628" t="s">
        <v>645</v>
      </c>
      <c r="H2" s="639"/>
      <c r="I2" s="639"/>
    </row>
    <row r="3" spans="1:9" ht="15" x14ac:dyDescent="0.3">
      <c r="A3" s="67"/>
      <c r="B3" s="67"/>
      <c r="C3" s="67"/>
      <c r="D3" s="67"/>
      <c r="E3" s="598"/>
      <c r="F3" s="506"/>
      <c r="G3" s="569"/>
      <c r="H3" s="569"/>
      <c r="I3" s="569"/>
    </row>
    <row r="4" spans="1:9" ht="15" x14ac:dyDescent="0.3">
      <c r="A4" s="68" t="s">
        <v>274</v>
      </c>
      <c r="B4" s="68"/>
      <c r="C4" s="68"/>
      <c r="D4" s="68"/>
      <c r="E4" s="597"/>
      <c r="F4" s="505"/>
      <c r="G4" s="67"/>
      <c r="H4" s="67"/>
      <c r="I4" s="67"/>
    </row>
    <row r="5" spans="1:9" ht="15" x14ac:dyDescent="0.3">
      <c r="A5" s="71"/>
      <c r="B5" s="26" t="s">
        <v>644</v>
      </c>
      <c r="C5" s="71"/>
      <c r="D5" s="71"/>
      <c r="E5" s="599"/>
      <c r="F5" s="507"/>
      <c r="G5" s="72"/>
      <c r="H5" s="72"/>
      <c r="I5" s="72"/>
    </row>
    <row r="6" spans="1:9" ht="15" x14ac:dyDescent="0.3">
      <c r="A6" s="68"/>
      <c r="B6" s="68"/>
      <c r="C6" s="68"/>
      <c r="D6" s="68"/>
      <c r="E6" s="597"/>
      <c r="F6" s="505"/>
      <c r="G6" s="67"/>
      <c r="H6" s="67"/>
      <c r="I6" s="67"/>
    </row>
    <row r="7" spans="1:9" ht="15" x14ac:dyDescent="0.2">
      <c r="A7" s="568"/>
      <c r="B7" s="568"/>
      <c r="C7" s="568"/>
      <c r="D7" s="568"/>
      <c r="E7" s="600"/>
      <c r="F7" s="492"/>
      <c r="G7" s="69"/>
      <c r="H7" s="69"/>
      <c r="I7" s="569"/>
    </row>
    <row r="8" spans="1:9" ht="45" x14ac:dyDescent="0.2">
      <c r="A8" s="347" t="s">
        <v>64</v>
      </c>
      <c r="B8" s="70" t="s">
        <v>340</v>
      </c>
      <c r="C8" s="81" t="s">
        <v>341</v>
      </c>
      <c r="D8" s="81" t="s">
        <v>227</v>
      </c>
      <c r="E8" s="508" t="s">
        <v>344</v>
      </c>
      <c r="F8" s="81" t="s">
        <v>343</v>
      </c>
      <c r="G8" s="81" t="s">
        <v>390</v>
      </c>
      <c r="H8" s="70" t="s">
        <v>10</v>
      </c>
      <c r="I8" s="70" t="s">
        <v>9</v>
      </c>
    </row>
    <row r="9" spans="1:9" ht="49.5" customHeight="1" x14ac:dyDescent="0.2">
      <c r="A9" s="509">
        <v>1</v>
      </c>
      <c r="B9" s="494" t="s">
        <v>1129</v>
      </c>
      <c r="C9" s="494" t="s">
        <v>681</v>
      </c>
      <c r="D9" s="398" t="s">
        <v>679</v>
      </c>
      <c r="E9" s="499" t="s">
        <v>1156</v>
      </c>
      <c r="F9" s="499" t="s">
        <v>1157</v>
      </c>
      <c r="G9" s="498">
        <v>2</v>
      </c>
      <c r="H9" s="419">
        <v>80</v>
      </c>
      <c r="I9" s="419">
        <f>40*G9</f>
        <v>80</v>
      </c>
    </row>
    <row r="10" spans="1:9" ht="49.5" customHeight="1" x14ac:dyDescent="0.2">
      <c r="A10" s="509">
        <v>2</v>
      </c>
      <c r="B10" s="494" t="s">
        <v>1158</v>
      </c>
      <c r="C10" s="494" t="s">
        <v>668</v>
      </c>
      <c r="D10" s="398" t="s">
        <v>560</v>
      </c>
      <c r="E10" s="499" t="s">
        <v>1156</v>
      </c>
      <c r="F10" s="499" t="s">
        <v>1157</v>
      </c>
      <c r="G10" s="498">
        <v>2</v>
      </c>
      <c r="H10" s="419">
        <v>80</v>
      </c>
      <c r="I10" s="419">
        <f t="shared" ref="I10:I12" si="0">40*G10</f>
        <v>80</v>
      </c>
    </row>
    <row r="11" spans="1:9" ht="49.5" customHeight="1" x14ac:dyDescent="0.2">
      <c r="A11" s="509">
        <v>3</v>
      </c>
      <c r="B11" s="494" t="s">
        <v>892</v>
      </c>
      <c r="C11" s="494" t="s">
        <v>1159</v>
      </c>
      <c r="D11" s="398" t="s">
        <v>570</v>
      </c>
      <c r="E11" s="499" t="s">
        <v>1156</v>
      </c>
      <c r="F11" s="499" t="s">
        <v>1157</v>
      </c>
      <c r="G11" s="498">
        <v>2</v>
      </c>
      <c r="H11" s="419">
        <v>80</v>
      </c>
      <c r="I11" s="419">
        <f t="shared" si="0"/>
        <v>80</v>
      </c>
    </row>
    <row r="12" spans="1:9" ht="49.5" customHeight="1" x14ac:dyDescent="0.2">
      <c r="A12" s="509">
        <v>4</v>
      </c>
      <c r="B12" s="494" t="s">
        <v>672</v>
      </c>
      <c r="C12" s="494" t="s">
        <v>673</v>
      </c>
      <c r="D12" s="398" t="s">
        <v>1160</v>
      </c>
      <c r="E12" s="499" t="s">
        <v>1156</v>
      </c>
      <c r="F12" s="499" t="s">
        <v>1157</v>
      </c>
      <c r="G12" s="498">
        <v>2</v>
      </c>
      <c r="H12" s="419">
        <v>80</v>
      </c>
      <c r="I12" s="419">
        <f t="shared" si="0"/>
        <v>80</v>
      </c>
    </row>
    <row r="13" spans="1:9" ht="50.25" customHeight="1" x14ac:dyDescent="0.2">
      <c r="A13" s="509">
        <v>5</v>
      </c>
      <c r="B13" s="494" t="s">
        <v>1158</v>
      </c>
      <c r="C13" s="494" t="s">
        <v>668</v>
      </c>
      <c r="D13" s="398" t="s">
        <v>560</v>
      </c>
      <c r="E13" s="499" t="s">
        <v>1156</v>
      </c>
      <c r="F13" s="499" t="s">
        <v>1161</v>
      </c>
      <c r="G13" s="498">
        <v>7</v>
      </c>
      <c r="H13" s="419">
        <f>40*G13</f>
        <v>280</v>
      </c>
      <c r="I13" s="419">
        <v>280</v>
      </c>
    </row>
    <row r="14" spans="1:9" ht="50.25" customHeight="1" x14ac:dyDescent="0.2">
      <c r="A14" s="509">
        <v>6</v>
      </c>
      <c r="B14" s="494" t="s">
        <v>892</v>
      </c>
      <c r="C14" s="494" t="s">
        <v>1162</v>
      </c>
      <c r="D14" s="494">
        <v>65002007395</v>
      </c>
      <c r="E14" s="499" t="s">
        <v>1156</v>
      </c>
      <c r="F14" s="499" t="s">
        <v>1161</v>
      </c>
      <c r="G14" s="498">
        <v>7</v>
      </c>
      <c r="H14" s="419">
        <f t="shared" ref="H14:H22" si="1">40*G14</f>
        <v>280</v>
      </c>
      <c r="I14" s="419">
        <v>280</v>
      </c>
    </row>
    <row r="15" spans="1:9" ht="50.25" customHeight="1" x14ac:dyDescent="0.2">
      <c r="A15" s="509">
        <v>7</v>
      </c>
      <c r="B15" s="494" t="s">
        <v>672</v>
      </c>
      <c r="C15" s="494" t="s">
        <v>673</v>
      </c>
      <c r="D15" s="398" t="s">
        <v>1160</v>
      </c>
      <c r="E15" s="499" t="s">
        <v>1156</v>
      </c>
      <c r="F15" s="499" t="s">
        <v>1161</v>
      </c>
      <c r="G15" s="498">
        <v>7</v>
      </c>
      <c r="H15" s="419">
        <f t="shared" si="1"/>
        <v>280</v>
      </c>
      <c r="I15" s="419">
        <v>280</v>
      </c>
    </row>
    <row r="16" spans="1:9" ht="50.25" customHeight="1" x14ac:dyDescent="0.2">
      <c r="A16" s="509">
        <v>8</v>
      </c>
      <c r="B16" s="494" t="s">
        <v>1129</v>
      </c>
      <c r="C16" s="494" t="s">
        <v>681</v>
      </c>
      <c r="D16" s="398" t="s">
        <v>679</v>
      </c>
      <c r="E16" s="499" t="s">
        <v>1156</v>
      </c>
      <c r="F16" s="499" t="s">
        <v>1161</v>
      </c>
      <c r="G16" s="498">
        <v>7</v>
      </c>
      <c r="H16" s="419">
        <f t="shared" si="1"/>
        <v>280</v>
      </c>
      <c r="I16" s="419">
        <v>280</v>
      </c>
    </row>
    <row r="17" spans="1:9" ht="50.25" customHeight="1" x14ac:dyDescent="0.2">
      <c r="A17" s="509">
        <v>9</v>
      </c>
      <c r="B17" s="494" t="s">
        <v>676</v>
      </c>
      <c r="C17" s="494" t="s">
        <v>677</v>
      </c>
      <c r="D17" s="398" t="s">
        <v>572</v>
      </c>
      <c r="E17" s="499" t="s">
        <v>1156</v>
      </c>
      <c r="F17" s="499" t="s">
        <v>1161</v>
      </c>
      <c r="G17" s="498">
        <v>7</v>
      </c>
      <c r="H17" s="419">
        <f t="shared" si="1"/>
        <v>280</v>
      </c>
      <c r="I17" s="419">
        <v>280</v>
      </c>
    </row>
    <row r="18" spans="1:9" ht="50.25" customHeight="1" x14ac:dyDescent="0.2">
      <c r="A18" s="509">
        <v>10</v>
      </c>
      <c r="B18" s="494" t="s">
        <v>892</v>
      </c>
      <c r="C18" s="494" t="s">
        <v>1159</v>
      </c>
      <c r="D18" s="398" t="s">
        <v>570</v>
      </c>
      <c r="E18" s="499" t="s">
        <v>1156</v>
      </c>
      <c r="F18" s="499" t="s">
        <v>1161</v>
      </c>
      <c r="G18" s="498">
        <v>7</v>
      </c>
      <c r="H18" s="419">
        <f t="shared" si="1"/>
        <v>280</v>
      </c>
      <c r="I18" s="419">
        <v>280</v>
      </c>
    </row>
    <row r="19" spans="1:9" ht="50.25" customHeight="1" x14ac:dyDescent="0.2">
      <c r="A19" s="509">
        <v>11</v>
      </c>
      <c r="B19" s="494" t="s">
        <v>1163</v>
      </c>
      <c r="C19" s="494" t="s">
        <v>1164</v>
      </c>
      <c r="D19" s="398" t="s">
        <v>1165</v>
      </c>
      <c r="E19" s="499" t="s">
        <v>1156</v>
      </c>
      <c r="F19" s="499" t="s">
        <v>1161</v>
      </c>
      <c r="G19" s="498">
        <v>7</v>
      </c>
      <c r="H19" s="419">
        <f t="shared" si="1"/>
        <v>280</v>
      </c>
      <c r="I19" s="419">
        <v>280</v>
      </c>
    </row>
    <row r="20" spans="1:9" ht="50.25" customHeight="1" x14ac:dyDescent="0.2">
      <c r="A20" s="509">
        <v>12</v>
      </c>
      <c r="B20" s="494" t="s">
        <v>892</v>
      </c>
      <c r="C20" s="494" t="s">
        <v>1166</v>
      </c>
      <c r="D20" s="398" t="s">
        <v>562</v>
      </c>
      <c r="E20" s="499" t="s">
        <v>1156</v>
      </c>
      <c r="F20" s="499" t="s">
        <v>1161</v>
      </c>
      <c r="G20" s="498">
        <v>7</v>
      </c>
      <c r="H20" s="419">
        <f t="shared" si="1"/>
        <v>280</v>
      </c>
      <c r="I20" s="419">
        <v>280</v>
      </c>
    </row>
    <row r="21" spans="1:9" ht="50.25" customHeight="1" x14ac:dyDescent="0.2">
      <c r="A21" s="509">
        <v>13</v>
      </c>
      <c r="B21" s="494" t="s">
        <v>1167</v>
      </c>
      <c r="C21" s="494" t="s">
        <v>1168</v>
      </c>
      <c r="D21" s="412" t="s">
        <v>1169</v>
      </c>
      <c r="E21" s="499" t="s">
        <v>1156</v>
      </c>
      <c r="F21" s="499" t="s">
        <v>1161</v>
      </c>
      <c r="G21" s="498">
        <v>7</v>
      </c>
      <c r="H21" s="419">
        <f t="shared" si="1"/>
        <v>280</v>
      </c>
      <c r="I21" s="419">
        <v>280</v>
      </c>
    </row>
    <row r="22" spans="1:9" ht="50.25" customHeight="1" x14ac:dyDescent="0.2">
      <c r="A22" s="509">
        <v>14</v>
      </c>
      <c r="B22" s="504" t="s">
        <v>1170</v>
      </c>
      <c r="C22" s="504" t="s">
        <v>1171</v>
      </c>
      <c r="D22" s="412" t="s">
        <v>546</v>
      </c>
      <c r="E22" s="499" t="s">
        <v>1156</v>
      </c>
      <c r="F22" s="499" t="s">
        <v>1161</v>
      </c>
      <c r="G22" s="498">
        <v>7</v>
      </c>
      <c r="H22" s="419">
        <f t="shared" si="1"/>
        <v>280</v>
      </c>
      <c r="I22" s="419">
        <v>280</v>
      </c>
    </row>
    <row r="23" spans="1:9" ht="51.75" customHeight="1" x14ac:dyDescent="0.2">
      <c r="A23" s="509">
        <v>15</v>
      </c>
      <c r="B23" s="494" t="s">
        <v>1129</v>
      </c>
      <c r="C23" s="494" t="s">
        <v>681</v>
      </c>
      <c r="D23" s="398" t="s">
        <v>679</v>
      </c>
      <c r="E23" s="499" t="s">
        <v>1156</v>
      </c>
      <c r="F23" s="510" t="s">
        <v>1172</v>
      </c>
      <c r="G23" s="498">
        <v>2</v>
      </c>
      <c r="H23" s="419">
        <v>80</v>
      </c>
      <c r="I23" s="419">
        <f>40*G23</f>
        <v>80</v>
      </c>
    </row>
    <row r="24" spans="1:9" ht="51.75" customHeight="1" x14ac:dyDescent="0.2">
      <c r="A24" s="509">
        <v>16</v>
      </c>
      <c r="B24" s="494" t="s">
        <v>676</v>
      </c>
      <c r="C24" s="494" t="s">
        <v>677</v>
      </c>
      <c r="D24" s="398" t="s">
        <v>572</v>
      </c>
      <c r="E24" s="499" t="s">
        <v>1156</v>
      </c>
      <c r="F24" s="510" t="s">
        <v>1172</v>
      </c>
      <c r="G24" s="498">
        <v>2</v>
      </c>
      <c r="H24" s="419">
        <v>80</v>
      </c>
      <c r="I24" s="419">
        <f t="shared" ref="I24:I26" si="2">40*G24</f>
        <v>80</v>
      </c>
    </row>
    <row r="25" spans="1:9" ht="62.25" customHeight="1" x14ac:dyDescent="0.2">
      <c r="A25" s="509">
        <v>17</v>
      </c>
      <c r="B25" s="494" t="s">
        <v>892</v>
      </c>
      <c r="C25" s="494" t="s">
        <v>1159</v>
      </c>
      <c r="D25" s="398" t="s">
        <v>570</v>
      </c>
      <c r="E25" s="499" t="s">
        <v>1156</v>
      </c>
      <c r="F25" s="510" t="s">
        <v>1172</v>
      </c>
      <c r="G25" s="498">
        <v>2</v>
      </c>
      <c r="H25" s="419">
        <v>80</v>
      </c>
      <c r="I25" s="419">
        <f t="shared" si="2"/>
        <v>80</v>
      </c>
    </row>
    <row r="26" spans="1:9" ht="51" customHeight="1" x14ac:dyDescent="0.2">
      <c r="A26" s="509">
        <v>18</v>
      </c>
      <c r="B26" s="494" t="s">
        <v>672</v>
      </c>
      <c r="C26" s="494" t="s">
        <v>673</v>
      </c>
      <c r="D26" s="398" t="s">
        <v>1160</v>
      </c>
      <c r="E26" s="499" t="s">
        <v>1156</v>
      </c>
      <c r="F26" s="510" t="s">
        <v>1172</v>
      </c>
      <c r="G26" s="498">
        <v>2</v>
      </c>
      <c r="H26" s="419">
        <v>80</v>
      </c>
      <c r="I26" s="419">
        <f t="shared" si="2"/>
        <v>80</v>
      </c>
    </row>
    <row r="27" spans="1:9" ht="61.5" customHeight="1" x14ac:dyDescent="0.2">
      <c r="A27" s="509">
        <v>19</v>
      </c>
      <c r="B27" s="494" t="s">
        <v>1158</v>
      </c>
      <c r="C27" s="494" t="s">
        <v>668</v>
      </c>
      <c r="D27" s="398" t="s">
        <v>560</v>
      </c>
      <c r="E27" s="499" t="s">
        <v>1173</v>
      </c>
      <c r="F27" s="510" t="s">
        <v>1174</v>
      </c>
      <c r="G27" s="498">
        <v>8</v>
      </c>
      <c r="H27" s="419">
        <v>170</v>
      </c>
      <c r="I27" s="419">
        <v>170</v>
      </c>
    </row>
    <row r="28" spans="1:9" ht="61.5" customHeight="1" x14ac:dyDescent="0.2">
      <c r="A28" s="509">
        <v>20</v>
      </c>
      <c r="B28" s="494" t="s">
        <v>892</v>
      </c>
      <c r="C28" s="494" t="s">
        <v>1162</v>
      </c>
      <c r="D28" s="494">
        <v>65002007395</v>
      </c>
      <c r="E28" s="499" t="s">
        <v>1173</v>
      </c>
      <c r="F28" s="510" t="s">
        <v>1174</v>
      </c>
      <c r="G28" s="498">
        <v>8</v>
      </c>
      <c r="H28" s="419">
        <v>170</v>
      </c>
      <c r="I28" s="419">
        <v>170</v>
      </c>
    </row>
    <row r="29" spans="1:9" ht="84" customHeight="1" x14ac:dyDescent="0.2">
      <c r="A29" s="509">
        <v>21</v>
      </c>
      <c r="B29" s="494" t="s">
        <v>672</v>
      </c>
      <c r="C29" s="494" t="s">
        <v>673</v>
      </c>
      <c r="D29" s="398" t="s">
        <v>1160</v>
      </c>
      <c r="E29" s="499" t="s">
        <v>1173</v>
      </c>
      <c r="F29" s="510" t="s">
        <v>1174</v>
      </c>
      <c r="G29" s="498">
        <v>8</v>
      </c>
      <c r="H29" s="419">
        <v>170</v>
      </c>
      <c r="I29" s="419">
        <v>170</v>
      </c>
    </row>
    <row r="30" spans="1:9" ht="84" customHeight="1" x14ac:dyDescent="0.2">
      <c r="A30" s="509">
        <v>22</v>
      </c>
      <c r="B30" s="494" t="s">
        <v>1129</v>
      </c>
      <c r="C30" s="494" t="s">
        <v>681</v>
      </c>
      <c r="D30" s="398" t="s">
        <v>679</v>
      </c>
      <c r="E30" s="499" t="s">
        <v>1173</v>
      </c>
      <c r="F30" s="510" t="s">
        <v>1174</v>
      </c>
      <c r="G30" s="498">
        <v>8</v>
      </c>
      <c r="H30" s="419">
        <v>170</v>
      </c>
      <c r="I30" s="419">
        <v>170</v>
      </c>
    </row>
    <row r="31" spans="1:9" ht="84" customHeight="1" x14ac:dyDescent="0.2">
      <c r="A31" s="509">
        <v>23</v>
      </c>
      <c r="B31" s="494" t="s">
        <v>676</v>
      </c>
      <c r="C31" s="494" t="s">
        <v>677</v>
      </c>
      <c r="D31" s="398" t="s">
        <v>572</v>
      </c>
      <c r="E31" s="499" t="s">
        <v>1173</v>
      </c>
      <c r="F31" s="510" t="s">
        <v>1174</v>
      </c>
      <c r="G31" s="498">
        <v>8</v>
      </c>
      <c r="H31" s="419">
        <v>170</v>
      </c>
      <c r="I31" s="419">
        <v>170</v>
      </c>
    </row>
    <row r="32" spans="1:9" ht="84" customHeight="1" x14ac:dyDescent="0.2">
      <c r="A32" s="509">
        <v>24</v>
      </c>
      <c r="B32" s="494" t="s">
        <v>892</v>
      </c>
      <c r="C32" s="494" t="s">
        <v>1159</v>
      </c>
      <c r="D32" s="398" t="s">
        <v>570</v>
      </c>
      <c r="E32" s="499" t="s">
        <v>1173</v>
      </c>
      <c r="F32" s="510" t="s">
        <v>1174</v>
      </c>
      <c r="G32" s="498">
        <v>8</v>
      </c>
      <c r="H32" s="419">
        <v>170</v>
      </c>
      <c r="I32" s="419">
        <v>170</v>
      </c>
    </row>
    <row r="33" spans="1:9" ht="84" customHeight="1" x14ac:dyDescent="0.2">
      <c r="A33" s="509">
        <v>25</v>
      </c>
      <c r="B33" s="89" t="s">
        <v>1175</v>
      </c>
      <c r="C33" s="89" t="s">
        <v>1176</v>
      </c>
      <c r="D33" s="89">
        <v>1001067864</v>
      </c>
      <c r="E33" s="499" t="s">
        <v>1173</v>
      </c>
      <c r="F33" s="510" t="s">
        <v>1174</v>
      </c>
      <c r="G33" s="498">
        <v>8</v>
      </c>
      <c r="H33" s="419">
        <v>170</v>
      </c>
      <c r="I33" s="419">
        <v>170</v>
      </c>
    </row>
    <row r="34" spans="1:9" ht="84" customHeight="1" x14ac:dyDescent="0.2">
      <c r="A34" s="509">
        <v>26</v>
      </c>
      <c r="B34" s="494" t="s">
        <v>1177</v>
      </c>
      <c r="C34" s="494" t="s">
        <v>1178</v>
      </c>
      <c r="D34" s="398" t="s">
        <v>1165</v>
      </c>
      <c r="E34" s="499" t="s">
        <v>1173</v>
      </c>
      <c r="F34" s="510" t="s">
        <v>1174</v>
      </c>
      <c r="G34" s="498">
        <v>8</v>
      </c>
      <c r="H34" s="419">
        <v>170</v>
      </c>
      <c r="I34" s="419">
        <v>170</v>
      </c>
    </row>
    <row r="35" spans="1:9" ht="93.75" customHeight="1" x14ac:dyDescent="0.2">
      <c r="A35" s="509">
        <v>27</v>
      </c>
      <c r="B35" s="494" t="s">
        <v>892</v>
      </c>
      <c r="C35" s="494" t="s">
        <v>1166</v>
      </c>
      <c r="D35" s="412" t="s">
        <v>562</v>
      </c>
      <c r="E35" s="499" t="s">
        <v>1173</v>
      </c>
      <c r="F35" s="510" t="s">
        <v>1174</v>
      </c>
      <c r="G35" s="498">
        <v>8</v>
      </c>
      <c r="H35" s="419">
        <v>170</v>
      </c>
      <c r="I35" s="419">
        <v>170</v>
      </c>
    </row>
    <row r="36" spans="1:9" ht="87" customHeight="1" x14ac:dyDescent="0.2">
      <c r="A36" s="509">
        <v>28</v>
      </c>
      <c r="B36" s="494" t="s">
        <v>1179</v>
      </c>
      <c r="C36" s="494" t="s">
        <v>1180</v>
      </c>
      <c r="D36" s="412" t="s">
        <v>1181</v>
      </c>
      <c r="E36" s="499" t="s">
        <v>1173</v>
      </c>
      <c r="F36" s="510" t="s">
        <v>1174</v>
      </c>
      <c r="G36" s="498">
        <v>8</v>
      </c>
      <c r="H36" s="419">
        <v>170</v>
      </c>
      <c r="I36" s="419">
        <v>170</v>
      </c>
    </row>
    <row r="37" spans="1:9" ht="93.75" customHeight="1" x14ac:dyDescent="0.2">
      <c r="A37" s="509">
        <v>29</v>
      </c>
      <c r="B37" s="494" t="s">
        <v>1182</v>
      </c>
      <c r="C37" s="494" t="s">
        <v>1183</v>
      </c>
      <c r="D37" s="412" t="s">
        <v>1184</v>
      </c>
      <c r="E37" s="499" t="s">
        <v>1173</v>
      </c>
      <c r="F37" s="510" t="s">
        <v>1174</v>
      </c>
      <c r="G37" s="498">
        <v>8</v>
      </c>
      <c r="H37" s="419">
        <v>170</v>
      </c>
      <c r="I37" s="419">
        <v>170</v>
      </c>
    </row>
    <row r="38" spans="1:9" ht="93.75" customHeight="1" x14ac:dyDescent="0.2">
      <c r="A38" s="509">
        <v>30</v>
      </c>
      <c r="B38" s="494" t="s">
        <v>1185</v>
      </c>
      <c r="C38" s="494" t="s">
        <v>1186</v>
      </c>
      <c r="D38" s="398" t="s">
        <v>548</v>
      </c>
      <c r="E38" s="499" t="s">
        <v>1173</v>
      </c>
      <c r="F38" s="510" t="s">
        <v>1174</v>
      </c>
      <c r="G38" s="498">
        <v>8</v>
      </c>
      <c r="H38" s="419">
        <v>170</v>
      </c>
      <c r="I38" s="419">
        <v>170</v>
      </c>
    </row>
    <row r="39" spans="1:9" ht="48.75" customHeight="1" x14ac:dyDescent="0.2">
      <c r="A39" s="509">
        <v>31</v>
      </c>
      <c r="B39" s="494" t="s">
        <v>1187</v>
      </c>
      <c r="C39" s="494" t="s">
        <v>663</v>
      </c>
      <c r="D39" s="398" t="s">
        <v>564</v>
      </c>
      <c r="E39" s="499" t="s">
        <v>1156</v>
      </c>
      <c r="F39" s="510" t="s">
        <v>1188</v>
      </c>
      <c r="G39" s="498">
        <v>2</v>
      </c>
      <c r="H39" s="419">
        <v>42.5</v>
      </c>
      <c r="I39" s="419">
        <v>42.5</v>
      </c>
    </row>
    <row r="40" spans="1:9" ht="48.75" customHeight="1" x14ac:dyDescent="0.2">
      <c r="A40" s="509">
        <v>32</v>
      </c>
      <c r="B40" s="494" t="s">
        <v>1189</v>
      </c>
      <c r="C40" s="494" t="s">
        <v>1190</v>
      </c>
      <c r="D40" s="398" t="s">
        <v>1191</v>
      </c>
      <c r="E40" s="499" t="s">
        <v>1156</v>
      </c>
      <c r="F40" s="510" t="s">
        <v>1188</v>
      </c>
      <c r="G40" s="498">
        <v>2</v>
      </c>
      <c r="H40" s="419">
        <v>42.5</v>
      </c>
      <c r="I40" s="419">
        <v>42.5</v>
      </c>
    </row>
    <row r="41" spans="1:9" ht="48.75" customHeight="1" x14ac:dyDescent="0.2">
      <c r="A41" s="509">
        <v>33</v>
      </c>
      <c r="B41" s="494" t="s">
        <v>1129</v>
      </c>
      <c r="C41" s="494" t="s">
        <v>681</v>
      </c>
      <c r="D41" s="398" t="s">
        <v>679</v>
      </c>
      <c r="E41" s="499" t="s">
        <v>1173</v>
      </c>
      <c r="F41" s="499" t="s">
        <v>1192</v>
      </c>
      <c r="G41" s="498">
        <v>8</v>
      </c>
      <c r="H41" s="419">
        <v>120</v>
      </c>
      <c r="I41" s="419">
        <v>120</v>
      </c>
    </row>
    <row r="42" spans="1:9" ht="48.75" customHeight="1" x14ac:dyDescent="0.2">
      <c r="A42" s="509">
        <v>34</v>
      </c>
      <c r="B42" s="494" t="s">
        <v>676</v>
      </c>
      <c r="C42" s="494" t="s">
        <v>677</v>
      </c>
      <c r="D42" s="398" t="s">
        <v>572</v>
      </c>
      <c r="E42" s="499" t="s">
        <v>1173</v>
      </c>
      <c r="F42" s="499" t="s">
        <v>1192</v>
      </c>
      <c r="G42" s="498">
        <v>8</v>
      </c>
      <c r="H42" s="419">
        <v>120</v>
      </c>
      <c r="I42" s="419">
        <v>120</v>
      </c>
    </row>
    <row r="43" spans="1:9" ht="48.75" customHeight="1" x14ac:dyDescent="0.2">
      <c r="A43" s="509">
        <v>35</v>
      </c>
      <c r="B43" s="494" t="s">
        <v>892</v>
      </c>
      <c r="C43" s="494" t="s">
        <v>1162</v>
      </c>
      <c r="D43" s="494">
        <v>65002007395</v>
      </c>
      <c r="E43" s="499" t="s">
        <v>1173</v>
      </c>
      <c r="F43" s="499" t="s">
        <v>1192</v>
      </c>
      <c r="G43" s="498">
        <v>8</v>
      </c>
      <c r="H43" s="419">
        <v>120</v>
      </c>
      <c r="I43" s="419">
        <v>120</v>
      </c>
    </row>
    <row r="44" spans="1:9" ht="45" x14ac:dyDescent="0.2">
      <c r="A44" s="509">
        <v>36</v>
      </c>
      <c r="B44" s="494" t="s">
        <v>739</v>
      </c>
      <c r="C44" s="494" t="s">
        <v>1193</v>
      </c>
      <c r="D44" s="398" t="s">
        <v>550</v>
      </c>
      <c r="E44" s="499" t="s">
        <v>1173</v>
      </c>
      <c r="F44" s="499" t="s">
        <v>1192</v>
      </c>
      <c r="G44" s="498">
        <v>8</v>
      </c>
      <c r="H44" s="419">
        <v>120</v>
      </c>
      <c r="I44" s="419">
        <v>120</v>
      </c>
    </row>
    <row r="45" spans="1:9" ht="45" x14ac:dyDescent="0.2">
      <c r="A45" s="509">
        <v>37</v>
      </c>
      <c r="B45" s="494" t="s">
        <v>1167</v>
      </c>
      <c r="C45" s="494" t="s">
        <v>1168</v>
      </c>
      <c r="D45" s="412" t="s">
        <v>1169</v>
      </c>
      <c r="E45" s="499" t="s">
        <v>1173</v>
      </c>
      <c r="F45" s="499" t="s">
        <v>1192</v>
      </c>
      <c r="G45" s="498">
        <v>8</v>
      </c>
      <c r="H45" s="419">
        <v>120</v>
      </c>
      <c r="I45" s="419">
        <v>120</v>
      </c>
    </row>
    <row r="46" spans="1:9" ht="45" x14ac:dyDescent="0.2">
      <c r="A46" s="509">
        <v>38</v>
      </c>
      <c r="B46" s="504" t="s">
        <v>1170</v>
      </c>
      <c r="C46" s="504" t="s">
        <v>1171</v>
      </c>
      <c r="D46" s="412" t="s">
        <v>546</v>
      </c>
      <c r="E46" s="499" t="s">
        <v>1173</v>
      </c>
      <c r="F46" s="499" t="s">
        <v>1192</v>
      </c>
      <c r="G46" s="498">
        <v>8</v>
      </c>
      <c r="H46" s="419">
        <v>120</v>
      </c>
      <c r="I46" s="419">
        <v>120</v>
      </c>
    </row>
    <row r="47" spans="1:9" ht="45" x14ac:dyDescent="0.2">
      <c r="A47" s="509">
        <v>39</v>
      </c>
      <c r="B47" s="494" t="s">
        <v>672</v>
      </c>
      <c r="C47" s="494" t="s">
        <v>673</v>
      </c>
      <c r="D47" s="398" t="s">
        <v>1160</v>
      </c>
      <c r="E47" s="499" t="s">
        <v>1173</v>
      </c>
      <c r="F47" s="499" t="s">
        <v>1192</v>
      </c>
      <c r="G47" s="498">
        <v>8</v>
      </c>
      <c r="H47" s="419">
        <v>120</v>
      </c>
      <c r="I47" s="419">
        <v>120</v>
      </c>
    </row>
    <row r="48" spans="1:9" ht="45" x14ac:dyDescent="0.2">
      <c r="A48" s="509">
        <v>40</v>
      </c>
      <c r="B48" s="494" t="s">
        <v>1158</v>
      </c>
      <c r="C48" s="494" t="s">
        <v>668</v>
      </c>
      <c r="D48" s="398" t="s">
        <v>560</v>
      </c>
      <c r="E48" s="499" t="s">
        <v>1173</v>
      </c>
      <c r="F48" s="499" t="s">
        <v>1192</v>
      </c>
      <c r="G48" s="498">
        <v>8</v>
      </c>
      <c r="H48" s="419">
        <v>120</v>
      </c>
      <c r="I48" s="419">
        <v>120</v>
      </c>
    </row>
    <row r="49" spans="1:9" ht="45" x14ac:dyDescent="0.2">
      <c r="A49" s="509">
        <v>41</v>
      </c>
      <c r="B49" s="494" t="s">
        <v>892</v>
      </c>
      <c r="C49" s="494" t="s">
        <v>1159</v>
      </c>
      <c r="D49" s="398" t="s">
        <v>570</v>
      </c>
      <c r="E49" s="499" t="s">
        <v>1173</v>
      </c>
      <c r="F49" s="499" t="s">
        <v>1192</v>
      </c>
      <c r="G49" s="498">
        <v>8</v>
      </c>
      <c r="H49" s="419">
        <v>120</v>
      </c>
      <c r="I49" s="419">
        <v>120</v>
      </c>
    </row>
    <row r="50" spans="1:9" ht="45" x14ac:dyDescent="0.2">
      <c r="A50" s="509">
        <v>42</v>
      </c>
      <c r="B50" s="89" t="s">
        <v>1175</v>
      </c>
      <c r="C50" s="89" t="s">
        <v>1176</v>
      </c>
      <c r="D50" s="89">
        <v>1001067864</v>
      </c>
      <c r="E50" s="499" t="s">
        <v>1173</v>
      </c>
      <c r="F50" s="499" t="s">
        <v>1192</v>
      </c>
      <c r="G50" s="498">
        <v>8</v>
      </c>
      <c r="H50" s="419">
        <v>120</v>
      </c>
      <c r="I50" s="419">
        <v>120</v>
      </c>
    </row>
    <row r="51" spans="1:9" ht="45" x14ac:dyDescent="0.2">
      <c r="A51" s="509">
        <v>43</v>
      </c>
      <c r="B51" s="494" t="s">
        <v>1163</v>
      </c>
      <c r="C51" s="494" t="s">
        <v>1164</v>
      </c>
      <c r="D51" s="398" t="s">
        <v>1165</v>
      </c>
      <c r="E51" s="499" t="s">
        <v>1173</v>
      </c>
      <c r="F51" s="499" t="s">
        <v>1192</v>
      </c>
      <c r="G51" s="498">
        <v>8</v>
      </c>
      <c r="H51" s="419">
        <v>120</v>
      </c>
      <c r="I51" s="419">
        <v>120</v>
      </c>
    </row>
    <row r="52" spans="1:9" ht="45" x14ac:dyDescent="0.2">
      <c r="A52" s="509">
        <v>44</v>
      </c>
      <c r="B52" s="494" t="s">
        <v>1179</v>
      </c>
      <c r="C52" s="494" t="s">
        <v>1180</v>
      </c>
      <c r="D52" s="412" t="s">
        <v>1181</v>
      </c>
      <c r="E52" s="499" t="s">
        <v>1173</v>
      </c>
      <c r="F52" s="499" t="s">
        <v>1192</v>
      </c>
      <c r="G52" s="498">
        <v>8</v>
      </c>
      <c r="H52" s="419">
        <v>120</v>
      </c>
      <c r="I52" s="419">
        <v>120</v>
      </c>
    </row>
    <row r="53" spans="1:9" ht="45" x14ac:dyDescent="0.2">
      <c r="A53" s="509">
        <v>45</v>
      </c>
      <c r="B53" s="494" t="s">
        <v>1158</v>
      </c>
      <c r="C53" s="494" t="s">
        <v>668</v>
      </c>
      <c r="D53" s="398" t="s">
        <v>560</v>
      </c>
      <c r="E53" s="499" t="s">
        <v>1173</v>
      </c>
      <c r="F53" s="510" t="s">
        <v>1194</v>
      </c>
      <c r="G53" s="498">
        <v>7</v>
      </c>
      <c r="H53" s="419">
        <v>105</v>
      </c>
      <c r="I53" s="419">
        <v>105</v>
      </c>
    </row>
    <row r="54" spans="1:9" ht="45" x14ac:dyDescent="0.2">
      <c r="A54" s="509">
        <v>46</v>
      </c>
      <c r="B54" s="494" t="s">
        <v>1129</v>
      </c>
      <c r="C54" s="494" t="s">
        <v>681</v>
      </c>
      <c r="D54" s="398" t="s">
        <v>679</v>
      </c>
      <c r="E54" s="499" t="s">
        <v>1173</v>
      </c>
      <c r="F54" s="510" t="s">
        <v>1194</v>
      </c>
      <c r="G54" s="498">
        <v>7</v>
      </c>
      <c r="H54" s="419">
        <v>105</v>
      </c>
      <c r="I54" s="419">
        <v>105</v>
      </c>
    </row>
    <row r="55" spans="1:9" ht="45" x14ac:dyDescent="0.2">
      <c r="A55" s="509">
        <v>47</v>
      </c>
      <c r="B55" s="494" t="s">
        <v>892</v>
      </c>
      <c r="C55" s="494" t="s">
        <v>1162</v>
      </c>
      <c r="D55" s="398">
        <v>65002007395</v>
      </c>
      <c r="E55" s="499" t="s">
        <v>1173</v>
      </c>
      <c r="F55" s="510" t="s">
        <v>1194</v>
      </c>
      <c r="G55" s="498">
        <v>7</v>
      </c>
      <c r="H55" s="419">
        <v>105</v>
      </c>
      <c r="I55" s="419">
        <v>105</v>
      </c>
    </row>
    <row r="56" spans="1:9" ht="45" x14ac:dyDescent="0.2">
      <c r="A56" s="509">
        <v>48</v>
      </c>
      <c r="B56" s="494" t="s">
        <v>672</v>
      </c>
      <c r="C56" s="494" t="s">
        <v>673</v>
      </c>
      <c r="D56" s="398" t="s">
        <v>1160</v>
      </c>
      <c r="E56" s="499" t="s">
        <v>1173</v>
      </c>
      <c r="F56" s="510" t="s">
        <v>1194</v>
      </c>
      <c r="G56" s="498">
        <v>7</v>
      </c>
      <c r="H56" s="419">
        <v>105</v>
      </c>
      <c r="I56" s="419">
        <v>105</v>
      </c>
    </row>
    <row r="57" spans="1:9" ht="45" x14ac:dyDescent="0.2">
      <c r="A57" s="509">
        <v>49</v>
      </c>
      <c r="B57" s="494" t="s">
        <v>892</v>
      </c>
      <c r="C57" s="494" t="s">
        <v>1159</v>
      </c>
      <c r="D57" s="398" t="s">
        <v>570</v>
      </c>
      <c r="E57" s="499" t="s">
        <v>1173</v>
      </c>
      <c r="F57" s="510" t="s">
        <v>1194</v>
      </c>
      <c r="G57" s="498">
        <v>7</v>
      </c>
      <c r="H57" s="419">
        <v>105</v>
      </c>
      <c r="I57" s="419">
        <v>105</v>
      </c>
    </row>
    <row r="58" spans="1:9" ht="45" x14ac:dyDescent="0.2">
      <c r="A58" s="509">
        <v>50</v>
      </c>
      <c r="B58" s="494" t="s">
        <v>739</v>
      </c>
      <c r="C58" s="494" t="s">
        <v>1193</v>
      </c>
      <c r="D58" s="398" t="s">
        <v>550</v>
      </c>
      <c r="E58" s="499" t="s">
        <v>1173</v>
      </c>
      <c r="F58" s="510" t="s">
        <v>1194</v>
      </c>
      <c r="G58" s="498">
        <v>7</v>
      </c>
      <c r="H58" s="419">
        <v>105</v>
      </c>
      <c r="I58" s="419">
        <v>105</v>
      </c>
    </row>
    <row r="59" spans="1:9" ht="45" x14ac:dyDescent="0.2">
      <c r="A59" s="509">
        <v>51</v>
      </c>
      <c r="B59" s="494" t="s">
        <v>1185</v>
      </c>
      <c r="C59" s="494" t="s">
        <v>1186</v>
      </c>
      <c r="D59" s="398" t="s">
        <v>548</v>
      </c>
      <c r="E59" s="499" t="s">
        <v>1173</v>
      </c>
      <c r="F59" s="510" t="s">
        <v>1194</v>
      </c>
      <c r="G59" s="498">
        <v>7</v>
      </c>
      <c r="H59" s="419">
        <v>105</v>
      </c>
      <c r="I59" s="419">
        <v>105</v>
      </c>
    </row>
    <row r="60" spans="1:9" ht="45" x14ac:dyDescent="0.2">
      <c r="A60" s="509">
        <v>52</v>
      </c>
      <c r="B60" s="494" t="s">
        <v>1163</v>
      </c>
      <c r="C60" s="494" t="s">
        <v>1164</v>
      </c>
      <c r="D60" s="398" t="s">
        <v>1165</v>
      </c>
      <c r="E60" s="499" t="s">
        <v>1173</v>
      </c>
      <c r="F60" s="510" t="s">
        <v>1194</v>
      </c>
      <c r="G60" s="498">
        <v>7</v>
      </c>
      <c r="H60" s="419">
        <v>105</v>
      </c>
      <c r="I60" s="419">
        <v>105</v>
      </c>
    </row>
    <row r="61" spans="1:9" ht="45" x14ac:dyDescent="0.2">
      <c r="A61" s="509">
        <v>53</v>
      </c>
      <c r="B61" s="494" t="s">
        <v>676</v>
      </c>
      <c r="C61" s="494" t="s">
        <v>677</v>
      </c>
      <c r="D61" s="398" t="s">
        <v>572</v>
      </c>
      <c r="E61" s="499" t="s">
        <v>1173</v>
      </c>
      <c r="F61" s="510" t="s">
        <v>1194</v>
      </c>
      <c r="G61" s="498">
        <v>7</v>
      </c>
      <c r="H61" s="419">
        <v>105</v>
      </c>
      <c r="I61" s="419">
        <v>105</v>
      </c>
    </row>
    <row r="62" spans="1:9" ht="45" x14ac:dyDescent="0.2">
      <c r="A62" s="509">
        <v>54</v>
      </c>
      <c r="B62" s="494" t="s">
        <v>1182</v>
      </c>
      <c r="C62" s="494" t="s">
        <v>1183</v>
      </c>
      <c r="D62" s="398" t="s">
        <v>1184</v>
      </c>
      <c r="E62" s="499" t="s">
        <v>1173</v>
      </c>
      <c r="F62" s="510" t="s">
        <v>1194</v>
      </c>
      <c r="G62" s="498">
        <v>7</v>
      </c>
      <c r="H62" s="419">
        <v>105</v>
      </c>
      <c r="I62" s="419">
        <v>105</v>
      </c>
    </row>
    <row r="63" spans="1:9" ht="45" x14ac:dyDescent="0.2">
      <c r="A63" s="509">
        <v>55</v>
      </c>
      <c r="B63" s="504" t="s">
        <v>747</v>
      </c>
      <c r="C63" s="504" t="s">
        <v>1176</v>
      </c>
      <c r="D63" s="511" t="s">
        <v>1195</v>
      </c>
      <c r="E63" s="499" t="s">
        <v>1173</v>
      </c>
      <c r="F63" s="510" t="s">
        <v>1194</v>
      </c>
      <c r="G63" s="498">
        <v>7</v>
      </c>
      <c r="H63" s="419">
        <v>105</v>
      </c>
      <c r="I63" s="419">
        <v>105</v>
      </c>
    </row>
    <row r="64" spans="1:9" ht="45" x14ac:dyDescent="0.2">
      <c r="A64" s="509">
        <v>56</v>
      </c>
      <c r="B64" s="494" t="s">
        <v>1167</v>
      </c>
      <c r="C64" s="494" t="s">
        <v>1196</v>
      </c>
      <c r="D64" s="398" t="s">
        <v>1197</v>
      </c>
      <c r="E64" s="499" t="s">
        <v>1173</v>
      </c>
      <c r="F64" s="510" t="s">
        <v>1194</v>
      </c>
      <c r="G64" s="498">
        <v>7</v>
      </c>
      <c r="H64" s="419">
        <v>105</v>
      </c>
      <c r="I64" s="419">
        <v>105</v>
      </c>
    </row>
    <row r="65" spans="1:9" ht="45" x14ac:dyDescent="0.2">
      <c r="A65" s="509">
        <v>57</v>
      </c>
      <c r="B65" s="494" t="s">
        <v>1198</v>
      </c>
      <c r="C65" s="494" t="s">
        <v>1131</v>
      </c>
      <c r="D65" s="398" t="s">
        <v>552</v>
      </c>
      <c r="E65" s="499" t="s">
        <v>1173</v>
      </c>
      <c r="F65" s="510" t="s">
        <v>1194</v>
      </c>
      <c r="G65" s="498">
        <v>7</v>
      </c>
      <c r="H65" s="419">
        <v>105</v>
      </c>
      <c r="I65" s="419">
        <v>105</v>
      </c>
    </row>
    <row r="66" spans="1:9" ht="45" x14ac:dyDescent="0.2">
      <c r="A66" s="509">
        <v>58</v>
      </c>
      <c r="B66" s="504" t="s">
        <v>1129</v>
      </c>
      <c r="C66" s="504" t="s">
        <v>1199</v>
      </c>
      <c r="D66" s="512" t="s">
        <v>1200</v>
      </c>
      <c r="E66" s="499" t="s">
        <v>1173</v>
      </c>
      <c r="F66" s="510" t="s">
        <v>1194</v>
      </c>
      <c r="G66" s="498">
        <v>7</v>
      </c>
      <c r="H66" s="419">
        <v>105</v>
      </c>
      <c r="I66" s="419">
        <v>105</v>
      </c>
    </row>
    <row r="67" spans="1:9" ht="45" x14ac:dyDescent="0.2">
      <c r="A67" s="509">
        <v>59</v>
      </c>
      <c r="B67" s="494" t="s">
        <v>892</v>
      </c>
      <c r="C67" s="494" t="s">
        <v>1166</v>
      </c>
      <c r="D67" s="398" t="s">
        <v>562</v>
      </c>
      <c r="E67" s="499" t="s">
        <v>1173</v>
      </c>
      <c r="F67" s="510" t="s">
        <v>1194</v>
      </c>
      <c r="G67" s="498">
        <v>7</v>
      </c>
      <c r="H67" s="419">
        <v>105</v>
      </c>
      <c r="I67" s="419">
        <v>105</v>
      </c>
    </row>
    <row r="68" spans="1:9" ht="45" x14ac:dyDescent="0.2">
      <c r="A68" s="509">
        <v>60</v>
      </c>
      <c r="B68" s="504" t="s">
        <v>1170</v>
      </c>
      <c r="C68" s="504" t="s">
        <v>1171</v>
      </c>
      <c r="D68" s="412" t="s">
        <v>546</v>
      </c>
      <c r="E68" s="499" t="s">
        <v>1173</v>
      </c>
      <c r="F68" s="510" t="s">
        <v>1194</v>
      </c>
      <c r="G68" s="498">
        <v>7</v>
      </c>
      <c r="H68" s="419">
        <v>105</v>
      </c>
      <c r="I68" s="419">
        <v>105</v>
      </c>
    </row>
    <row r="69" spans="1:9" ht="24.75" customHeight="1" x14ac:dyDescent="0.2">
      <c r="A69" s="509">
        <v>61</v>
      </c>
      <c r="B69" s="494" t="s">
        <v>1158</v>
      </c>
      <c r="C69" s="494" t="s">
        <v>668</v>
      </c>
      <c r="D69" s="398" t="s">
        <v>560</v>
      </c>
      <c r="E69" s="499" t="s">
        <v>1201</v>
      </c>
      <c r="F69" s="499" t="s">
        <v>1202</v>
      </c>
      <c r="G69" s="498">
        <v>3</v>
      </c>
      <c r="H69" s="419">
        <v>45</v>
      </c>
      <c r="I69" s="419">
        <v>45</v>
      </c>
    </row>
    <row r="70" spans="1:9" ht="24.75" customHeight="1" x14ac:dyDescent="0.2">
      <c r="A70" s="509">
        <v>62</v>
      </c>
      <c r="B70" s="494" t="s">
        <v>1129</v>
      </c>
      <c r="C70" s="494" t="s">
        <v>681</v>
      </c>
      <c r="D70" s="398" t="s">
        <v>679</v>
      </c>
      <c r="E70" s="499" t="s">
        <v>1201</v>
      </c>
      <c r="F70" s="499" t="s">
        <v>1202</v>
      </c>
      <c r="G70" s="498">
        <v>3</v>
      </c>
      <c r="H70" s="419">
        <v>45</v>
      </c>
      <c r="I70" s="419">
        <v>45</v>
      </c>
    </row>
    <row r="71" spans="1:9" ht="24.75" customHeight="1" x14ac:dyDescent="0.2">
      <c r="A71" s="509">
        <v>63</v>
      </c>
      <c r="B71" s="494" t="s">
        <v>676</v>
      </c>
      <c r="C71" s="494" t="s">
        <v>677</v>
      </c>
      <c r="D71" s="398" t="s">
        <v>572</v>
      </c>
      <c r="E71" s="499" t="s">
        <v>1201</v>
      </c>
      <c r="F71" s="499" t="s">
        <v>1202</v>
      </c>
      <c r="G71" s="498">
        <v>3</v>
      </c>
      <c r="H71" s="419">
        <v>45</v>
      </c>
      <c r="I71" s="419">
        <v>45</v>
      </c>
    </row>
    <row r="72" spans="1:9" ht="24.75" customHeight="1" x14ac:dyDescent="0.2">
      <c r="A72" s="509">
        <v>64</v>
      </c>
      <c r="B72" s="494" t="s">
        <v>1187</v>
      </c>
      <c r="C72" s="494" t="s">
        <v>663</v>
      </c>
      <c r="D72" s="412" t="s">
        <v>564</v>
      </c>
      <c r="E72" s="499" t="s">
        <v>1201</v>
      </c>
      <c r="F72" s="499" t="s">
        <v>1202</v>
      </c>
      <c r="G72" s="498">
        <v>3</v>
      </c>
      <c r="H72" s="419">
        <f>45+120</f>
        <v>165</v>
      </c>
      <c r="I72" s="419">
        <f>45+120</f>
        <v>165</v>
      </c>
    </row>
    <row r="73" spans="1:9" ht="24.75" customHeight="1" x14ac:dyDescent="0.2">
      <c r="A73" s="509">
        <v>65</v>
      </c>
      <c r="B73" s="494" t="s">
        <v>672</v>
      </c>
      <c r="C73" s="494" t="s">
        <v>673</v>
      </c>
      <c r="D73" s="398" t="s">
        <v>1160</v>
      </c>
      <c r="E73" s="499" t="s">
        <v>1201</v>
      </c>
      <c r="F73" s="499" t="s">
        <v>1202</v>
      </c>
      <c r="G73" s="498">
        <v>3</v>
      </c>
      <c r="H73" s="419">
        <v>45</v>
      </c>
      <c r="I73" s="419">
        <v>45</v>
      </c>
    </row>
    <row r="74" spans="1:9" ht="24.75" customHeight="1" x14ac:dyDescent="0.2">
      <c r="A74" s="509">
        <v>66</v>
      </c>
      <c r="B74" s="494" t="s">
        <v>892</v>
      </c>
      <c r="C74" s="494" t="s">
        <v>1162</v>
      </c>
      <c r="D74" s="398">
        <v>65002007395</v>
      </c>
      <c r="E74" s="499" t="s">
        <v>1201</v>
      </c>
      <c r="F74" s="499" t="s">
        <v>1202</v>
      </c>
      <c r="G74" s="498">
        <v>3</v>
      </c>
      <c r="H74" s="419">
        <v>45</v>
      </c>
      <c r="I74" s="419">
        <v>45</v>
      </c>
    </row>
    <row r="75" spans="1:9" ht="24.75" customHeight="1" x14ac:dyDescent="0.2">
      <c r="A75" s="509">
        <v>67</v>
      </c>
      <c r="B75" s="504" t="s">
        <v>1170</v>
      </c>
      <c r="C75" s="504" t="s">
        <v>1171</v>
      </c>
      <c r="D75" s="412" t="s">
        <v>546</v>
      </c>
      <c r="E75" s="499" t="s">
        <v>1201</v>
      </c>
      <c r="F75" s="499" t="s">
        <v>1202</v>
      </c>
      <c r="G75" s="498">
        <v>3</v>
      </c>
      <c r="H75" s="419">
        <v>45</v>
      </c>
      <c r="I75" s="419">
        <v>45</v>
      </c>
    </row>
    <row r="76" spans="1:9" ht="24.75" customHeight="1" x14ac:dyDescent="0.2">
      <c r="A76" s="509">
        <v>68</v>
      </c>
      <c r="B76" s="494" t="s">
        <v>1198</v>
      </c>
      <c r="C76" s="494" t="s">
        <v>1131</v>
      </c>
      <c r="D76" s="398" t="s">
        <v>552</v>
      </c>
      <c r="E76" s="499" t="s">
        <v>1201</v>
      </c>
      <c r="F76" s="499" t="s">
        <v>1202</v>
      </c>
      <c r="G76" s="498">
        <v>3</v>
      </c>
      <c r="H76" s="419">
        <v>45</v>
      </c>
      <c r="I76" s="419">
        <v>45</v>
      </c>
    </row>
    <row r="77" spans="1:9" ht="24.75" customHeight="1" x14ac:dyDescent="0.2">
      <c r="A77" s="509">
        <v>69</v>
      </c>
      <c r="B77" s="504" t="s">
        <v>747</v>
      </c>
      <c r="C77" s="504" t="s">
        <v>1176</v>
      </c>
      <c r="D77" s="511" t="s">
        <v>1195</v>
      </c>
      <c r="E77" s="499" t="s">
        <v>1201</v>
      </c>
      <c r="F77" s="499" t="s">
        <v>1202</v>
      </c>
      <c r="G77" s="498">
        <v>3</v>
      </c>
      <c r="H77" s="419">
        <v>45</v>
      </c>
      <c r="I77" s="419">
        <v>45</v>
      </c>
    </row>
    <row r="78" spans="1:9" ht="24.75" customHeight="1" x14ac:dyDescent="0.2">
      <c r="A78" s="509">
        <v>70</v>
      </c>
      <c r="B78" s="494" t="s">
        <v>892</v>
      </c>
      <c r="C78" s="494" t="s">
        <v>1159</v>
      </c>
      <c r="D78" s="398" t="s">
        <v>570</v>
      </c>
      <c r="E78" s="499" t="s">
        <v>1201</v>
      </c>
      <c r="F78" s="499" t="s">
        <v>1202</v>
      </c>
      <c r="G78" s="498">
        <v>3</v>
      </c>
      <c r="H78" s="419">
        <f>45+120</f>
        <v>165</v>
      </c>
      <c r="I78" s="419">
        <f>45+120</f>
        <v>165</v>
      </c>
    </row>
    <row r="79" spans="1:9" ht="24.75" customHeight="1" x14ac:dyDescent="0.2">
      <c r="A79" s="509">
        <v>71</v>
      </c>
      <c r="B79" s="494" t="s">
        <v>739</v>
      </c>
      <c r="C79" s="494" t="s">
        <v>1193</v>
      </c>
      <c r="D79" s="398" t="s">
        <v>550</v>
      </c>
      <c r="E79" s="499" t="s">
        <v>1201</v>
      </c>
      <c r="F79" s="499" t="s">
        <v>1202</v>
      </c>
      <c r="G79" s="498">
        <v>3</v>
      </c>
      <c r="H79" s="419">
        <v>45</v>
      </c>
      <c r="I79" s="419">
        <v>45</v>
      </c>
    </row>
    <row r="80" spans="1:9" ht="24.75" customHeight="1" x14ac:dyDescent="0.2">
      <c r="A80" s="509">
        <v>72</v>
      </c>
      <c r="B80" s="494" t="s">
        <v>1185</v>
      </c>
      <c r="C80" s="494" t="s">
        <v>1186</v>
      </c>
      <c r="D80" s="398" t="s">
        <v>548</v>
      </c>
      <c r="E80" s="499" t="s">
        <v>1201</v>
      </c>
      <c r="F80" s="499" t="s">
        <v>1202</v>
      </c>
      <c r="G80" s="498">
        <v>3</v>
      </c>
      <c r="H80" s="419">
        <v>45</v>
      </c>
      <c r="I80" s="419">
        <v>45</v>
      </c>
    </row>
    <row r="81" spans="1:9" ht="24.75" customHeight="1" x14ac:dyDescent="0.2">
      <c r="A81" s="509">
        <v>73</v>
      </c>
      <c r="B81" s="494" t="s">
        <v>1163</v>
      </c>
      <c r="C81" s="494" t="s">
        <v>1164</v>
      </c>
      <c r="D81" s="398" t="s">
        <v>1165</v>
      </c>
      <c r="E81" s="499" t="s">
        <v>1201</v>
      </c>
      <c r="F81" s="499" t="s">
        <v>1202</v>
      </c>
      <c r="G81" s="498">
        <v>3</v>
      </c>
      <c r="H81" s="419">
        <v>45</v>
      </c>
      <c r="I81" s="419">
        <v>45</v>
      </c>
    </row>
    <row r="82" spans="1:9" ht="24.75" customHeight="1" x14ac:dyDescent="0.2">
      <c r="A82" s="509">
        <v>74</v>
      </c>
      <c r="B82" s="504" t="s">
        <v>1203</v>
      </c>
      <c r="C82" s="504" t="s">
        <v>1204</v>
      </c>
      <c r="D82" s="511" t="s">
        <v>1205</v>
      </c>
      <c r="E82" s="499" t="s">
        <v>1201</v>
      </c>
      <c r="F82" s="499" t="s">
        <v>1202</v>
      </c>
      <c r="G82" s="498">
        <v>3</v>
      </c>
      <c r="H82" s="419">
        <v>45</v>
      </c>
      <c r="I82" s="419">
        <v>45</v>
      </c>
    </row>
    <row r="83" spans="1:9" ht="24.75" customHeight="1" x14ac:dyDescent="0.2">
      <c r="A83" s="509">
        <v>75</v>
      </c>
      <c r="B83" s="504" t="s">
        <v>1206</v>
      </c>
      <c r="C83" s="504" t="s">
        <v>1207</v>
      </c>
      <c r="D83" s="511" t="s">
        <v>1208</v>
      </c>
      <c r="E83" s="499" t="s">
        <v>1201</v>
      </c>
      <c r="F83" s="499" t="s">
        <v>1202</v>
      </c>
      <c r="G83" s="498">
        <v>3</v>
      </c>
      <c r="H83" s="419">
        <v>45</v>
      </c>
      <c r="I83" s="419">
        <v>45</v>
      </c>
    </row>
    <row r="84" spans="1:9" ht="24.75" customHeight="1" x14ac:dyDescent="0.2">
      <c r="A84" s="509">
        <v>76</v>
      </c>
      <c r="B84" s="504" t="s">
        <v>908</v>
      </c>
      <c r="C84" s="504" t="s">
        <v>1209</v>
      </c>
      <c r="D84" s="412" t="s">
        <v>1210</v>
      </c>
      <c r="E84" s="499" t="s">
        <v>1201</v>
      </c>
      <c r="F84" s="499" t="s">
        <v>1202</v>
      </c>
      <c r="G84" s="498">
        <v>3</v>
      </c>
      <c r="H84" s="419">
        <v>45</v>
      </c>
      <c r="I84" s="419">
        <v>45</v>
      </c>
    </row>
    <row r="85" spans="1:9" ht="24.75" customHeight="1" x14ac:dyDescent="0.2">
      <c r="A85" s="509">
        <v>77</v>
      </c>
      <c r="B85" s="494" t="s">
        <v>1158</v>
      </c>
      <c r="C85" s="494" t="s">
        <v>668</v>
      </c>
      <c r="D85" s="398" t="s">
        <v>560</v>
      </c>
      <c r="E85" s="499" t="s">
        <v>1201</v>
      </c>
      <c r="F85" s="513" t="s">
        <v>1211</v>
      </c>
      <c r="G85" s="498">
        <v>2</v>
      </c>
      <c r="H85" s="419">
        <v>30</v>
      </c>
      <c r="I85" s="419">
        <v>30</v>
      </c>
    </row>
    <row r="86" spans="1:9" ht="24.75" customHeight="1" x14ac:dyDescent="0.2">
      <c r="A86" s="509">
        <v>78</v>
      </c>
      <c r="B86" s="494" t="s">
        <v>1129</v>
      </c>
      <c r="C86" s="494" t="s">
        <v>681</v>
      </c>
      <c r="D86" s="398" t="s">
        <v>679</v>
      </c>
      <c r="E86" s="499" t="s">
        <v>1201</v>
      </c>
      <c r="F86" s="513" t="s">
        <v>1211</v>
      </c>
      <c r="G86" s="498">
        <v>2</v>
      </c>
      <c r="H86" s="419">
        <v>30</v>
      </c>
      <c r="I86" s="419">
        <v>30</v>
      </c>
    </row>
    <row r="87" spans="1:9" ht="24.75" customHeight="1" x14ac:dyDescent="0.2">
      <c r="A87" s="509">
        <v>79</v>
      </c>
      <c r="B87" s="494" t="s">
        <v>676</v>
      </c>
      <c r="C87" s="494" t="s">
        <v>677</v>
      </c>
      <c r="D87" s="398" t="s">
        <v>572</v>
      </c>
      <c r="E87" s="499" t="s">
        <v>1201</v>
      </c>
      <c r="F87" s="513" t="s">
        <v>1211</v>
      </c>
      <c r="G87" s="498">
        <v>2</v>
      </c>
      <c r="H87" s="419">
        <v>30</v>
      </c>
      <c r="I87" s="419">
        <v>30</v>
      </c>
    </row>
    <row r="88" spans="1:9" ht="24.75" customHeight="1" x14ac:dyDescent="0.2">
      <c r="A88" s="509">
        <v>80</v>
      </c>
      <c r="B88" s="494" t="s">
        <v>1187</v>
      </c>
      <c r="C88" s="494" t="s">
        <v>663</v>
      </c>
      <c r="D88" s="412" t="s">
        <v>564</v>
      </c>
      <c r="E88" s="499" t="s">
        <v>1201</v>
      </c>
      <c r="F88" s="513" t="s">
        <v>1211</v>
      </c>
      <c r="G88" s="498">
        <v>2</v>
      </c>
      <c r="H88" s="419">
        <v>30</v>
      </c>
      <c r="I88" s="419">
        <v>30</v>
      </c>
    </row>
    <row r="89" spans="1:9" ht="24.75" customHeight="1" x14ac:dyDescent="0.2">
      <c r="A89" s="509">
        <v>81</v>
      </c>
      <c r="B89" s="494" t="s">
        <v>672</v>
      </c>
      <c r="C89" s="494" t="s">
        <v>673</v>
      </c>
      <c r="D89" s="398" t="s">
        <v>1160</v>
      </c>
      <c r="E89" s="499" t="s">
        <v>1201</v>
      </c>
      <c r="F89" s="513" t="s">
        <v>1211</v>
      </c>
      <c r="G89" s="498">
        <v>2</v>
      </c>
      <c r="H89" s="419">
        <v>30</v>
      </c>
      <c r="I89" s="419">
        <v>30</v>
      </c>
    </row>
    <row r="90" spans="1:9" ht="24.75" customHeight="1" x14ac:dyDescent="0.2">
      <c r="A90" s="509">
        <v>82</v>
      </c>
      <c r="B90" s="494" t="s">
        <v>892</v>
      </c>
      <c r="C90" s="494" t="s">
        <v>1162</v>
      </c>
      <c r="D90" s="398">
        <v>65002007395</v>
      </c>
      <c r="E90" s="499" t="s">
        <v>1201</v>
      </c>
      <c r="F90" s="513" t="s">
        <v>1211</v>
      </c>
      <c r="G90" s="498">
        <v>2</v>
      </c>
      <c r="H90" s="419">
        <v>30</v>
      </c>
      <c r="I90" s="419">
        <v>30</v>
      </c>
    </row>
    <row r="91" spans="1:9" ht="24.75" customHeight="1" x14ac:dyDescent="0.2">
      <c r="A91" s="509">
        <v>83</v>
      </c>
      <c r="B91" s="494" t="s">
        <v>892</v>
      </c>
      <c r="C91" s="494" t="s">
        <v>1159</v>
      </c>
      <c r="D91" s="398" t="s">
        <v>570</v>
      </c>
      <c r="E91" s="499" t="s">
        <v>1201</v>
      </c>
      <c r="F91" s="513" t="s">
        <v>1211</v>
      </c>
      <c r="G91" s="498">
        <v>2</v>
      </c>
      <c r="H91" s="419">
        <v>30</v>
      </c>
      <c r="I91" s="419">
        <v>30</v>
      </c>
    </row>
    <row r="92" spans="1:9" ht="24.75" customHeight="1" x14ac:dyDescent="0.2">
      <c r="A92" s="509">
        <v>84</v>
      </c>
      <c r="B92" s="504" t="s">
        <v>1203</v>
      </c>
      <c r="C92" s="504" t="s">
        <v>1204</v>
      </c>
      <c r="D92" s="511" t="s">
        <v>1205</v>
      </c>
      <c r="E92" s="499" t="s">
        <v>1201</v>
      </c>
      <c r="F92" s="513" t="s">
        <v>1211</v>
      </c>
      <c r="G92" s="498">
        <v>2</v>
      </c>
      <c r="H92" s="419">
        <v>30</v>
      </c>
      <c r="I92" s="419">
        <v>30</v>
      </c>
    </row>
    <row r="93" spans="1:9" ht="24.75" customHeight="1" x14ac:dyDescent="0.2">
      <c r="A93" s="509">
        <v>85</v>
      </c>
      <c r="B93" s="504" t="s">
        <v>1206</v>
      </c>
      <c r="C93" s="504" t="s">
        <v>1207</v>
      </c>
      <c r="D93" s="511" t="s">
        <v>1208</v>
      </c>
      <c r="E93" s="499" t="s">
        <v>1201</v>
      </c>
      <c r="F93" s="513" t="s">
        <v>1211</v>
      </c>
      <c r="G93" s="498">
        <v>2</v>
      </c>
      <c r="H93" s="419">
        <v>30</v>
      </c>
      <c r="I93" s="419">
        <v>30</v>
      </c>
    </row>
    <row r="94" spans="1:9" ht="24.75" customHeight="1" x14ac:dyDescent="0.2">
      <c r="A94" s="509">
        <v>86</v>
      </c>
      <c r="B94" s="504" t="s">
        <v>908</v>
      </c>
      <c r="C94" s="504" t="s">
        <v>1209</v>
      </c>
      <c r="D94" s="412" t="s">
        <v>1210</v>
      </c>
      <c r="E94" s="499" t="s">
        <v>1201</v>
      </c>
      <c r="F94" s="513" t="s">
        <v>1211</v>
      </c>
      <c r="G94" s="498">
        <v>2</v>
      </c>
      <c r="H94" s="419">
        <v>30</v>
      </c>
      <c r="I94" s="419">
        <v>30</v>
      </c>
    </row>
    <row r="95" spans="1:9" ht="38.25" x14ac:dyDescent="0.2">
      <c r="A95" s="509">
        <v>87</v>
      </c>
      <c r="B95" s="494" t="s">
        <v>1158</v>
      </c>
      <c r="C95" s="494" t="s">
        <v>668</v>
      </c>
      <c r="D95" s="398" t="s">
        <v>560</v>
      </c>
      <c r="E95" s="601" t="s">
        <v>1212</v>
      </c>
      <c r="F95" s="510" t="s">
        <v>1213</v>
      </c>
      <c r="G95" s="498">
        <v>3</v>
      </c>
      <c r="H95" s="419">
        <v>45</v>
      </c>
      <c r="I95" s="419">
        <v>45</v>
      </c>
    </row>
    <row r="96" spans="1:9" ht="38.25" x14ac:dyDescent="0.2">
      <c r="A96" s="509">
        <v>88</v>
      </c>
      <c r="B96" s="494" t="s">
        <v>1129</v>
      </c>
      <c r="C96" s="494" t="s">
        <v>681</v>
      </c>
      <c r="D96" s="398" t="s">
        <v>679</v>
      </c>
      <c r="E96" s="601" t="s">
        <v>1212</v>
      </c>
      <c r="F96" s="510" t="s">
        <v>1213</v>
      </c>
      <c r="G96" s="498">
        <v>3</v>
      </c>
      <c r="H96" s="419">
        <v>45</v>
      </c>
      <c r="I96" s="419">
        <v>45</v>
      </c>
    </row>
    <row r="97" spans="1:9" ht="38.25" x14ac:dyDescent="0.2">
      <c r="A97" s="509">
        <v>89</v>
      </c>
      <c r="B97" s="494" t="s">
        <v>676</v>
      </c>
      <c r="C97" s="494" t="s">
        <v>677</v>
      </c>
      <c r="D97" s="398" t="s">
        <v>572</v>
      </c>
      <c r="E97" s="601" t="s">
        <v>1212</v>
      </c>
      <c r="F97" s="510" t="s">
        <v>1213</v>
      </c>
      <c r="G97" s="498">
        <v>3</v>
      </c>
      <c r="H97" s="419">
        <v>45</v>
      </c>
      <c r="I97" s="419">
        <v>45</v>
      </c>
    </row>
    <row r="98" spans="1:9" ht="38.25" x14ac:dyDescent="0.2">
      <c r="A98" s="509">
        <v>90</v>
      </c>
      <c r="B98" s="494" t="s">
        <v>1187</v>
      </c>
      <c r="C98" s="494" t="s">
        <v>663</v>
      </c>
      <c r="D98" s="412" t="s">
        <v>564</v>
      </c>
      <c r="E98" s="601" t="s">
        <v>1212</v>
      </c>
      <c r="F98" s="510" t="s">
        <v>1213</v>
      </c>
      <c r="G98" s="498">
        <v>3</v>
      </c>
      <c r="H98" s="419">
        <v>45</v>
      </c>
      <c r="I98" s="419">
        <v>45</v>
      </c>
    </row>
    <row r="99" spans="1:9" ht="38.25" x14ac:dyDescent="0.2">
      <c r="A99" s="509">
        <v>91</v>
      </c>
      <c r="B99" s="494" t="s">
        <v>672</v>
      </c>
      <c r="C99" s="494" t="s">
        <v>673</v>
      </c>
      <c r="D99" s="398" t="s">
        <v>1160</v>
      </c>
      <c r="E99" s="601" t="s">
        <v>1212</v>
      </c>
      <c r="F99" s="510" t="s">
        <v>1213</v>
      </c>
      <c r="G99" s="498">
        <v>3</v>
      </c>
      <c r="H99" s="419">
        <v>45</v>
      </c>
      <c r="I99" s="419">
        <v>45</v>
      </c>
    </row>
    <row r="100" spans="1:9" ht="38.25" x14ac:dyDescent="0.2">
      <c r="A100" s="509">
        <v>92</v>
      </c>
      <c r="B100" s="494" t="s">
        <v>892</v>
      </c>
      <c r="C100" s="494" t="s">
        <v>1162</v>
      </c>
      <c r="D100" s="398">
        <v>65002007395</v>
      </c>
      <c r="E100" s="601" t="s">
        <v>1212</v>
      </c>
      <c r="F100" s="510" t="s">
        <v>1213</v>
      </c>
      <c r="G100" s="498">
        <v>3</v>
      </c>
      <c r="H100" s="419">
        <v>45</v>
      </c>
      <c r="I100" s="419">
        <v>45</v>
      </c>
    </row>
    <row r="101" spans="1:9" ht="38.25" x14ac:dyDescent="0.2">
      <c r="A101" s="509">
        <v>93</v>
      </c>
      <c r="B101" s="494" t="s">
        <v>892</v>
      </c>
      <c r="C101" s="494" t="s">
        <v>1159</v>
      </c>
      <c r="D101" s="398" t="s">
        <v>570</v>
      </c>
      <c r="E101" s="601" t="s">
        <v>1212</v>
      </c>
      <c r="F101" s="510" t="s">
        <v>1213</v>
      </c>
      <c r="G101" s="498">
        <v>3</v>
      </c>
      <c r="H101" s="419">
        <v>45</v>
      </c>
      <c r="I101" s="419">
        <v>45</v>
      </c>
    </row>
    <row r="102" spans="1:9" ht="38.25" x14ac:dyDescent="0.2">
      <c r="A102" s="509">
        <v>94</v>
      </c>
      <c r="B102" s="494" t="s">
        <v>1163</v>
      </c>
      <c r="C102" s="494" t="s">
        <v>1164</v>
      </c>
      <c r="D102" s="398" t="s">
        <v>1165</v>
      </c>
      <c r="E102" s="601" t="s">
        <v>1212</v>
      </c>
      <c r="F102" s="510" t="s">
        <v>1213</v>
      </c>
      <c r="G102" s="498">
        <v>3</v>
      </c>
      <c r="H102" s="419">
        <v>45</v>
      </c>
      <c r="I102" s="419">
        <v>45</v>
      </c>
    </row>
    <row r="103" spans="1:9" ht="38.25" x14ac:dyDescent="0.2">
      <c r="A103" s="509">
        <v>95</v>
      </c>
      <c r="B103" s="494" t="s">
        <v>1158</v>
      </c>
      <c r="C103" s="494" t="s">
        <v>668</v>
      </c>
      <c r="D103" s="398" t="s">
        <v>560</v>
      </c>
      <c r="E103" s="601" t="s">
        <v>1212</v>
      </c>
      <c r="F103" s="510" t="s">
        <v>1214</v>
      </c>
      <c r="G103" s="498">
        <v>1</v>
      </c>
      <c r="H103" s="419">
        <v>15</v>
      </c>
      <c r="I103" s="419">
        <v>15</v>
      </c>
    </row>
    <row r="104" spans="1:9" ht="38.25" x14ac:dyDescent="0.2">
      <c r="A104" s="509">
        <v>96</v>
      </c>
      <c r="B104" s="494" t="s">
        <v>1129</v>
      </c>
      <c r="C104" s="494" t="s">
        <v>681</v>
      </c>
      <c r="D104" s="398" t="s">
        <v>679</v>
      </c>
      <c r="E104" s="601" t="s">
        <v>1212</v>
      </c>
      <c r="F104" s="510" t="s">
        <v>1214</v>
      </c>
      <c r="G104" s="498">
        <v>1</v>
      </c>
      <c r="H104" s="419">
        <v>15</v>
      </c>
      <c r="I104" s="419">
        <v>15</v>
      </c>
    </row>
    <row r="105" spans="1:9" ht="38.25" x14ac:dyDescent="0.2">
      <c r="A105" s="509">
        <v>97</v>
      </c>
      <c r="B105" s="494" t="s">
        <v>676</v>
      </c>
      <c r="C105" s="494" t="s">
        <v>677</v>
      </c>
      <c r="D105" s="398" t="s">
        <v>572</v>
      </c>
      <c r="E105" s="601" t="s">
        <v>1212</v>
      </c>
      <c r="F105" s="510" t="s">
        <v>1214</v>
      </c>
      <c r="G105" s="498">
        <v>1</v>
      </c>
      <c r="H105" s="419">
        <v>15</v>
      </c>
      <c r="I105" s="419">
        <v>15</v>
      </c>
    </row>
    <row r="106" spans="1:9" ht="38.25" x14ac:dyDescent="0.2">
      <c r="A106" s="509">
        <v>98</v>
      </c>
      <c r="B106" s="504" t="s">
        <v>1203</v>
      </c>
      <c r="C106" s="504" t="s">
        <v>1204</v>
      </c>
      <c r="D106" s="511" t="s">
        <v>1205</v>
      </c>
      <c r="E106" s="601" t="s">
        <v>1212</v>
      </c>
      <c r="F106" s="510" t="s">
        <v>1214</v>
      </c>
      <c r="G106" s="498">
        <v>1</v>
      </c>
      <c r="H106" s="419">
        <v>15</v>
      </c>
      <c r="I106" s="419">
        <v>15</v>
      </c>
    </row>
    <row r="107" spans="1:9" ht="38.25" x14ac:dyDescent="0.2">
      <c r="A107" s="509">
        <v>99</v>
      </c>
      <c r="B107" s="504" t="s">
        <v>1206</v>
      </c>
      <c r="C107" s="504" t="s">
        <v>1207</v>
      </c>
      <c r="D107" s="511" t="s">
        <v>1208</v>
      </c>
      <c r="E107" s="601" t="s">
        <v>1212</v>
      </c>
      <c r="F107" s="510" t="s">
        <v>1214</v>
      </c>
      <c r="G107" s="498">
        <v>1</v>
      </c>
      <c r="H107" s="419">
        <v>15</v>
      </c>
      <c r="I107" s="419">
        <v>15</v>
      </c>
    </row>
    <row r="108" spans="1:9" ht="38.25" x14ac:dyDescent="0.2">
      <c r="A108" s="509">
        <v>100</v>
      </c>
      <c r="B108" s="504" t="s">
        <v>908</v>
      </c>
      <c r="C108" s="504" t="s">
        <v>1209</v>
      </c>
      <c r="D108" s="412" t="s">
        <v>1210</v>
      </c>
      <c r="E108" s="601" t="s">
        <v>1212</v>
      </c>
      <c r="F108" s="510" t="s">
        <v>1214</v>
      </c>
      <c r="G108" s="498">
        <v>1</v>
      </c>
      <c r="H108" s="419">
        <v>15</v>
      </c>
      <c r="I108" s="419">
        <v>15</v>
      </c>
    </row>
    <row r="109" spans="1:9" ht="38.25" x14ac:dyDescent="0.2">
      <c r="A109" s="509">
        <v>101</v>
      </c>
      <c r="B109" s="494" t="s">
        <v>1158</v>
      </c>
      <c r="C109" s="494" t="s">
        <v>668</v>
      </c>
      <c r="D109" s="398" t="s">
        <v>560</v>
      </c>
      <c r="E109" s="601" t="s">
        <v>1212</v>
      </c>
      <c r="F109" s="510" t="s">
        <v>1188</v>
      </c>
      <c r="G109" s="498">
        <v>3</v>
      </c>
      <c r="H109" s="419">
        <v>45</v>
      </c>
      <c r="I109" s="419">
        <v>45</v>
      </c>
    </row>
    <row r="110" spans="1:9" ht="38.25" x14ac:dyDescent="0.2">
      <c r="A110" s="509">
        <v>102</v>
      </c>
      <c r="B110" s="494" t="s">
        <v>1129</v>
      </c>
      <c r="C110" s="494" t="s">
        <v>681</v>
      </c>
      <c r="D110" s="398" t="s">
        <v>679</v>
      </c>
      <c r="E110" s="601" t="s">
        <v>1212</v>
      </c>
      <c r="F110" s="510" t="s">
        <v>1188</v>
      </c>
      <c r="G110" s="498">
        <v>3</v>
      </c>
      <c r="H110" s="419">
        <v>45</v>
      </c>
      <c r="I110" s="419">
        <v>45</v>
      </c>
    </row>
    <row r="111" spans="1:9" ht="38.25" x14ac:dyDescent="0.2">
      <c r="A111" s="509">
        <v>103</v>
      </c>
      <c r="B111" s="494" t="s">
        <v>676</v>
      </c>
      <c r="C111" s="494" t="s">
        <v>677</v>
      </c>
      <c r="D111" s="398" t="s">
        <v>572</v>
      </c>
      <c r="E111" s="601" t="s">
        <v>1212</v>
      </c>
      <c r="F111" s="510" t="s">
        <v>1188</v>
      </c>
      <c r="G111" s="498">
        <v>3</v>
      </c>
      <c r="H111" s="419">
        <v>45</v>
      </c>
      <c r="I111" s="419">
        <v>45</v>
      </c>
    </row>
    <row r="112" spans="1:9" ht="38.25" x14ac:dyDescent="0.2">
      <c r="A112" s="509">
        <v>104</v>
      </c>
      <c r="B112" s="494" t="s">
        <v>1198</v>
      </c>
      <c r="C112" s="494" t="s">
        <v>1131</v>
      </c>
      <c r="D112" s="398" t="s">
        <v>552</v>
      </c>
      <c r="E112" s="601" t="s">
        <v>1212</v>
      </c>
      <c r="F112" s="510" t="s">
        <v>1188</v>
      </c>
      <c r="G112" s="498">
        <v>3</v>
      </c>
      <c r="H112" s="419">
        <v>45</v>
      </c>
      <c r="I112" s="419">
        <v>45</v>
      </c>
    </row>
    <row r="113" spans="1:9" ht="38.25" x14ac:dyDescent="0.2">
      <c r="A113" s="509">
        <v>105</v>
      </c>
      <c r="B113" s="494" t="s">
        <v>672</v>
      </c>
      <c r="C113" s="494" t="s">
        <v>673</v>
      </c>
      <c r="D113" s="398" t="s">
        <v>1160</v>
      </c>
      <c r="E113" s="601" t="s">
        <v>1212</v>
      </c>
      <c r="F113" s="510" t="s">
        <v>1188</v>
      </c>
      <c r="G113" s="498">
        <v>3</v>
      </c>
      <c r="H113" s="419">
        <v>45</v>
      </c>
      <c r="I113" s="419">
        <v>45</v>
      </c>
    </row>
    <row r="114" spans="1:9" ht="38.25" x14ac:dyDescent="0.2">
      <c r="A114" s="509">
        <v>106</v>
      </c>
      <c r="B114" s="504" t="s">
        <v>1203</v>
      </c>
      <c r="C114" s="504" t="s">
        <v>1204</v>
      </c>
      <c r="D114" s="511" t="s">
        <v>1205</v>
      </c>
      <c r="E114" s="601" t="s">
        <v>1212</v>
      </c>
      <c r="F114" s="510" t="s">
        <v>1188</v>
      </c>
      <c r="G114" s="498">
        <v>3</v>
      </c>
      <c r="H114" s="419">
        <v>45</v>
      </c>
      <c r="I114" s="419">
        <v>45</v>
      </c>
    </row>
    <row r="115" spans="1:9" ht="38.25" x14ac:dyDescent="0.2">
      <c r="A115" s="509">
        <v>107</v>
      </c>
      <c r="B115" s="504" t="s">
        <v>1206</v>
      </c>
      <c r="C115" s="504" t="s">
        <v>1207</v>
      </c>
      <c r="D115" s="511" t="s">
        <v>1208</v>
      </c>
      <c r="E115" s="601" t="s">
        <v>1212</v>
      </c>
      <c r="F115" s="510" t="s">
        <v>1188</v>
      </c>
      <c r="G115" s="498">
        <v>3</v>
      </c>
      <c r="H115" s="419">
        <v>45</v>
      </c>
      <c r="I115" s="419">
        <v>45</v>
      </c>
    </row>
    <row r="116" spans="1:9" ht="38.25" x14ac:dyDescent="0.2">
      <c r="A116" s="509">
        <v>108</v>
      </c>
      <c r="B116" s="504" t="s">
        <v>908</v>
      </c>
      <c r="C116" s="504" t="s">
        <v>1209</v>
      </c>
      <c r="D116" s="412" t="s">
        <v>1210</v>
      </c>
      <c r="E116" s="601" t="s">
        <v>1212</v>
      </c>
      <c r="F116" s="510" t="s">
        <v>1188</v>
      </c>
      <c r="G116" s="498">
        <v>3</v>
      </c>
      <c r="H116" s="419">
        <v>45</v>
      </c>
      <c r="I116" s="419">
        <v>45</v>
      </c>
    </row>
    <row r="117" spans="1:9" ht="38.25" x14ac:dyDescent="0.2">
      <c r="A117" s="509">
        <v>109</v>
      </c>
      <c r="B117" s="494" t="s">
        <v>1158</v>
      </c>
      <c r="C117" s="494" t="s">
        <v>668</v>
      </c>
      <c r="D117" s="398" t="s">
        <v>560</v>
      </c>
      <c r="E117" s="601" t="s">
        <v>1212</v>
      </c>
      <c r="F117" s="499" t="s">
        <v>1202</v>
      </c>
      <c r="G117" s="498">
        <v>2</v>
      </c>
      <c r="H117" s="419">
        <v>30</v>
      </c>
      <c r="I117" s="419">
        <v>30</v>
      </c>
    </row>
    <row r="118" spans="1:9" ht="38.25" x14ac:dyDescent="0.2">
      <c r="A118" s="509">
        <v>110</v>
      </c>
      <c r="B118" s="494" t="s">
        <v>1129</v>
      </c>
      <c r="C118" s="494" t="s">
        <v>681</v>
      </c>
      <c r="D118" s="398" t="s">
        <v>679</v>
      </c>
      <c r="E118" s="601" t="s">
        <v>1212</v>
      </c>
      <c r="F118" s="499" t="s">
        <v>1202</v>
      </c>
      <c r="G118" s="498">
        <v>2</v>
      </c>
      <c r="H118" s="419">
        <v>30</v>
      </c>
      <c r="I118" s="419">
        <v>30</v>
      </c>
    </row>
    <row r="119" spans="1:9" ht="38.25" x14ac:dyDescent="0.2">
      <c r="A119" s="509">
        <v>111</v>
      </c>
      <c r="B119" s="494" t="s">
        <v>672</v>
      </c>
      <c r="C119" s="494" t="s">
        <v>673</v>
      </c>
      <c r="D119" s="398" t="s">
        <v>1160</v>
      </c>
      <c r="E119" s="601" t="s">
        <v>1212</v>
      </c>
      <c r="F119" s="499" t="s">
        <v>1202</v>
      </c>
      <c r="G119" s="498">
        <v>2</v>
      </c>
      <c r="H119" s="419">
        <v>30</v>
      </c>
      <c r="I119" s="419">
        <v>30</v>
      </c>
    </row>
    <row r="120" spans="1:9" ht="38.25" x14ac:dyDescent="0.2">
      <c r="A120" s="509">
        <v>112</v>
      </c>
      <c r="B120" s="504" t="s">
        <v>1203</v>
      </c>
      <c r="C120" s="504" t="s">
        <v>1204</v>
      </c>
      <c r="D120" s="511" t="s">
        <v>1205</v>
      </c>
      <c r="E120" s="601" t="s">
        <v>1212</v>
      </c>
      <c r="F120" s="499" t="s">
        <v>1202</v>
      </c>
      <c r="G120" s="498">
        <v>2</v>
      </c>
      <c r="H120" s="419">
        <v>30</v>
      </c>
      <c r="I120" s="419">
        <v>30</v>
      </c>
    </row>
    <row r="121" spans="1:9" ht="25.5" x14ac:dyDescent="0.2">
      <c r="A121" s="509">
        <v>113</v>
      </c>
      <c r="B121" s="494" t="s">
        <v>1158</v>
      </c>
      <c r="C121" s="494" t="s">
        <v>668</v>
      </c>
      <c r="D121" s="398" t="s">
        <v>560</v>
      </c>
      <c r="E121" s="601" t="s">
        <v>1173</v>
      </c>
      <c r="F121" s="499" t="s">
        <v>1215</v>
      </c>
      <c r="G121" s="498">
        <v>7</v>
      </c>
      <c r="H121" s="419">
        <v>280</v>
      </c>
      <c r="I121" s="419">
        <v>280</v>
      </c>
    </row>
    <row r="122" spans="1:9" ht="25.5" x14ac:dyDescent="0.2">
      <c r="A122" s="509">
        <v>114</v>
      </c>
      <c r="B122" s="494" t="s">
        <v>892</v>
      </c>
      <c r="C122" s="494" t="s">
        <v>1162</v>
      </c>
      <c r="D122" s="398">
        <v>65002007395</v>
      </c>
      <c r="E122" s="601" t="s">
        <v>1173</v>
      </c>
      <c r="F122" s="499" t="s">
        <v>1215</v>
      </c>
      <c r="G122" s="498">
        <v>7</v>
      </c>
      <c r="H122" s="419">
        <v>280</v>
      </c>
      <c r="I122" s="419">
        <v>280</v>
      </c>
    </row>
    <row r="123" spans="1:9" ht="25.5" x14ac:dyDescent="0.2">
      <c r="A123" s="509">
        <v>115</v>
      </c>
      <c r="B123" s="494" t="s">
        <v>1167</v>
      </c>
      <c r="C123" s="494" t="s">
        <v>1196</v>
      </c>
      <c r="D123" s="398" t="s">
        <v>1197</v>
      </c>
      <c r="E123" s="601" t="s">
        <v>1173</v>
      </c>
      <c r="F123" s="499" t="s">
        <v>1215</v>
      </c>
      <c r="G123" s="498">
        <v>7</v>
      </c>
      <c r="H123" s="419">
        <v>280</v>
      </c>
      <c r="I123" s="419">
        <v>280</v>
      </c>
    </row>
    <row r="124" spans="1:9" ht="25.5" x14ac:dyDescent="0.2">
      <c r="A124" s="509">
        <v>116</v>
      </c>
      <c r="B124" s="494" t="s">
        <v>1182</v>
      </c>
      <c r="C124" s="494" t="s">
        <v>1183</v>
      </c>
      <c r="D124" s="412" t="s">
        <v>1184</v>
      </c>
      <c r="E124" s="601" t="s">
        <v>1173</v>
      </c>
      <c r="F124" s="499" t="s">
        <v>1215</v>
      </c>
      <c r="G124" s="498">
        <v>7</v>
      </c>
      <c r="H124" s="419">
        <v>280</v>
      </c>
      <c r="I124" s="419">
        <v>280</v>
      </c>
    </row>
    <row r="125" spans="1:9" ht="25.5" x14ac:dyDescent="0.2">
      <c r="A125" s="509">
        <v>117</v>
      </c>
      <c r="B125" s="494" t="s">
        <v>1129</v>
      </c>
      <c r="C125" s="494" t="s">
        <v>681</v>
      </c>
      <c r="D125" s="398" t="s">
        <v>679</v>
      </c>
      <c r="E125" s="601" t="s">
        <v>1173</v>
      </c>
      <c r="F125" s="499" t="s">
        <v>1215</v>
      </c>
      <c r="G125" s="498">
        <v>7</v>
      </c>
      <c r="H125" s="419">
        <v>280</v>
      </c>
      <c r="I125" s="419">
        <v>280</v>
      </c>
    </row>
    <row r="126" spans="1:9" ht="25.5" x14ac:dyDescent="0.2">
      <c r="A126" s="509">
        <v>118</v>
      </c>
      <c r="B126" s="494" t="s">
        <v>1185</v>
      </c>
      <c r="C126" s="494" t="s">
        <v>1186</v>
      </c>
      <c r="D126" s="398" t="s">
        <v>548</v>
      </c>
      <c r="E126" s="601" t="s">
        <v>1173</v>
      </c>
      <c r="F126" s="499" t="s">
        <v>1215</v>
      </c>
      <c r="G126" s="498">
        <v>7</v>
      </c>
      <c r="H126" s="419">
        <v>280</v>
      </c>
      <c r="I126" s="419">
        <v>280</v>
      </c>
    </row>
    <row r="127" spans="1:9" ht="25.5" x14ac:dyDescent="0.2">
      <c r="A127" s="509">
        <v>119</v>
      </c>
      <c r="B127" s="494" t="s">
        <v>1198</v>
      </c>
      <c r="C127" s="494" t="s">
        <v>1131</v>
      </c>
      <c r="D127" s="398" t="s">
        <v>552</v>
      </c>
      <c r="E127" s="601" t="s">
        <v>1173</v>
      </c>
      <c r="F127" s="499" t="s">
        <v>1215</v>
      </c>
      <c r="G127" s="498">
        <v>7</v>
      </c>
      <c r="H127" s="419">
        <v>280</v>
      </c>
      <c r="I127" s="419">
        <v>280</v>
      </c>
    </row>
    <row r="128" spans="1:9" ht="25.5" x14ac:dyDescent="0.2">
      <c r="A128" s="509">
        <v>120</v>
      </c>
      <c r="B128" s="494" t="s">
        <v>1177</v>
      </c>
      <c r="C128" s="494" t="s">
        <v>1178</v>
      </c>
      <c r="D128" s="398" t="s">
        <v>1165</v>
      </c>
      <c r="E128" s="601" t="s">
        <v>1173</v>
      </c>
      <c r="F128" s="499" t="s">
        <v>1215</v>
      </c>
      <c r="G128" s="498">
        <v>7</v>
      </c>
      <c r="H128" s="419">
        <v>280</v>
      </c>
      <c r="I128" s="419">
        <v>280</v>
      </c>
    </row>
    <row r="129" spans="1:9" ht="25.5" x14ac:dyDescent="0.2">
      <c r="A129" s="509">
        <v>121</v>
      </c>
      <c r="B129" s="494" t="s">
        <v>676</v>
      </c>
      <c r="C129" s="494" t="s">
        <v>677</v>
      </c>
      <c r="D129" s="398" t="s">
        <v>572</v>
      </c>
      <c r="E129" s="601" t="s">
        <v>1173</v>
      </c>
      <c r="F129" s="499" t="s">
        <v>1215</v>
      </c>
      <c r="G129" s="498">
        <v>7</v>
      </c>
      <c r="H129" s="419">
        <v>280</v>
      </c>
      <c r="I129" s="419">
        <v>280</v>
      </c>
    </row>
    <row r="130" spans="1:9" ht="25.5" x14ac:dyDescent="0.2">
      <c r="A130" s="509">
        <v>122</v>
      </c>
      <c r="B130" s="494" t="s">
        <v>1216</v>
      </c>
      <c r="C130" s="494" t="s">
        <v>859</v>
      </c>
      <c r="D130" s="398" t="s">
        <v>1217</v>
      </c>
      <c r="E130" s="601" t="s">
        <v>1173</v>
      </c>
      <c r="F130" s="499" t="s">
        <v>1215</v>
      </c>
      <c r="G130" s="498">
        <v>7</v>
      </c>
      <c r="H130" s="419">
        <v>280</v>
      </c>
      <c r="I130" s="419">
        <v>280</v>
      </c>
    </row>
    <row r="131" spans="1:9" ht="25.5" x14ac:dyDescent="0.2">
      <c r="A131" s="509">
        <v>123</v>
      </c>
      <c r="B131" s="504" t="s">
        <v>908</v>
      </c>
      <c r="C131" s="504" t="s">
        <v>1209</v>
      </c>
      <c r="D131" s="412" t="s">
        <v>1210</v>
      </c>
      <c r="E131" s="601" t="s">
        <v>1173</v>
      </c>
      <c r="F131" s="499" t="s">
        <v>1215</v>
      </c>
      <c r="G131" s="498">
        <v>7</v>
      </c>
      <c r="H131" s="419">
        <v>280</v>
      </c>
      <c r="I131" s="419">
        <v>280</v>
      </c>
    </row>
    <row r="132" spans="1:9" ht="25.5" x14ac:dyDescent="0.2">
      <c r="A132" s="509">
        <v>124</v>
      </c>
      <c r="B132" s="494" t="s">
        <v>1167</v>
      </c>
      <c r="C132" s="494" t="s">
        <v>1168</v>
      </c>
      <c r="D132" s="412" t="s">
        <v>1169</v>
      </c>
      <c r="E132" s="601" t="s">
        <v>1173</v>
      </c>
      <c r="F132" s="499" t="s">
        <v>1215</v>
      </c>
      <c r="G132" s="498">
        <v>7</v>
      </c>
      <c r="H132" s="419">
        <v>280</v>
      </c>
      <c r="I132" s="419">
        <v>280</v>
      </c>
    </row>
    <row r="133" spans="1:9" ht="25.5" x14ac:dyDescent="0.2">
      <c r="A133" s="509">
        <v>125</v>
      </c>
      <c r="B133" s="494" t="s">
        <v>672</v>
      </c>
      <c r="C133" s="494" t="s">
        <v>673</v>
      </c>
      <c r="D133" s="398" t="s">
        <v>1160</v>
      </c>
      <c r="E133" s="601" t="s">
        <v>1173</v>
      </c>
      <c r="F133" s="499" t="s">
        <v>1215</v>
      </c>
      <c r="G133" s="498">
        <v>7</v>
      </c>
      <c r="H133" s="419">
        <v>280</v>
      </c>
      <c r="I133" s="419">
        <v>280</v>
      </c>
    </row>
    <row r="134" spans="1:9" ht="25.5" x14ac:dyDescent="0.2">
      <c r="A134" s="509">
        <v>126</v>
      </c>
      <c r="B134" s="504" t="s">
        <v>1170</v>
      </c>
      <c r="C134" s="504" t="s">
        <v>1171</v>
      </c>
      <c r="D134" s="412" t="s">
        <v>546</v>
      </c>
      <c r="E134" s="601" t="s">
        <v>1173</v>
      </c>
      <c r="F134" s="499" t="s">
        <v>1215</v>
      </c>
      <c r="G134" s="498">
        <v>7</v>
      </c>
      <c r="H134" s="419">
        <v>280</v>
      </c>
      <c r="I134" s="419">
        <v>280</v>
      </c>
    </row>
    <row r="135" spans="1:9" ht="25.5" x14ac:dyDescent="0.2">
      <c r="A135" s="509">
        <v>127</v>
      </c>
      <c r="B135" s="494" t="s">
        <v>892</v>
      </c>
      <c r="C135" s="494" t="s">
        <v>1159</v>
      </c>
      <c r="D135" s="398" t="s">
        <v>570</v>
      </c>
      <c r="E135" s="601" t="s">
        <v>1173</v>
      </c>
      <c r="F135" s="499" t="s">
        <v>1215</v>
      </c>
      <c r="G135" s="498">
        <v>7</v>
      </c>
      <c r="H135" s="419">
        <v>280</v>
      </c>
      <c r="I135" s="419">
        <v>280</v>
      </c>
    </row>
    <row r="136" spans="1:9" ht="25.5" x14ac:dyDescent="0.2">
      <c r="A136" s="509">
        <v>128</v>
      </c>
      <c r="B136" s="494" t="s">
        <v>739</v>
      </c>
      <c r="C136" s="494" t="s">
        <v>1193</v>
      </c>
      <c r="D136" s="398" t="s">
        <v>550</v>
      </c>
      <c r="E136" s="601" t="s">
        <v>1173</v>
      </c>
      <c r="F136" s="499" t="s">
        <v>1215</v>
      </c>
      <c r="G136" s="498">
        <v>7</v>
      </c>
      <c r="H136" s="419">
        <v>280</v>
      </c>
      <c r="I136" s="419">
        <v>280</v>
      </c>
    </row>
    <row r="137" spans="1:9" ht="51.75" customHeight="1" x14ac:dyDescent="0.2">
      <c r="A137" s="509">
        <v>129</v>
      </c>
      <c r="B137" s="494" t="s">
        <v>1187</v>
      </c>
      <c r="C137" s="494" t="s">
        <v>663</v>
      </c>
      <c r="D137" s="398" t="s">
        <v>564</v>
      </c>
      <c r="E137" s="510" t="s">
        <v>1218</v>
      </c>
      <c r="F137" s="510" t="s">
        <v>1219</v>
      </c>
      <c r="G137" s="498">
        <v>2</v>
      </c>
      <c r="H137" s="419">
        <v>30</v>
      </c>
      <c r="I137" s="419">
        <v>30</v>
      </c>
    </row>
    <row r="138" spans="1:9" ht="51.75" customHeight="1" x14ac:dyDescent="0.2">
      <c r="A138" s="509">
        <v>130</v>
      </c>
      <c r="B138" s="494" t="s">
        <v>936</v>
      </c>
      <c r="C138" s="494" t="s">
        <v>1220</v>
      </c>
      <c r="D138" s="398" t="s">
        <v>1191</v>
      </c>
      <c r="E138" s="510" t="s">
        <v>1218</v>
      </c>
      <c r="F138" s="510" t="s">
        <v>1219</v>
      </c>
      <c r="G138" s="498">
        <v>2</v>
      </c>
      <c r="H138" s="419">
        <v>30</v>
      </c>
      <c r="I138" s="419">
        <v>30</v>
      </c>
    </row>
    <row r="139" spans="1:9" ht="51.75" customHeight="1" x14ac:dyDescent="0.2">
      <c r="A139" s="509">
        <v>131</v>
      </c>
      <c r="B139" s="494" t="s">
        <v>747</v>
      </c>
      <c r="C139" s="494" t="s">
        <v>1221</v>
      </c>
      <c r="D139" s="398" t="s">
        <v>1222</v>
      </c>
      <c r="E139" s="510" t="s">
        <v>1218</v>
      </c>
      <c r="F139" s="510" t="s">
        <v>1219</v>
      </c>
      <c r="G139" s="498">
        <v>2</v>
      </c>
      <c r="H139" s="419">
        <v>30</v>
      </c>
      <c r="I139" s="419">
        <v>30</v>
      </c>
    </row>
    <row r="140" spans="1:9" ht="51.75" customHeight="1" x14ac:dyDescent="0.2">
      <c r="A140" s="509">
        <v>132</v>
      </c>
      <c r="B140" s="514" t="s">
        <v>1206</v>
      </c>
      <c r="C140" s="514" t="s">
        <v>1207</v>
      </c>
      <c r="D140" s="511" t="s">
        <v>1208</v>
      </c>
      <c r="E140" s="510" t="s">
        <v>1218</v>
      </c>
      <c r="F140" s="510" t="s">
        <v>1219</v>
      </c>
      <c r="G140" s="498">
        <v>2</v>
      </c>
      <c r="H140" s="419">
        <v>30</v>
      </c>
      <c r="I140" s="419">
        <v>30</v>
      </c>
    </row>
    <row r="141" spans="1:9" ht="57.75" customHeight="1" x14ac:dyDescent="0.2">
      <c r="A141" s="509">
        <v>133</v>
      </c>
      <c r="B141" s="494" t="s">
        <v>936</v>
      </c>
      <c r="C141" s="494" t="s">
        <v>1220</v>
      </c>
      <c r="D141" s="398" t="s">
        <v>1191</v>
      </c>
      <c r="E141" s="510" t="s">
        <v>1218</v>
      </c>
      <c r="F141" s="510" t="s">
        <v>1223</v>
      </c>
      <c r="G141" s="498">
        <v>2</v>
      </c>
      <c r="H141" s="419">
        <v>30</v>
      </c>
      <c r="I141" s="419">
        <v>30</v>
      </c>
    </row>
    <row r="142" spans="1:9" ht="57.75" customHeight="1" x14ac:dyDescent="0.2">
      <c r="A142" s="509">
        <v>134</v>
      </c>
      <c r="B142" s="494" t="s">
        <v>1224</v>
      </c>
      <c r="C142" s="494" t="s">
        <v>1225</v>
      </c>
      <c r="D142" s="398" t="s">
        <v>1226</v>
      </c>
      <c r="E142" s="510" t="s">
        <v>1218</v>
      </c>
      <c r="F142" s="510" t="s">
        <v>1223</v>
      </c>
      <c r="G142" s="498">
        <v>2</v>
      </c>
      <c r="H142" s="419">
        <v>30</v>
      </c>
      <c r="I142" s="419">
        <v>30</v>
      </c>
    </row>
    <row r="143" spans="1:9" ht="57.75" customHeight="1" x14ac:dyDescent="0.2">
      <c r="A143" s="509">
        <v>135</v>
      </c>
      <c r="B143" s="494" t="s">
        <v>1129</v>
      </c>
      <c r="C143" s="494" t="s">
        <v>681</v>
      </c>
      <c r="D143" s="398" t="s">
        <v>679</v>
      </c>
      <c r="E143" s="510" t="s">
        <v>1218</v>
      </c>
      <c r="F143" s="510" t="s">
        <v>1223</v>
      </c>
      <c r="G143" s="498">
        <v>2</v>
      </c>
      <c r="H143" s="419">
        <v>30</v>
      </c>
      <c r="I143" s="419">
        <v>30</v>
      </c>
    </row>
    <row r="144" spans="1:9" ht="57.75" customHeight="1" x14ac:dyDescent="0.2">
      <c r="A144" s="509">
        <v>136</v>
      </c>
      <c r="B144" s="494" t="s">
        <v>1158</v>
      </c>
      <c r="C144" s="494" t="s">
        <v>668</v>
      </c>
      <c r="D144" s="398" t="s">
        <v>560</v>
      </c>
      <c r="E144" s="510" t="s">
        <v>1218</v>
      </c>
      <c r="F144" s="510" t="s">
        <v>1223</v>
      </c>
      <c r="G144" s="498">
        <v>2</v>
      </c>
      <c r="H144" s="419">
        <v>30</v>
      </c>
      <c r="I144" s="419">
        <v>30</v>
      </c>
    </row>
    <row r="145" spans="1:9" ht="57.75" customHeight="1" x14ac:dyDescent="0.2">
      <c r="A145" s="509">
        <v>137</v>
      </c>
      <c r="B145" s="494" t="s">
        <v>672</v>
      </c>
      <c r="C145" s="494" t="s">
        <v>673</v>
      </c>
      <c r="D145" s="398" t="s">
        <v>1160</v>
      </c>
      <c r="E145" s="510" t="s">
        <v>1218</v>
      </c>
      <c r="F145" s="510" t="s">
        <v>1223</v>
      </c>
      <c r="G145" s="498">
        <v>2</v>
      </c>
      <c r="H145" s="419">
        <v>30</v>
      </c>
      <c r="I145" s="419">
        <v>30</v>
      </c>
    </row>
    <row r="146" spans="1:9" ht="57.75" customHeight="1" x14ac:dyDescent="0.2">
      <c r="A146" s="509">
        <v>138</v>
      </c>
      <c r="B146" s="494" t="s">
        <v>1187</v>
      </c>
      <c r="C146" s="494" t="s">
        <v>663</v>
      </c>
      <c r="D146" s="398" t="s">
        <v>564</v>
      </c>
      <c r="E146" s="510" t="s">
        <v>1218</v>
      </c>
      <c r="F146" s="510" t="s">
        <v>1223</v>
      </c>
      <c r="G146" s="498">
        <v>2</v>
      </c>
      <c r="H146" s="419">
        <v>30</v>
      </c>
      <c r="I146" s="419">
        <v>30</v>
      </c>
    </row>
    <row r="147" spans="1:9" ht="57.75" customHeight="1" x14ac:dyDescent="0.2">
      <c r="A147" s="509">
        <v>139</v>
      </c>
      <c r="B147" s="494" t="s">
        <v>892</v>
      </c>
      <c r="C147" s="494" t="s">
        <v>1162</v>
      </c>
      <c r="D147" s="398">
        <v>65002007395</v>
      </c>
      <c r="E147" s="510" t="s">
        <v>1218</v>
      </c>
      <c r="F147" s="510" t="s">
        <v>1223</v>
      </c>
      <c r="G147" s="498">
        <v>2</v>
      </c>
      <c r="H147" s="419">
        <v>30</v>
      </c>
      <c r="I147" s="419">
        <v>30</v>
      </c>
    </row>
    <row r="148" spans="1:9" ht="57.75" customHeight="1" x14ac:dyDescent="0.2">
      <c r="A148" s="509">
        <v>140</v>
      </c>
      <c r="B148" s="494" t="s">
        <v>676</v>
      </c>
      <c r="C148" s="494" t="s">
        <v>677</v>
      </c>
      <c r="D148" s="398" t="s">
        <v>572</v>
      </c>
      <c r="E148" s="510" t="s">
        <v>1218</v>
      </c>
      <c r="F148" s="510" t="s">
        <v>1223</v>
      </c>
      <c r="G148" s="498">
        <v>2</v>
      </c>
      <c r="H148" s="419">
        <v>30</v>
      </c>
      <c r="I148" s="419">
        <v>30</v>
      </c>
    </row>
    <row r="149" spans="1:9" ht="48.75" customHeight="1" x14ac:dyDescent="0.2">
      <c r="A149" s="509">
        <v>141</v>
      </c>
      <c r="B149" s="494" t="s">
        <v>1224</v>
      </c>
      <c r="C149" s="494" t="s">
        <v>1225</v>
      </c>
      <c r="D149" s="398" t="s">
        <v>1226</v>
      </c>
      <c r="E149" s="510" t="s">
        <v>1218</v>
      </c>
      <c r="F149" s="510" t="s">
        <v>1227</v>
      </c>
      <c r="G149" s="498">
        <v>2</v>
      </c>
      <c r="H149" s="419">
        <v>30</v>
      </c>
      <c r="I149" s="419">
        <v>30</v>
      </c>
    </row>
    <row r="150" spans="1:9" ht="48.75" customHeight="1" x14ac:dyDescent="0.2">
      <c r="A150" s="509">
        <v>142</v>
      </c>
      <c r="B150" s="494" t="s">
        <v>1158</v>
      </c>
      <c r="C150" s="494" t="s">
        <v>668</v>
      </c>
      <c r="D150" s="398" t="s">
        <v>560</v>
      </c>
      <c r="E150" s="510" t="s">
        <v>1218</v>
      </c>
      <c r="F150" s="510" t="s">
        <v>1227</v>
      </c>
      <c r="G150" s="498">
        <v>2</v>
      </c>
      <c r="H150" s="419">
        <v>30</v>
      </c>
      <c r="I150" s="419">
        <v>30</v>
      </c>
    </row>
    <row r="151" spans="1:9" ht="48.75" customHeight="1" x14ac:dyDescent="0.2">
      <c r="A151" s="509">
        <v>143</v>
      </c>
      <c r="B151" s="494" t="s">
        <v>1129</v>
      </c>
      <c r="C151" s="494" t="s">
        <v>681</v>
      </c>
      <c r="D151" s="398" t="s">
        <v>679</v>
      </c>
      <c r="E151" s="510" t="s">
        <v>1218</v>
      </c>
      <c r="F151" s="510" t="s">
        <v>1227</v>
      </c>
      <c r="G151" s="498">
        <v>2</v>
      </c>
      <c r="H151" s="419">
        <v>30</v>
      </c>
      <c r="I151" s="419">
        <v>30</v>
      </c>
    </row>
    <row r="152" spans="1:9" ht="48.75" customHeight="1" x14ac:dyDescent="0.2">
      <c r="A152" s="509">
        <v>144</v>
      </c>
      <c r="B152" s="494" t="s">
        <v>892</v>
      </c>
      <c r="C152" s="494" t="s">
        <v>1159</v>
      </c>
      <c r="D152" s="398" t="s">
        <v>570</v>
      </c>
      <c r="E152" s="510" t="s">
        <v>1218</v>
      </c>
      <c r="F152" s="510" t="s">
        <v>1227</v>
      </c>
      <c r="G152" s="498">
        <v>2</v>
      </c>
      <c r="H152" s="419">
        <v>30</v>
      </c>
      <c r="I152" s="419">
        <v>30</v>
      </c>
    </row>
    <row r="153" spans="1:9" ht="48.75" customHeight="1" x14ac:dyDescent="0.2">
      <c r="A153" s="509">
        <v>145</v>
      </c>
      <c r="B153" s="494" t="s">
        <v>672</v>
      </c>
      <c r="C153" s="494" t="s">
        <v>673</v>
      </c>
      <c r="D153" s="398" t="s">
        <v>1160</v>
      </c>
      <c r="E153" s="510" t="s">
        <v>1218</v>
      </c>
      <c r="F153" s="510" t="s">
        <v>1227</v>
      </c>
      <c r="G153" s="498">
        <v>2</v>
      </c>
      <c r="H153" s="419">
        <v>30</v>
      </c>
      <c r="I153" s="419">
        <v>30</v>
      </c>
    </row>
    <row r="154" spans="1:9" ht="48.75" customHeight="1" x14ac:dyDescent="0.2">
      <c r="A154" s="509">
        <v>146</v>
      </c>
      <c r="B154" s="494" t="s">
        <v>676</v>
      </c>
      <c r="C154" s="494" t="s">
        <v>677</v>
      </c>
      <c r="D154" s="398" t="s">
        <v>572</v>
      </c>
      <c r="E154" s="510" t="s">
        <v>1218</v>
      </c>
      <c r="F154" s="510" t="s">
        <v>1227</v>
      </c>
      <c r="G154" s="498">
        <v>2</v>
      </c>
      <c r="H154" s="419">
        <v>30</v>
      </c>
      <c r="I154" s="419">
        <v>30</v>
      </c>
    </row>
    <row r="155" spans="1:9" ht="48.75" customHeight="1" x14ac:dyDescent="0.2">
      <c r="A155" s="509">
        <v>147</v>
      </c>
      <c r="B155" s="514" t="s">
        <v>1206</v>
      </c>
      <c r="C155" s="514" t="s">
        <v>1207</v>
      </c>
      <c r="D155" s="511" t="s">
        <v>1208</v>
      </c>
      <c r="E155" s="510" t="s">
        <v>1218</v>
      </c>
      <c r="F155" s="510" t="s">
        <v>1227</v>
      </c>
      <c r="G155" s="498">
        <v>2</v>
      </c>
      <c r="H155" s="419">
        <v>30</v>
      </c>
      <c r="I155" s="419">
        <v>30</v>
      </c>
    </row>
    <row r="156" spans="1:9" ht="48.75" customHeight="1" x14ac:dyDescent="0.2">
      <c r="A156" s="509">
        <v>148</v>
      </c>
      <c r="B156" s="514" t="s">
        <v>1203</v>
      </c>
      <c r="C156" s="514" t="s">
        <v>1204</v>
      </c>
      <c r="D156" s="511" t="s">
        <v>1205</v>
      </c>
      <c r="E156" s="510" t="s">
        <v>1218</v>
      </c>
      <c r="F156" s="510" t="s">
        <v>1227</v>
      </c>
      <c r="G156" s="498">
        <v>2</v>
      </c>
      <c r="H156" s="419">
        <v>30</v>
      </c>
      <c r="I156" s="419">
        <v>30</v>
      </c>
    </row>
    <row r="157" spans="1:9" ht="63.75" x14ac:dyDescent="0.2">
      <c r="A157" s="509">
        <v>149</v>
      </c>
      <c r="B157" s="494" t="s">
        <v>936</v>
      </c>
      <c r="C157" s="494" t="s">
        <v>1220</v>
      </c>
      <c r="D157" s="398" t="s">
        <v>1191</v>
      </c>
      <c r="E157" s="510" t="s">
        <v>1218</v>
      </c>
      <c r="F157" s="515" t="s">
        <v>1228</v>
      </c>
      <c r="G157" s="498">
        <v>6</v>
      </c>
      <c r="H157" s="419">
        <f>90+121</f>
        <v>211</v>
      </c>
      <c r="I157" s="419">
        <f>90+121</f>
        <v>211</v>
      </c>
    </row>
    <row r="158" spans="1:9" ht="63.75" x14ac:dyDescent="0.2">
      <c r="A158" s="509">
        <v>150</v>
      </c>
      <c r="B158" s="494" t="s">
        <v>1187</v>
      </c>
      <c r="C158" s="494" t="s">
        <v>663</v>
      </c>
      <c r="D158" s="398" t="s">
        <v>564</v>
      </c>
      <c r="E158" s="510" t="s">
        <v>1218</v>
      </c>
      <c r="F158" s="515" t="s">
        <v>1228</v>
      </c>
      <c r="G158" s="498">
        <v>6</v>
      </c>
      <c r="H158" s="419">
        <f>90+121</f>
        <v>211</v>
      </c>
      <c r="I158" s="419">
        <f>90+121</f>
        <v>211</v>
      </c>
    </row>
    <row r="159" spans="1:9" ht="63.75" x14ac:dyDescent="0.2">
      <c r="A159" s="509">
        <v>151</v>
      </c>
      <c r="B159" s="494" t="s">
        <v>1224</v>
      </c>
      <c r="C159" s="494" t="s">
        <v>1225</v>
      </c>
      <c r="D159" s="398" t="s">
        <v>1226</v>
      </c>
      <c r="E159" s="510" t="s">
        <v>1218</v>
      </c>
      <c r="F159" s="515" t="s">
        <v>1228</v>
      </c>
      <c r="G159" s="498">
        <v>6</v>
      </c>
      <c r="H159" s="419">
        <f>90+121+100</f>
        <v>311</v>
      </c>
      <c r="I159" s="419">
        <f>90+121+100</f>
        <v>311</v>
      </c>
    </row>
    <row r="160" spans="1:9" ht="63.75" x14ac:dyDescent="0.2">
      <c r="A160" s="509">
        <v>152</v>
      </c>
      <c r="B160" s="494" t="s">
        <v>1158</v>
      </c>
      <c r="C160" s="494" t="s">
        <v>668</v>
      </c>
      <c r="D160" s="398" t="s">
        <v>560</v>
      </c>
      <c r="E160" s="510" t="s">
        <v>1218</v>
      </c>
      <c r="F160" s="515" t="s">
        <v>1228</v>
      </c>
      <c r="G160" s="498">
        <v>6</v>
      </c>
      <c r="H160" s="419">
        <f>90+121+80</f>
        <v>291</v>
      </c>
      <c r="I160" s="419">
        <f>90+121+80</f>
        <v>291</v>
      </c>
    </row>
    <row r="161" spans="1:9" ht="70.5" customHeight="1" x14ac:dyDescent="0.2">
      <c r="A161" s="509">
        <v>153</v>
      </c>
      <c r="B161" s="494" t="s">
        <v>804</v>
      </c>
      <c r="C161" s="494" t="s">
        <v>1229</v>
      </c>
      <c r="D161" s="516" t="s">
        <v>1230</v>
      </c>
      <c r="E161" s="510" t="s">
        <v>1218</v>
      </c>
      <c r="F161" s="515" t="s">
        <v>1228</v>
      </c>
      <c r="G161" s="498">
        <v>6</v>
      </c>
      <c r="H161" s="419">
        <f t="shared" ref="H161:I162" si="3">90+121</f>
        <v>211</v>
      </c>
      <c r="I161" s="419">
        <f t="shared" si="3"/>
        <v>211</v>
      </c>
    </row>
    <row r="162" spans="1:9" ht="70.5" customHeight="1" x14ac:dyDescent="0.2">
      <c r="A162" s="509">
        <v>154</v>
      </c>
      <c r="B162" s="494" t="s">
        <v>747</v>
      </c>
      <c r="C162" s="494" t="s">
        <v>1221</v>
      </c>
      <c r="D162" s="398" t="s">
        <v>1222</v>
      </c>
      <c r="E162" s="510" t="s">
        <v>1218</v>
      </c>
      <c r="F162" s="515" t="s">
        <v>1228</v>
      </c>
      <c r="G162" s="498">
        <v>6</v>
      </c>
      <c r="H162" s="419">
        <f t="shared" si="3"/>
        <v>211</v>
      </c>
      <c r="I162" s="419">
        <f t="shared" si="3"/>
        <v>211</v>
      </c>
    </row>
    <row r="163" spans="1:9" ht="70.5" customHeight="1" x14ac:dyDescent="0.2">
      <c r="A163" s="509">
        <v>155</v>
      </c>
      <c r="B163" s="494" t="s">
        <v>1129</v>
      </c>
      <c r="C163" s="494" t="s">
        <v>681</v>
      </c>
      <c r="D163" s="398" t="s">
        <v>679</v>
      </c>
      <c r="E163" s="510" t="s">
        <v>1218</v>
      </c>
      <c r="F163" s="515" t="s">
        <v>1228</v>
      </c>
      <c r="G163" s="498">
        <v>6</v>
      </c>
      <c r="H163" s="419">
        <v>90</v>
      </c>
      <c r="I163" s="419">
        <v>90</v>
      </c>
    </row>
    <row r="164" spans="1:9" ht="70.5" customHeight="1" x14ac:dyDescent="0.2">
      <c r="A164" s="509">
        <v>156</v>
      </c>
      <c r="B164" s="494" t="s">
        <v>672</v>
      </c>
      <c r="C164" s="494" t="s">
        <v>673</v>
      </c>
      <c r="D164" s="398" t="s">
        <v>1160</v>
      </c>
      <c r="E164" s="510" t="s">
        <v>1218</v>
      </c>
      <c r="F164" s="515" t="s">
        <v>1228</v>
      </c>
      <c r="G164" s="498">
        <v>6</v>
      </c>
      <c r="H164" s="419">
        <v>90</v>
      </c>
      <c r="I164" s="419">
        <v>90</v>
      </c>
    </row>
    <row r="165" spans="1:9" ht="70.5" customHeight="1" x14ac:dyDescent="0.2">
      <c r="A165" s="509">
        <v>157</v>
      </c>
      <c r="B165" s="494" t="s">
        <v>676</v>
      </c>
      <c r="C165" s="494" t="s">
        <v>677</v>
      </c>
      <c r="D165" s="398" t="s">
        <v>572</v>
      </c>
      <c r="E165" s="510" t="s">
        <v>1218</v>
      </c>
      <c r="F165" s="515" t="s">
        <v>1228</v>
      </c>
      <c r="G165" s="498">
        <v>6</v>
      </c>
      <c r="H165" s="419">
        <v>90</v>
      </c>
      <c r="I165" s="419">
        <v>90</v>
      </c>
    </row>
    <row r="166" spans="1:9" ht="70.5" customHeight="1" x14ac:dyDescent="0.2">
      <c r="A166" s="509">
        <v>158</v>
      </c>
      <c r="B166" s="494" t="s">
        <v>892</v>
      </c>
      <c r="C166" s="494" t="s">
        <v>1159</v>
      </c>
      <c r="D166" s="398" t="s">
        <v>570</v>
      </c>
      <c r="E166" s="510" t="s">
        <v>1218</v>
      </c>
      <c r="F166" s="515" t="s">
        <v>1228</v>
      </c>
      <c r="G166" s="498">
        <v>6</v>
      </c>
      <c r="H166" s="419">
        <v>90</v>
      </c>
      <c r="I166" s="419">
        <v>90</v>
      </c>
    </row>
    <row r="167" spans="1:9" ht="70.5" customHeight="1" x14ac:dyDescent="0.2">
      <c r="A167" s="509">
        <v>159</v>
      </c>
      <c r="B167" s="514" t="s">
        <v>1203</v>
      </c>
      <c r="C167" s="514" t="s">
        <v>1204</v>
      </c>
      <c r="D167" s="511" t="s">
        <v>1205</v>
      </c>
      <c r="E167" s="510" t="s">
        <v>1218</v>
      </c>
      <c r="F167" s="515" t="s">
        <v>1228</v>
      </c>
      <c r="G167" s="498">
        <v>6</v>
      </c>
      <c r="H167" s="419">
        <f>90+121</f>
        <v>211</v>
      </c>
      <c r="I167" s="419">
        <f>90+121</f>
        <v>211</v>
      </c>
    </row>
    <row r="168" spans="1:9" ht="70.5" customHeight="1" x14ac:dyDescent="0.2">
      <c r="A168" s="509">
        <v>160</v>
      </c>
      <c r="B168" s="514" t="s">
        <v>908</v>
      </c>
      <c r="C168" s="514" t="s">
        <v>1209</v>
      </c>
      <c r="D168" s="517" t="s">
        <v>1210</v>
      </c>
      <c r="E168" s="510" t="s">
        <v>1218</v>
      </c>
      <c r="F168" s="515" t="s">
        <v>1228</v>
      </c>
      <c r="G168" s="498">
        <v>6</v>
      </c>
      <c r="H168" s="419">
        <v>90</v>
      </c>
      <c r="I168" s="419">
        <v>90</v>
      </c>
    </row>
    <row r="169" spans="1:9" ht="70.5" customHeight="1" x14ac:dyDescent="0.2">
      <c r="A169" s="509">
        <v>161</v>
      </c>
      <c r="B169" s="514" t="s">
        <v>1206</v>
      </c>
      <c r="C169" s="514" t="s">
        <v>1207</v>
      </c>
      <c r="D169" s="511" t="s">
        <v>1208</v>
      </c>
      <c r="E169" s="510" t="s">
        <v>1218</v>
      </c>
      <c r="F169" s="515" t="s">
        <v>1228</v>
      </c>
      <c r="G169" s="498">
        <v>6</v>
      </c>
      <c r="H169" s="419">
        <v>90</v>
      </c>
      <c r="I169" s="419">
        <v>90</v>
      </c>
    </row>
    <row r="170" spans="1:9" ht="70.5" customHeight="1" x14ac:dyDescent="0.2">
      <c r="A170" s="509">
        <v>162</v>
      </c>
      <c r="B170" s="494" t="s">
        <v>892</v>
      </c>
      <c r="C170" s="494" t="s">
        <v>1162</v>
      </c>
      <c r="D170" s="398">
        <v>65002007395</v>
      </c>
      <c r="E170" s="510" t="s">
        <v>1218</v>
      </c>
      <c r="F170" s="515" t="s">
        <v>1228</v>
      </c>
      <c r="G170" s="498">
        <v>6</v>
      </c>
      <c r="H170" s="419">
        <v>90</v>
      </c>
      <c r="I170" s="419">
        <v>90</v>
      </c>
    </row>
    <row r="171" spans="1:9" ht="70.5" customHeight="1" x14ac:dyDescent="0.2">
      <c r="A171" s="509">
        <v>163</v>
      </c>
      <c r="B171" s="494" t="s">
        <v>1163</v>
      </c>
      <c r="C171" s="494" t="s">
        <v>1164</v>
      </c>
      <c r="D171" s="398" t="s">
        <v>1165</v>
      </c>
      <c r="E171" s="510" t="s">
        <v>1218</v>
      </c>
      <c r="F171" s="515" t="s">
        <v>1228</v>
      </c>
      <c r="G171" s="498">
        <v>6</v>
      </c>
      <c r="H171" s="419">
        <v>90</v>
      </c>
      <c r="I171" s="419">
        <v>90</v>
      </c>
    </row>
    <row r="172" spans="1:9" ht="47.25" customHeight="1" x14ac:dyDescent="0.2">
      <c r="A172" s="509">
        <v>164</v>
      </c>
      <c r="B172" s="494" t="s">
        <v>936</v>
      </c>
      <c r="C172" s="494" t="s">
        <v>1220</v>
      </c>
      <c r="D172" s="398" t="s">
        <v>1191</v>
      </c>
      <c r="E172" s="510" t="s">
        <v>1218</v>
      </c>
      <c r="F172" s="572" t="s">
        <v>1231</v>
      </c>
      <c r="G172" s="498">
        <v>2</v>
      </c>
      <c r="H172" s="419">
        <f t="shared" ref="H172:I175" si="4">30+130</f>
        <v>160</v>
      </c>
      <c r="I172" s="419">
        <f t="shared" si="4"/>
        <v>160</v>
      </c>
    </row>
    <row r="173" spans="1:9" ht="47.25" customHeight="1" x14ac:dyDescent="0.2">
      <c r="A173" s="509">
        <v>165</v>
      </c>
      <c r="B173" s="494" t="s">
        <v>1224</v>
      </c>
      <c r="C173" s="494" t="s">
        <v>1225</v>
      </c>
      <c r="D173" s="398" t="s">
        <v>1226</v>
      </c>
      <c r="E173" s="510" t="s">
        <v>1218</v>
      </c>
      <c r="F173" s="572" t="s">
        <v>1231</v>
      </c>
      <c r="G173" s="498">
        <v>2</v>
      </c>
      <c r="H173" s="419">
        <f t="shared" si="4"/>
        <v>160</v>
      </c>
      <c r="I173" s="419">
        <f t="shared" si="4"/>
        <v>160</v>
      </c>
    </row>
    <row r="174" spans="1:9" ht="47.25" customHeight="1" x14ac:dyDescent="0.2">
      <c r="A174" s="509">
        <v>166</v>
      </c>
      <c r="B174" s="494" t="s">
        <v>1158</v>
      </c>
      <c r="C174" s="494" t="s">
        <v>668</v>
      </c>
      <c r="D174" s="398" t="s">
        <v>560</v>
      </c>
      <c r="E174" s="510" t="s">
        <v>1218</v>
      </c>
      <c r="F174" s="572" t="s">
        <v>1231</v>
      </c>
      <c r="G174" s="498">
        <v>2</v>
      </c>
      <c r="H174" s="419">
        <f t="shared" si="4"/>
        <v>160</v>
      </c>
      <c r="I174" s="419">
        <f t="shared" si="4"/>
        <v>160</v>
      </c>
    </row>
    <row r="175" spans="1:9" ht="47.25" customHeight="1" x14ac:dyDescent="0.2">
      <c r="A175" s="509">
        <v>167</v>
      </c>
      <c r="B175" s="514" t="s">
        <v>1203</v>
      </c>
      <c r="C175" s="514" t="s">
        <v>1204</v>
      </c>
      <c r="D175" s="511" t="s">
        <v>1205</v>
      </c>
      <c r="E175" s="510" t="s">
        <v>1218</v>
      </c>
      <c r="F175" s="572" t="s">
        <v>1231</v>
      </c>
      <c r="G175" s="498">
        <v>2</v>
      </c>
      <c r="H175" s="419">
        <f t="shared" si="4"/>
        <v>160</v>
      </c>
      <c r="I175" s="419">
        <f t="shared" si="4"/>
        <v>160</v>
      </c>
    </row>
    <row r="176" spans="1:9" ht="47.25" customHeight="1" x14ac:dyDescent="0.2">
      <c r="A176" s="509">
        <v>168</v>
      </c>
      <c r="B176" s="494" t="s">
        <v>672</v>
      </c>
      <c r="C176" s="494" t="s">
        <v>673</v>
      </c>
      <c r="D176" s="398" t="s">
        <v>1160</v>
      </c>
      <c r="E176" s="510" t="s">
        <v>1218</v>
      </c>
      <c r="F176" s="572" t="s">
        <v>1231</v>
      </c>
      <c r="G176" s="498">
        <v>2</v>
      </c>
      <c r="H176" s="419">
        <v>30</v>
      </c>
      <c r="I176" s="419">
        <v>30</v>
      </c>
    </row>
    <row r="177" spans="1:9" ht="47.25" customHeight="1" x14ac:dyDescent="0.2">
      <c r="A177" s="509">
        <v>169</v>
      </c>
      <c r="B177" s="494" t="s">
        <v>892</v>
      </c>
      <c r="C177" s="494" t="s">
        <v>1159</v>
      </c>
      <c r="D177" s="398" t="s">
        <v>570</v>
      </c>
      <c r="E177" s="510" t="s">
        <v>1218</v>
      </c>
      <c r="F177" s="572" t="s">
        <v>1231</v>
      </c>
      <c r="G177" s="498">
        <v>2</v>
      </c>
      <c r="H177" s="419">
        <v>30</v>
      </c>
      <c r="I177" s="419">
        <v>30</v>
      </c>
    </row>
    <row r="178" spans="1:9" ht="47.25" customHeight="1" x14ac:dyDescent="0.2">
      <c r="A178" s="509">
        <v>170</v>
      </c>
      <c r="B178" s="514" t="s">
        <v>908</v>
      </c>
      <c r="C178" s="514" t="s">
        <v>1209</v>
      </c>
      <c r="D178" s="517" t="s">
        <v>1210</v>
      </c>
      <c r="E178" s="510" t="s">
        <v>1218</v>
      </c>
      <c r="F178" s="572" t="s">
        <v>1231</v>
      </c>
      <c r="G178" s="498">
        <v>2</v>
      </c>
      <c r="H178" s="419">
        <v>30</v>
      </c>
      <c r="I178" s="419">
        <v>30</v>
      </c>
    </row>
    <row r="179" spans="1:9" ht="47.25" customHeight="1" x14ac:dyDescent="0.2">
      <c r="A179" s="509">
        <v>171</v>
      </c>
      <c r="B179" s="514" t="s">
        <v>1206</v>
      </c>
      <c r="C179" s="514" t="s">
        <v>1207</v>
      </c>
      <c r="D179" s="511" t="s">
        <v>1208</v>
      </c>
      <c r="E179" s="510" t="s">
        <v>1218</v>
      </c>
      <c r="F179" s="572" t="s">
        <v>1231</v>
      </c>
      <c r="G179" s="498">
        <v>2</v>
      </c>
      <c r="H179" s="419">
        <v>30</v>
      </c>
      <c r="I179" s="419">
        <v>30</v>
      </c>
    </row>
    <row r="180" spans="1:9" ht="47.25" customHeight="1" x14ac:dyDescent="0.2">
      <c r="A180" s="509">
        <v>172</v>
      </c>
      <c r="B180" s="494" t="s">
        <v>1129</v>
      </c>
      <c r="C180" s="494" t="s">
        <v>681</v>
      </c>
      <c r="D180" s="398" t="s">
        <v>679</v>
      </c>
      <c r="E180" s="510" t="s">
        <v>1218</v>
      </c>
      <c r="F180" s="572" t="s">
        <v>1231</v>
      </c>
      <c r="G180" s="498">
        <v>2</v>
      </c>
      <c r="H180" s="419">
        <v>30</v>
      </c>
      <c r="I180" s="419">
        <v>30</v>
      </c>
    </row>
    <row r="181" spans="1:9" ht="47.25" customHeight="1" x14ac:dyDescent="0.2">
      <c r="A181" s="509">
        <v>173</v>
      </c>
      <c r="B181" s="494" t="s">
        <v>676</v>
      </c>
      <c r="C181" s="494" t="s">
        <v>677</v>
      </c>
      <c r="D181" s="398" t="s">
        <v>572</v>
      </c>
      <c r="E181" s="510" t="s">
        <v>1218</v>
      </c>
      <c r="F181" s="572" t="s">
        <v>1231</v>
      </c>
      <c r="G181" s="498">
        <v>2</v>
      </c>
      <c r="H181" s="419">
        <v>30</v>
      </c>
      <c r="I181" s="419">
        <v>30</v>
      </c>
    </row>
    <row r="182" spans="1:9" ht="47.25" customHeight="1" x14ac:dyDescent="0.2">
      <c r="A182" s="509">
        <v>174</v>
      </c>
      <c r="B182" s="494" t="s">
        <v>892</v>
      </c>
      <c r="C182" s="494" t="s">
        <v>1162</v>
      </c>
      <c r="D182" s="398">
        <v>65002007395</v>
      </c>
      <c r="E182" s="510" t="s">
        <v>1218</v>
      </c>
      <c r="F182" s="572" t="s">
        <v>1231</v>
      </c>
      <c r="G182" s="498">
        <v>2</v>
      </c>
      <c r="H182" s="419">
        <v>30</v>
      </c>
      <c r="I182" s="419">
        <v>30</v>
      </c>
    </row>
    <row r="183" spans="1:9" ht="47.25" customHeight="1" x14ac:dyDescent="0.2">
      <c r="A183" s="509">
        <v>175</v>
      </c>
      <c r="B183" s="494" t="s">
        <v>1163</v>
      </c>
      <c r="C183" s="494" t="s">
        <v>1164</v>
      </c>
      <c r="D183" s="398" t="s">
        <v>1165</v>
      </c>
      <c r="E183" s="510" t="s">
        <v>1218</v>
      </c>
      <c r="F183" s="572" t="s">
        <v>1231</v>
      </c>
      <c r="G183" s="498">
        <v>2</v>
      </c>
      <c r="H183" s="419">
        <v>30</v>
      </c>
      <c r="I183" s="419">
        <v>30</v>
      </c>
    </row>
    <row r="184" spans="1:9" ht="51" customHeight="1" x14ac:dyDescent="0.2">
      <c r="A184" s="509">
        <v>176</v>
      </c>
      <c r="B184" s="494" t="s">
        <v>936</v>
      </c>
      <c r="C184" s="494" t="s">
        <v>1220</v>
      </c>
      <c r="D184" s="398" t="s">
        <v>1191</v>
      </c>
      <c r="E184" s="510" t="s">
        <v>1218</v>
      </c>
      <c r="F184" s="571" t="s">
        <v>1232</v>
      </c>
      <c r="G184" s="498">
        <v>2</v>
      </c>
      <c r="H184" s="419">
        <f>30+100</f>
        <v>130</v>
      </c>
      <c r="I184" s="419">
        <v>130</v>
      </c>
    </row>
    <row r="185" spans="1:9" ht="51" customHeight="1" x14ac:dyDescent="0.2">
      <c r="A185" s="509">
        <v>177</v>
      </c>
      <c r="B185" s="494" t="s">
        <v>1224</v>
      </c>
      <c r="C185" s="494" t="s">
        <v>1225</v>
      </c>
      <c r="D185" s="398" t="s">
        <v>1226</v>
      </c>
      <c r="E185" s="510" t="s">
        <v>1218</v>
      </c>
      <c r="F185" s="571" t="s">
        <v>1232</v>
      </c>
      <c r="G185" s="498">
        <v>2</v>
      </c>
      <c r="H185" s="419">
        <v>30</v>
      </c>
      <c r="I185" s="419">
        <v>30</v>
      </c>
    </row>
    <row r="186" spans="1:9" ht="51" customHeight="1" x14ac:dyDescent="0.2">
      <c r="A186" s="509">
        <v>178</v>
      </c>
      <c r="B186" s="494" t="s">
        <v>1158</v>
      </c>
      <c r="C186" s="494" t="s">
        <v>668</v>
      </c>
      <c r="D186" s="398" t="s">
        <v>560</v>
      </c>
      <c r="E186" s="510" t="s">
        <v>1218</v>
      </c>
      <c r="F186" s="571" t="s">
        <v>1232</v>
      </c>
      <c r="G186" s="498">
        <v>2</v>
      </c>
      <c r="H186" s="419">
        <f>30+100</f>
        <v>130</v>
      </c>
      <c r="I186" s="419">
        <v>130</v>
      </c>
    </row>
    <row r="187" spans="1:9" ht="51" customHeight="1" x14ac:dyDescent="0.2">
      <c r="A187" s="509">
        <v>179</v>
      </c>
      <c r="B187" s="514" t="s">
        <v>1203</v>
      </c>
      <c r="C187" s="514" t="s">
        <v>1204</v>
      </c>
      <c r="D187" s="511" t="s">
        <v>1205</v>
      </c>
      <c r="E187" s="510" t="s">
        <v>1218</v>
      </c>
      <c r="F187" s="571" t="s">
        <v>1232</v>
      </c>
      <c r="G187" s="498">
        <v>2</v>
      </c>
      <c r="H187" s="419">
        <v>30</v>
      </c>
      <c r="I187" s="419">
        <v>30</v>
      </c>
    </row>
    <row r="188" spans="1:9" ht="51" customHeight="1" x14ac:dyDescent="0.2">
      <c r="A188" s="509">
        <v>180</v>
      </c>
      <c r="B188" s="494" t="s">
        <v>672</v>
      </c>
      <c r="C188" s="494" t="s">
        <v>673</v>
      </c>
      <c r="D188" s="398" t="s">
        <v>1160</v>
      </c>
      <c r="E188" s="510" t="s">
        <v>1218</v>
      </c>
      <c r="F188" s="571" t="s">
        <v>1232</v>
      </c>
      <c r="G188" s="498">
        <v>2</v>
      </c>
      <c r="H188" s="419">
        <f>30+100</f>
        <v>130</v>
      </c>
      <c r="I188" s="419">
        <v>130</v>
      </c>
    </row>
    <row r="189" spans="1:9" ht="51" customHeight="1" x14ac:dyDescent="0.2">
      <c r="A189" s="509">
        <v>181</v>
      </c>
      <c r="B189" s="494" t="s">
        <v>892</v>
      </c>
      <c r="C189" s="494" t="s">
        <v>1159</v>
      </c>
      <c r="D189" s="398" t="s">
        <v>570</v>
      </c>
      <c r="E189" s="510" t="s">
        <v>1218</v>
      </c>
      <c r="F189" s="571" t="s">
        <v>1232</v>
      </c>
      <c r="G189" s="498">
        <v>2</v>
      </c>
      <c r="H189" s="419">
        <v>30</v>
      </c>
      <c r="I189" s="419">
        <v>30</v>
      </c>
    </row>
    <row r="190" spans="1:9" ht="51" customHeight="1" x14ac:dyDescent="0.2">
      <c r="A190" s="509">
        <v>182</v>
      </c>
      <c r="B190" s="514" t="s">
        <v>908</v>
      </c>
      <c r="C190" s="514" t="s">
        <v>1209</v>
      </c>
      <c r="D190" s="517" t="s">
        <v>1210</v>
      </c>
      <c r="E190" s="510" t="s">
        <v>1218</v>
      </c>
      <c r="F190" s="571" t="s">
        <v>1232</v>
      </c>
      <c r="G190" s="498">
        <v>2</v>
      </c>
      <c r="H190" s="419">
        <v>30</v>
      </c>
      <c r="I190" s="419">
        <v>30</v>
      </c>
    </row>
    <row r="191" spans="1:9" ht="51" customHeight="1" x14ac:dyDescent="0.2">
      <c r="A191" s="509">
        <v>183</v>
      </c>
      <c r="B191" s="514" t="s">
        <v>1206</v>
      </c>
      <c r="C191" s="514" t="s">
        <v>1207</v>
      </c>
      <c r="D191" s="511" t="s">
        <v>1208</v>
      </c>
      <c r="E191" s="510" t="s">
        <v>1218</v>
      </c>
      <c r="F191" s="571" t="s">
        <v>1232</v>
      </c>
      <c r="G191" s="498">
        <v>2</v>
      </c>
      <c r="H191" s="419">
        <v>30</v>
      </c>
      <c r="I191" s="419">
        <v>30</v>
      </c>
    </row>
    <row r="192" spans="1:9" ht="51" customHeight="1" x14ac:dyDescent="0.2">
      <c r="A192" s="509">
        <v>184</v>
      </c>
      <c r="B192" s="494" t="s">
        <v>1129</v>
      </c>
      <c r="C192" s="494" t="s">
        <v>681</v>
      </c>
      <c r="D192" s="398" t="s">
        <v>679</v>
      </c>
      <c r="E192" s="510" t="s">
        <v>1218</v>
      </c>
      <c r="F192" s="571" t="s">
        <v>1232</v>
      </c>
      <c r="G192" s="498">
        <v>2</v>
      </c>
      <c r="H192" s="419">
        <v>30</v>
      </c>
      <c r="I192" s="419">
        <v>30</v>
      </c>
    </row>
    <row r="193" spans="1:9" ht="51" customHeight="1" x14ac:dyDescent="0.2">
      <c r="A193" s="509">
        <v>185</v>
      </c>
      <c r="B193" s="494" t="s">
        <v>676</v>
      </c>
      <c r="C193" s="494" t="s">
        <v>677</v>
      </c>
      <c r="D193" s="398" t="s">
        <v>572</v>
      </c>
      <c r="E193" s="510" t="s">
        <v>1218</v>
      </c>
      <c r="F193" s="571" t="s">
        <v>1232</v>
      </c>
      <c r="G193" s="498">
        <v>2</v>
      </c>
      <c r="H193" s="419">
        <v>30</v>
      </c>
      <c r="I193" s="419">
        <v>30</v>
      </c>
    </row>
    <row r="194" spans="1:9" ht="51" customHeight="1" x14ac:dyDescent="0.2">
      <c r="A194" s="509">
        <v>186</v>
      </c>
      <c r="B194" s="494" t="s">
        <v>892</v>
      </c>
      <c r="C194" s="494" t="s">
        <v>1162</v>
      </c>
      <c r="D194" s="398">
        <v>65002007395</v>
      </c>
      <c r="E194" s="510" t="s">
        <v>1218</v>
      </c>
      <c r="F194" s="571" t="s">
        <v>1232</v>
      </c>
      <c r="G194" s="498">
        <v>2</v>
      </c>
      <c r="H194" s="419">
        <v>30</v>
      </c>
      <c r="I194" s="419">
        <v>30</v>
      </c>
    </row>
    <row r="195" spans="1:9" ht="51" customHeight="1" x14ac:dyDescent="0.2">
      <c r="A195" s="509">
        <v>187</v>
      </c>
      <c r="B195" s="494" t="s">
        <v>1163</v>
      </c>
      <c r="C195" s="494" t="s">
        <v>1164</v>
      </c>
      <c r="D195" s="398" t="s">
        <v>1165</v>
      </c>
      <c r="E195" s="510" t="s">
        <v>1218</v>
      </c>
      <c r="F195" s="571" t="s">
        <v>1232</v>
      </c>
      <c r="G195" s="498">
        <v>2</v>
      </c>
      <c r="H195" s="419">
        <v>30</v>
      </c>
      <c r="I195" s="419">
        <v>30</v>
      </c>
    </row>
    <row r="196" spans="1:9" ht="52.5" customHeight="1" x14ac:dyDescent="0.2">
      <c r="A196" s="509">
        <v>188</v>
      </c>
      <c r="B196" s="494" t="s">
        <v>1187</v>
      </c>
      <c r="C196" s="494" t="s">
        <v>663</v>
      </c>
      <c r="D196" s="398" t="s">
        <v>564</v>
      </c>
      <c r="E196" s="510" t="s">
        <v>1218</v>
      </c>
      <c r="F196" s="513" t="s">
        <v>1233</v>
      </c>
      <c r="G196" s="498">
        <v>2</v>
      </c>
      <c r="H196" s="419">
        <v>30</v>
      </c>
      <c r="I196" s="419">
        <v>30</v>
      </c>
    </row>
    <row r="197" spans="1:9" ht="52.5" customHeight="1" x14ac:dyDescent="0.2">
      <c r="A197" s="509">
        <v>189</v>
      </c>
      <c r="B197" s="494" t="s">
        <v>676</v>
      </c>
      <c r="C197" s="494" t="s">
        <v>677</v>
      </c>
      <c r="D197" s="398" t="s">
        <v>572</v>
      </c>
      <c r="E197" s="510" t="s">
        <v>1218</v>
      </c>
      <c r="F197" s="513" t="s">
        <v>1233</v>
      </c>
      <c r="G197" s="498">
        <v>2</v>
      </c>
      <c r="H197" s="419">
        <v>30</v>
      </c>
      <c r="I197" s="419">
        <v>30</v>
      </c>
    </row>
    <row r="198" spans="1:9" ht="52.5" customHeight="1" x14ac:dyDescent="0.2">
      <c r="A198" s="509">
        <v>190</v>
      </c>
      <c r="B198" s="494" t="s">
        <v>892</v>
      </c>
      <c r="C198" s="494" t="s">
        <v>1159</v>
      </c>
      <c r="D198" s="398" t="s">
        <v>570</v>
      </c>
      <c r="E198" s="510" t="s">
        <v>1218</v>
      </c>
      <c r="F198" s="513" t="s">
        <v>1233</v>
      </c>
      <c r="G198" s="498">
        <v>2</v>
      </c>
      <c r="H198" s="419">
        <v>30</v>
      </c>
      <c r="I198" s="419">
        <v>30</v>
      </c>
    </row>
    <row r="199" spans="1:9" ht="52.5" customHeight="1" x14ac:dyDescent="0.2">
      <c r="A199" s="509">
        <v>191</v>
      </c>
      <c r="B199" s="494" t="s">
        <v>1129</v>
      </c>
      <c r="C199" s="494" t="s">
        <v>681</v>
      </c>
      <c r="D199" s="398" t="s">
        <v>679</v>
      </c>
      <c r="E199" s="510" t="s">
        <v>1218</v>
      </c>
      <c r="F199" s="571" t="s">
        <v>1192</v>
      </c>
      <c r="G199" s="498">
        <v>2</v>
      </c>
      <c r="H199" s="419">
        <v>30</v>
      </c>
      <c r="I199" s="419">
        <v>30</v>
      </c>
    </row>
    <row r="200" spans="1:9" ht="52.5" customHeight="1" x14ac:dyDescent="0.2">
      <c r="A200" s="509">
        <v>192</v>
      </c>
      <c r="B200" s="494" t="s">
        <v>676</v>
      </c>
      <c r="C200" s="494" t="s">
        <v>677</v>
      </c>
      <c r="D200" s="398" t="s">
        <v>572</v>
      </c>
      <c r="E200" s="510" t="s">
        <v>1218</v>
      </c>
      <c r="F200" s="571" t="s">
        <v>1192</v>
      </c>
      <c r="G200" s="498">
        <v>2</v>
      </c>
      <c r="H200" s="419">
        <v>30</v>
      </c>
      <c r="I200" s="419">
        <v>30</v>
      </c>
    </row>
    <row r="201" spans="1:9" ht="52.5" customHeight="1" x14ac:dyDescent="0.2">
      <c r="A201" s="509">
        <v>193</v>
      </c>
      <c r="B201" s="494" t="s">
        <v>672</v>
      </c>
      <c r="C201" s="494" t="s">
        <v>673</v>
      </c>
      <c r="D201" s="398" t="s">
        <v>1160</v>
      </c>
      <c r="E201" s="510" t="s">
        <v>1218</v>
      </c>
      <c r="F201" s="571" t="s">
        <v>1192</v>
      </c>
      <c r="G201" s="498">
        <v>2</v>
      </c>
      <c r="H201" s="419">
        <v>30</v>
      </c>
      <c r="I201" s="419">
        <v>30</v>
      </c>
    </row>
    <row r="202" spans="1:9" ht="49.5" customHeight="1" x14ac:dyDescent="0.2">
      <c r="A202" s="509">
        <v>194</v>
      </c>
      <c r="B202" s="494" t="s">
        <v>1129</v>
      </c>
      <c r="C202" s="494" t="s">
        <v>681</v>
      </c>
      <c r="D202" s="398" t="s">
        <v>679</v>
      </c>
      <c r="E202" s="510" t="s">
        <v>1218</v>
      </c>
      <c r="F202" s="571" t="s">
        <v>1234</v>
      </c>
      <c r="G202" s="498">
        <v>4</v>
      </c>
      <c r="H202" s="419">
        <v>60</v>
      </c>
      <c r="I202" s="419">
        <v>60</v>
      </c>
    </row>
    <row r="203" spans="1:9" ht="49.5" customHeight="1" x14ac:dyDescent="0.2">
      <c r="A203" s="509">
        <v>195</v>
      </c>
      <c r="B203" s="494" t="s">
        <v>747</v>
      </c>
      <c r="C203" s="494" t="s">
        <v>1176</v>
      </c>
      <c r="D203" s="518" t="s">
        <v>1195</v>
      </c>
      <c r="E203" s="510" t="s">
        <v>1218</v>
      </c>
      <c r="F203" s="571" t="s">
        <v>1234</v>
      </c>
      <c r="G203" s="498">
        <v>4</v>
      </c>
      <c r="H203" s="419">
        <v>60</v>
      </c>
      <c r="I203" s="419">
        <v>60</v>
      </c>
    </row>
    <row r="204" spans="1:9" ht="49.5" customHeight="1" x14ac:dyDescent="0.2">
      <c r="A204" s="509">
        <v>196</v>
      </c>
      <c r="B204" s="494" t="s">
        <v>676</v>
      </c>
      <c r="C204" s="494" t="s">
        <v>677</v>
      </c>
      <c r="D204" s="398" t="s">
        <v>572</v>
      </c>
      <c r="E204" s="510" t="s">
        <v>1218</v>
      </c>
      <c r="F204" s="571" t="s">
        <v>1234</v>
      </c>
      <c r="G204" s="498">
        <v>4</v>
      </c>
      <c r="H204" s="419">
        <v>60</v>
      </c>
      <c r="I204" s="419">
        <v>60</v>
      </c>
    </row>
    <row r="205" spans="1:9" ht="49.5" customHeight="1" x14ac:dyDescent="0.2">
      <c r="A205" s="509">
        <v>197</v>
      </c>
      <c r="B205" s="494" t="s">
        <v>1158</v>
      </c>
      <c r="C205" s="494" t="s">
        <v>668</v>
      </c>
      <c r="D205" s="398" t="s">
        <v>560</v>
      </c>
      <c r="E205" s="510" t="s">
        <v>1218</v>
      </c>
      <c r="F205" s="572" t="s">
        <v>1235</v>
      </c>
      <c r="G205" s="498">
        <v>4</v>
      </c>
      <c r="H205" s="419">
        <v>60</v>
      </c>
      <c r="I205" s="419">
        <v>60</v>
      </c>
    </row>
    <row r="206" spans="1:9" ht="49.5" customHeight="1" x14ac:dyDescent="0.2">
      <c r="A206" s="509">
        <v>198</v>
      </c>
      <c r="B206" s="494" t="s">
        <v>892</v>
      </c>
      <c r="C206" s="494" t="s">
        <v>1159</v>
      </c>
      <c r="D206" s="398" t="s">
        <v>570</v>
      </c>
      <c r="E206" s="510" t="s">
        <v>1218</v>
      </c>
      <c r="F206" s="572" t="s">
        <v>1235</v>
      </c>
      <c r="G206" s="498">
        <v>4</v>
      </c>
      <c r="H206" s="419">
        <v>60</v>
      </c>
      <c r="I206" s="419">
        <v>60</v>
      </c>
    </row>
    <row r="207" spans="1:9" ht="49.5" customHeight="1" x14ac:dyDescent="0.2">
      <c r="A207" s="509">
        <v>199</v>
      </c>
      <c r="B207" s="494" t="s">
        <v>672</v>
      </c>
      <c r="C207" s="494" t="s">
        <v>673</v>
      </c>
      <c r="D207" s="398" t="s">
        <v>1160</v>
      </c>
      <c r="E207" s="510" t="s">
        <v>1218</v>
      </c>
      <c r="F207" s="572" t="s">
        <v>1235</v>
      </c>
      <c r="G207" s="498">
        <v>4</v>
      </c>
      <c r="H207" s="419">
        <v>60</v>
      </c>
      <c r="I207" s="419">
        <v>60</v>
      </c>
    </row>
    <row r="208" spans="1:9" ht="45" x14ac:dyDescent="0.2">
      <c r="A208" s="509">
        <v>200</v>
      </c>
      <c r="B208" s="494" t="s">
        <v>1158</v>
      </c>
      <c r="C208" s="494" t="s">
        <v>668</v>
      </c>
      <c r="D208" s="398" t="s">
        <v>560</v>
      </c>
      <c r="E208" s="510" t="s">
        <v>1236</v>
      </c>
      <c r="F208" s="572" t="s">
        <v>1237</v>
      </c>
      <c r="G208" s="498">
        <v>1</v>
      </c>
      <c r="H208" s="419">
        <v>15</v>
      </c>
      <c r="I208" s="419">
        <v>0</v>
      </c>
    </row>
    <row r="209" spans="1:9" ht="45" x14ac:dyDescent="0.2">
      <c r="A209" s="509">
        <v>201</v>
      </c>
      <c r="B209" s="494" t="s">
        <v>936</v>
      </c>
      <c r="C209" s="494" t="s">
        <v>1220</v>
      </c>
      <c r="D209" s="398" t="s">
        <v>1191</v>
      </c>
      <c r="E209" s="510" t="s">
        <v>1236</v>
      </c>
      <c r="F209" s="572" t="s">
        <v>1237</v>
      </c>
      <c r="G209" s="498">
        <v>1</v>
      </c>
      <c r="H209" s="419">
        <v>15</v>
      </c>
      <c r="I209" s="419">
        <v>0</v>
      </c>
    </row>
    <row r="210" spans="1:9" ht="45" x14ac:dyDescent="0.2">
      <c r="A210" s="509">
        <v>202</v>
      </c>
      <c r="B210" s="494" t="s">
        <v>1185</v>
      </c>
      <c r="C210" s="494" t="s">
        <v>1186</v>
      </c>
      <c r="D210" s="398" t="s">
        <v>548</v>
      </c>
      <c r="E210" s="510" t="s">
        <v>1236</v>
      </c>
      <c r="F210" s="572" t="s">
        <v>1237</v>
      </c>
      <c r="G210" s="498">
        <v>1</v>
      </c>
      <c r="H210" s="419">
        <v>15</v>
      </c>
      <c r="I210" s="419">
        <v>0</v>
      </c>
    </row>
    <row r="211" spans="1:9" ht="15" x14ac:dyDescent="0.3">
      <c r="A211" s="519"/>
      <c r="B211" s="504"/>
      <c r="C211" s="504"/>
      <c r="D211" s="90"/>
      <c r="E211" s="602"/>
      <c r="F211" s="520"/>
      <c r="G211" s="90" t="s">
        <v>339</v>
      </c>
      <c r="H211" s="77">
        <f>SUM(H9:H210)</f>
        <v>20457</v>
      </c>
      <c r="I211" s="77">
        <f>SUM(I9:I210)</f>
        <v>20412</v>
      </c>
    </row>
    <row r="212" spans="1:9" ht="15" x14ac:dyDescent="0.3">
      <c r="A212" s="34"/>
      <c r="B212" s="34"/>
      <c r="C212" s="34"/>
      <c r="D212" s="34"/>
      <c r="E212" s="521"/>
      <c r="F212" s="522"/>
      <c r="G212" s="2"/>
      <c r="H212" s="2"/>
    </row>
    <row r="213" spans="1:9" ht="15" x14ac:dyDescent="0.3">
      <c r="A213" s="201" t="s">
        <v>479</v>
      </c>
      <c r="B213" s="34"/>
      <c r="C213" s="34"/>
      <c r="D213" s="34"/>
      <c r="E213" s="521"/>
      <c r="F213" s="522"/>
      <c r="G213" s="2"/>
      <c r="H213" s="2"/>
    </row>
    <row r="214" spans="1:9" ht="15" x14ac:dyDescent="0.3">
      <c r="A214" s="201"/>
      <c r="B214" s="34"/>
      <c r="C214" s="34"/>
      <c r="D214" s="34"/>
      <c r="E214" s="521"/>
      <c r="F214" s="522"/>
      <c r="G214" s="2"/>
      <c r="H214" s="2"/>
    </row>
    <row r="215" spans="1:9" ht="15" x14ac:dyDescent="0.3">
      <c r="A215" s="201"/>
      <c r="B215" s="2"/>
      <c r="C215" s="2"/>
      <c r="D215" s="2"/>
      <c r="E215" s="603"/>
      <c r="F215" s="523"/>
      <c r="G215" s="2"/>
      <c r="H215" s="2"/>
    </row>
    <row r="216" spans="1:9" ht="15" x14ac:dyDescent="0.3">
      <c r="A216" s="201"/>
      <c r="B216" s="2"/>
      <c r="C216" s="2"/>
      <c r="D216" s="2"/>
      <c r="E216" s="603"/>
      <c r="F216" s="523"/>
      <c r="G216" s="2"/>
      <c r="H216" s="2"/>
    </row>
    <row r="217" spans="1:9" x14ac:dyDescent="0.2">
      <c r="A217" s="22"/>
      <c r="B217" s="22"/>
      <c r="C217" s="22"/>
      <c r="D217" s="22"/>
      <c r="E217" s="604"/>
      <c r="F217" s="524"/>
      <c r="G217" s="22"/>
      <c r="H217" s="22"/>
    </row>
    <row r="218" spans="1:9" ht="15" x14ac:dyDescent="0.3">
      <c r="A218" s="60" t="s">
        <v>107</v>
      </c>
      <c r="B218" s="2"/>
      <c r="C218" s="2"/>
      <c r="D218" s="2"/>
      <c r="E218" s="603"/>
      <c r="F218" s="523"/>
      <c r="G218" s="2"/>
      <c r="H218" s="2"/>
    </row>
    <row r="219" spans="1:9" ht="15" x14ac:dyDescent="0.3">
      <c r="A219" s="2"/>
      <c r="B219" s="2"/>
      <c r="C219" s="2"/>
      <c r="D219" s="2"/>
      <c r="E219" s="603"/>
      <c r="F219" s="523"/>
      <c r="G219" s="2"/>
      <c r="H219" s="2"/>
    </row>
    <row r="220" spans="1:9" ht="15" x14ac:dyDescent="0.3">
      <c r="A220" s="2"/>
      <c r="B220" s="2"/>
      <c r="C220" s="2"/>
      <c r="D220" s="2"/>
      <c r="E220" s="603"/>
      <c r="F220" s="523"/>
      <c r="G220" s="2"/>
      <c r="H220" s="12"/>
    </row>
    <row r="221" spans="1:9" ht="15" x14ac:dyDescent="0.3">
      <c r="A221" s="60"/>
      <c r="B221" s="60" t="s">
        <v>271</v>
      </c>
      <c r="C221" s="60"/>
      <c r="D221" s="60"/>
      <c r="E221" s="521"/>
      <c r="F221" s="522"/>
      <c r="G221" s="2"/>
      <c r="H221" s="12"/>
    </row>
    <row r="222" spans="1:9" ht="15" x14ac:dyDescent="0.3">
      <c r="A222" s="2"/>
      <c r="B222" s="2" t="s">
        <v>270</v>
      </c>
      <c r="C222" s="2"/>
      <c r="D222" s="2"/>
      <c r="E222" s="603"/>
      <c r="F222" s="523"/>
      <c r="G222" s="2"/>
      <c r="H222" s="12"/>
    </row>
    <row r="223" spans="1:9" x14ac:dyDescent="0.2">
      <c r="A223" s="56"/>
      <c r="B223" s="56" t="s">
        <v>139</v>
      </c>
      <c r="C223" s="56"/>
      <c r="D223" s="56"/>
      <c r="E223" s="605"/>
      <c r="F223" s="525"/>
    </row>
  </sheetData>
  <mergeCells count="2">
    <mergeCell ref="G1:H1"/>
    <mergeCell ref="G2:I2"/>
  </mergeCells>
  <printOptions gridLines="1"/>
  <pageMargins left="0.25" right="0.25" top="0.25" bottom="0.25" header="0.3" footer="0.3"/>
  <pageSetup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view="pageBreakPreview" zoomScale="80" zoomScaleSheetLayoutView="80" workbookViewId="0">
      <selection activeCell="H29" sqref="H29"/>
    </sheetView>
  </sheetViews>
  <sheetFormatPr defaultRowHeight="12.75" x14ac:dyDescent="0.2"/>
  <cols>
    <col min="1" max="1" width="5.42578125" style="171" customWidth="1"/>
    <col min="2" max="2" width="13.140625" style="171" customWidth="1"/>
    <col min="3" max="3" width="15.140625" style="171" customWidth="1"/>
    <col min="4" max="4" width="18" style="171" customWidth="1"/>
    <col min="5" max="5" width="20.5703125" style="171" customWidth="1"/>
    <col min="6" max="6" width="21.28515625" style="171" customWidth="1"/>
    <col min="7" max="7" width="15.140625" style="171" customWidth="1"/>
    <col min="8" max="8" width="15.5703125" style="171" customWidth="1"/>
    <col min="9" max="9" width="13.42578125" style="171" customWidth="1"/>
    <col min="10" max="10" width="0" style="171" hidden="1" customWidth="1"/>
    <col min="11" max="16384" width="9.140625" style="171"/>
  </cols>
  <sheetData>
    <row r="1" spans="1:10" ht="15" x14ac:dyDescent="0.3">
      <c r="A1" s="65" t="s">
        <v>480</v>
      </c>
      <c r="B1" s="65"/>
      <c r="C1" s="68"/>
      <c r="D1" s="68"/>
      <c r="E1" s="68"/>
      <c r="F1" s="68"/>
      <c r="G1" s="638" t="s">
        <v>109</v>
      </c>
      <c r="H1" s="638"/>
    </row>
    <row r="2" spans="1:10" ht="15" x14ac:dyDescent="0.3">
      <c r="A2" s="67" t="s">
        <v>140</v>
      </c>
      <c r="B2" s="65"/>
      <c r="C2" s="68"/>
      <c r="D2" s="68"/>
      <c r="E2" s="68"/>
      <c r="F2" s="68"/>
      <c r="G2" s="628" t="s">
        <v>645</v>
      </c>
      <c r="H2" s="639"/>
      <c r="I2" s="639"/>
    </row>
    <row r="3" spans="1:10" ht="15" x14ac:dyDescent="0.3">
      <c r="A3" s="67"/>
      <c r="B3" s="67"/>
      <c r="C3" s="67"/>
      <c r="D3" s="67"/>
      <c r="E3" s="67"/>
      <c r="F3" s="67"/>
      <c r="G3" s="268"/>
      <c r="H3" s="268"/>
    </row>
    <row r="4" spans="1:10" ht="15" x14ac:dyDescent="0.3">
      <c r="A4" s="68" t="s">
        <v>274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71" t="str">
        <f>'ფორმა N1'!D4</f>
        <v>მოქალაქეთა  პოლიტიკური გაერთიანება "ეროვნული ფორუმი"</v>
      </c>
      <c r="B5" s="71"/>
      <c r="C5" s="71"/>
      <c r="D5" s="71"/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67"/>
      <c r="B7" s="267"/>
      <c r="C7" s="267"/>
      <c r="D7" s="267"/>
      <c r="E7" s="267"/>
      <c r="F7" s="267"/>
      <c r="G7" s="69"/>
      <c r="H7" s="69"/>
    </row>
    <row r="8" spans="1:10" ht="30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349</v>
      </c>
      <c r="F8" s="81" t="s">
        <v>342</v>
      </c>
      <c r="G8" s="70" t="s">
        <v>10</v>
      </c>
      <c r="H8" s="70" t="s">
        <v>9</v>
      </c>
      <c r="J8" s="216" t="s">
        <v>348</v>
      </c>
    </row>
    <row r="9" spans="1:10" ht="60" customHeight="1" x14ac:dyDescent="0.2">
      <c r="A9" s="89">
        <v>1</v>
      </c>
      <c r="B9" s="494" t="s">
        <v>1125</v>
      </c>
      <c r="C9" s="494" t="s">
        <v>1126</v>
      </c>
      <c r="D9" s="398">
        <v>54001008183</v>
      </c>
      <c r="E9" s="494" t="s">
        <v>1127</v>
      </c>
      <c r="F9" s="494" t="s">
        <v>1128</v>
      </c>
      <c r="G9" s="503">
        <v>403</v>
      </c>
      <c r="H9" s="503">
        <v>403</v>
      </c>
      <c r="J9" s="216" t="s">
        <v>0</v>
      </c>
    </row>
    <row r="10" spans="1:10" ht="60" customHeight="1" x14ac:dyDescent="0.2">
      <c r="A10" s="89">
        <v>2</v>
      </c>
      <c r="B10" s="494" t="s">
        <v>1129</v>
      </c>
      <c r="C10" s="494" t="s">
        <v>681</v>
      </c>
      <c r="D10" s="412" t="s">
        <v>525</v>
      </c>
      <c r="E10" s="494" t="s">
        <v>1127</v>
      </c>
      <c r="F10" s="494" t="s">
        <v>1128</v>
      </c>
      <c r="G10" s="503">
        <v>806</v>
      </c>
      <c r="H10" s="503">
        <v>806</v>
      </c>
    </row>
    <row r="11" spans="1:10" ht="60" customHeight="1" x14ac:dyDescent="0.2">
      <c r="A11" s="89">
        <v>3</v>
      </c>
      <c r="B11" s="494" t="s">
        <v>957</v>
      </c>
      <c r="C11" s="494" t="s">
        <v>762</v>
      </c>
      <c r="D11" s="398" t="s">
        <v>634</v>
      </c>
      <c r="E11" s="494" t="s">
        <v>1127</v>
      </c>
      <c r="F11" s="494" t="s">
        <v>1128</v>
      </c>
      <c r="G11" s="503">
        <v>709.48</v>
      </c>
      <c r="H11" s="503">
        <v>709.48</v>
      </c>
    </row>
    <row r="12" spans="1:10" ht="60" customHeight="1" x14ac:dyDescent="0.2">
      <c r="A12" s="89">
        <v>4</v>
      </c>
      <c r="B12" s="494" t="s">
        <v>1130</v>
      </c>
      <c r="C12" s="494" t="s">
        <v>1131</v>
      </c>
      <c r="D12" s="398" t="s">
        <v>552</v>
      </c>
      <c r="E12" s="494" t="s">
        <v>1127</v>
      </c>
      <c r="F12" s="494" t="s">
        <v>1132</v>
      </c>
      <c r="G12" s="503">
        <v>211</v>
      </c>
      <c r="H12" s="503">
        <v>211</v>
      </c>
    </row>
    <row r="13" spans="1:10" ht="60" customHeight="1" x14ac:dyDescent="0.2">
      <c r="A13" s="89">
        <v>5</v>
      </c>
      <c r="B13" s="494" t="s">
        <v>672</v>
      </c>
      <c r="C13" s="494" t="s">
        <v>1133</v>
      </c>
      <c r="D13" s="398" t="s">
        <v>1134</v>
      </c>
      <c r="E13" s="494" t="s">
        <v>1127</v>
      </c>
      <c r="F13" s="494" t="s">
        <v>1132</v>
      </c>
      <c r="G13" s="503">
        <v>422</v>
      </c>
      <c r="H13" s="503">
        <v>422</v>
      </c>
    </row>
    <row r="14" spans="1:10" ht="60" customHeight="1" x14ac:dyDescent="0.2">
      <c r="A14" s="89">
        <v>6</v>
      </c>
      <c r="B14" s="494" t="s">
        <v>920</v>
      </c>
      <c r="C14" s="494" t="s">
        <v>1135</v>
      </c>
      <c r="D14" s="398" t="s">
        <v>605</v>
      </c>
      <c r="E14" s="494" t="s">
        <v>1127</v>
      </c>
      <c r="F14" s="494" t="s">
        <v>1132</v>
      </c>
      <c r="G14" s="503">
        <v>211</v>
      </c>
      <c r="H14" s="503">
        <v>211</v>
      </c>
    </row>
    <row r="15" spans="1:10" ht="60" customHeight="1" x14ac:dyDescent="0.2">
      <c r="A15" s="89">
        <v>7</v>
      </c>
      <c r="B15" s="494" t="s">
        <v>1130</v>
      </c>
      <c r="C15" s="494" t="s">
        <v>1136</v>
      </c>
      <c r="D15" s="412">
        <v>1024033864</v>
      </c>
      <c r="E15" s="494" t="s">
        <v>1127</v>
      </c>
      <c r="F15" s="494" t="s">
        <v>1132</v>
      </c>
      <c r="G15" s="503">
        <v>21.1</v>
      </c>
      <c r="H15" s="503">
        <v>21.1</v>
      </c>
    </row>
    <row r="16" spans="1:10" ht="60" customHeight="1" x14ac:dyDescent="0.2">
      <c r="A16" s="89">
        <v>8</v>
      </c>
      <c r="B16" s="494" t="s">
        <v>1137</v>
      </c>
      <c r="C16" s="494" t="s">
        <v>1138</v>
      </c>
      <c r="D16" s="504">
        <v>60001109836</v>
      </c>
      <c r="E16" s="494" t="s">
        <v>1127</v>
      </c>
      <c r="F16" s="494" t="s">
        <v>1132</v>
      </c>
      <c r="G16" s="503">
        <v>21.1</v>
      </c>
      <c r="H16" s="503">
        <v>21.1</v>
      </c>
    </row>
    <row r="17" spans="1:9" ht="60" customHeight="1" x14ac:dyDescent="0.2">
      <c r="A17" s="89">
        <v>9</v>
      </c>
      <c r="B17" s="494" t="s">
        <v>1139</v>
      </c>
      <c r="C17" s="494" t="s">
        <v>1140</v>
      </c>
      <c r="D17" s="398" t="s">
        <v>558</v>
      </c>
      <c r="E17" s="494" t="s">
        <v>1127</v>
      </c>
      <c r="F17" s="494" t="s">
        <v>1132</v>
      </c>
      <c r="G17" s="503">
        <v>21.1</v>
      </c>
      <c r="H17" s="503">
        <v>21.1</v>
      </c>
    </row>
    <row r="18" spans="1:9" ht="60" customHeight="1" x14ac:dyDescent="0.2">
      <c r="A18" s="89">
        <v>10</v>
      </c>
      <c r="B18" s="494" t="s">
        <v>1141</v>
      </c>
      <c r="C18" s="494" t="s">
        <v>1142</v>
      </c>
      <c r="D18" s="504">
        <v>21001007668</v>
      </c>
      <c r="E18" s="494" t="s">
        <v>1127</v>
      </c>
      <c r="F18" s="494" t="s">
        <v>1132</v>
      </c>
      <c r="G18" s="503">
        <v>21.1</v>
      </c>
      <c r="H18" s="503">
        <v>21.1</v>
      </c>
    </row>
    <row r="19" spans="1:9" ht="60" customHeight="1" x14ac:dyDescent="0.2">
      <c r="A19" s="89">
        <v>11</v>
      </c>
      <c r="B19" s="494" t="s">
        <v>823</v>
      </c>
      <c r="C19" s="494" t="s">
        <v>1143</v>
      </c>
      <c r="D19" s="504">
        <v>43001006837</v>
      </c>
      <c r="E19" s="494" t="s">
        <v>1127</v>
      </c>
      <c r="F19" s="494" t="s">
        <v>1132</v>
      </c>
      <c r="G19" s="503">
        <v>21.1</v>
      </c>
      <c r="H19" s="503">
        <v>21.1</v>
      </c>
    </row>
    <row r="20" spans="1:9" ht="60" customHeight="1" x14ac:dyDescent="0.2">
      <c r="A20" s="89">
        <v>12</v>
      </c>
      <c r="B20" s="494" t="s">
        <v>936</v>
      </c>
      <c r="C20" s="494" t="s">
        <v>1144</v>
      </c>
      <c r="D20" s="398" t="s">
        <v>1145</v>
      </c>
      <c r="E20" s="494" t="s">
        <v>1127</v>
      </c>
      <c r="F20" s="494" t="s">
        <v>1132</v>
      </c>
      <c r="G20" s="503">
        <v>21.1</v>
      </c>
      <c r="H20" s="503">
        <v>21.1</v>
      </c>
    </row>
    <row r="21" spans="1:9" ht="60" customHeight="1" x14ac:dyDescent="0.2">
      <c r="A21" s="89">
        <v>13</v>
      </c>
      <c r="B21" s="494" t="s">
        <v>1146</v>
      </c>
      <c r="C21" s="494" t="s">
        <v>1147</v>
      </c>
      <c r="D21" s="504">
        <v>18001010753</v>
      </c>
      <c r="E21" s="494" t="s">
        <v>1127</v>
      </c>
      <c r="F21" s="494" t="s">
        <v>1132</v>
      </c>
      <c r="G21" s="503">
        <v>21.1</v>
      </c>
      <c r="H21" s="503">
        <v>21.1</v>
      </c>
    </row>
    <row r="22" spans="1:9" ht="60" customHeight="1" x14ac:dyDescent="0.2">
      <c r="A22" s="89">
        <v>14</v>
      </c>
      <c r="B22" s="494" t="s">
        <v>1141</v>
      </c>
      <c r="C22" s="494" t="s">
        <v>1142</v>
      </c>
      <c r="D22" s="504">
        <v>21001007668</v>
      </c>
      <c r="E22" s="494" t="s">
        <v>1127</v>
      </c>
      <c r="F22" s="494" t="s">
        <v>1132</v>
      </c>
      <c r="G22" s="503">
        <v>21.1</v>
      </c>
      <c r="H22" s="503">
        <v>21.1</v>
      </c>
    </row>
    <row r="23" spans="1:9" ht="60" customHeight="1" x14ac:dyDescent="0.2">
      <c r="A23" s="89">
        <v>15</v>
      </c>
      <c r="B23" s="494" t="s">
        <v>1148</v>
      </c>
      <c r="C23" s="494" t="s">
        <v>1149</v>
      </c>
      <c r="D23" s="504">
        <v>39601004648</v>
      </c>
      <c r="E23" s="494" t="s">
        <v>1127</v>
      </c>
      <c r="F23" s="494" t="s">
        <v>1132</v>
      </c>
      <c r="G23" s="503">
        <v>735</v>
      </c>
      <c r="H23" s="503">
        <v>735</v>
      </c>
    </row>
    <row r="24" spans="1:9" ht="60" customHeight="1" x14ac:dyDescent="0.2">
      <c r="A24" s="89">
        <v>16</v>
      </c>
      <c r="B24" s="494" t="s">
        <v>886</v>
      </c>
      <c r="C24" s="494" t="s">
        <v>1150</v>
      </c>
      <c r="D24" s="398" t="s">
        <v>1151</v>
      </c>
      <c r="E24" s="494" t="s">
        <v>1127</v>
      </c>
      <c r="F24" s="494" t="s">
        <v>1132</v>
      </c>
      <c r="G24" s="503">
        <v>21.1</v>
      </c>
      <c r="H24" s="503">
        <v>21.1</v>
      </c>
    </row>
    <row r="25" spans="1:9" ht="60" customHeight="1" x14ac:dyDescent="0.2">
      <c r="A25" s="89">
        <v>17</v>
      </c>
      <c r="B25" s="494" t="s">
        <v>1152</v>
      </c>
      <c r="C25" s="494" t="s">
        <v>1153</v>
      </c>
      <c r="D25" s="504">
        <v>15001006390</v>
      </c>
      <c r="E25" s="494" t="s">
        <v>1127</v>
      </c>
      <c r="F25" s="494" t="s">
        <v>1132</v>
      </c>
      <c r="G25" s="503">
        <v>21.1</v>
      </c>
      <c r="H25" s="503">
        <v>21.1</v>
      </c>
    </row>
    <row r="26" spans="1:9" ht="60" customHeight="1" x14ac:dyDescent="0.2">
      <c r="A26" s="89">
        <v>18</v>
      </c>
      <c r="B26" s="494" t="s">
        <v>1154</v>
      </c>
      <c r="C26" s="494" t="s">
        <v>1155</v>
      </c>
      <c r="D26" s="504">
        <v>20001022189</v>
      </c>
      <c r="E26" s="494" t="s">
        <v>1127</v>
      </c>
      <c r="F26" s="494" t="s">
        <v>1132</v>
      </c>
      <c r="G26" s="503">
        <v>211</v>
      </c>
      <c r="H26" s="503">
        <v>211</v>
      </c>
    </row>
    <row r="27" spans="1:9" ht="60" customHeight="1" x14ac:dyDescent="0.2">
      <c r="A27" s="89">
        <v>19</v>
      </c>
      <c r="B27" s="494" t="s">
        <v>1154</v>
      </c>
      <c r="C27" s="494" t="s">
        <v>1155</v>
      </c>
      <c r="D27" s="504">
        <v>20001022189</v>
      </c>
      <c r="E27" s="494" t="s">
        <v>1127</v>
      </c>
      <c r="F27" s="494" t="s">
        <v>1132</v>
      </c>
      <c r="G27" s="503">
        <v>25.32</v>
      </c>
      <c r="H27" s="503">
        <v>25.32</v>
      </c>
    </row>
    <row r="28" spans="1:9" ht="15" x14ac:dyDescent="0.2">
      <c r="A28" s="78"/>
      <c r="B28" s="78"/>
      <c r="C28" s="78"/>
      <c r="D28" s="78"/>
      <c r="E28" s="78"/>
      <c r="F28" s="78"/>
      <c r="G28" s="4"/>
      <c r="H28" s="4"/>
    </row>
    <row r="29" spans="1:9" ht="15" x14ac:dyDescent="0.3">
      <c r="A29" s="78"/>
      <c r="B29" s="90"/>
      <c r="C29" s="90"/>
      <c r="D29" s="90"/>
      <c r="E29" s="90"/>
      <c r="F29" s="90" t="s">
        <v>347</v>
      </c>
      <c r="G29" s="77">
        <f>SUM(G9:G28)</f>
        <v>3944.7999999999993</v>
      </c>
      <c r="H29" s="77">
        <f>SUM(H9:H28)</f>
        <v>3944.7999999999993</v>
      </c>
    </row>
    <row r="30" spans="1:9" ht="15" x14ac:dyDescent="0.3">
      <c r="A30" s="214"/>
      <c r="B30" s="214"/>
      <c r="C30" s="214"/>
      <c r="D30" s="214"/>
      <c r="E30" s="214"/>
      <c r="F30" s="214"/>
      <c r="G30" s="214"/>
      <c r="H30" s="170"/>
      <c r="I30" s="170"/>
    </row>
    <row r="31" spans="1:9" ht="15" x14ac:dyDescent="0.3">
      <c r="A31" s="215" t="s">
        <v>481</v>
      </c>
      <c r="B31" s="215"/>
      <c r="C31" s="214"/>
      <c r="D31" s="214"/>
      <c r="E31" s="214"/>
      <c r="F31" s="214"/>
      <c r="G31" s="214"/>
      <c r="H31" s="170"/>
      <c r="I31" s="170"/>
    </row>
    <row r="32" spans="1:9" ht="15" x14ac:dyDescent="0.3">
      <c r="A32" s="215"/>
      <c r="B32" s="215"/>
      <c r="C32" s="214"/>
      <c r="D32" s="214"/>
      <c r="E32" s="214"/>
      <c r="F32" s="214"/>
      <c r="G32" s="214"/>
      <c r="H32" s="170"/>
      <c r="I32" s="170"/>
    </row>
    <row r="33" spans="1:9" ht="15" x14ac:dyDescent="0.3">
      <c r="A33" s="215"/>
      <c r="B33" s="215"/>
      <c r="C33" s="170"/>
      <c r="D33" s="170"/>
      <c r="E33" s="170"/>
      <c r="F33" s="170"/>
      <c r="G33" s="170"/>
      <c r="H33" s="170"/>
      <c r="I33" s="170"/>
    </row>
    <row r="34" spans="1:9" ht="15" x14ac:dyDescent="0.3">
      <c r="A34" s="215"/>
      <c r="B34" s="215"/>
      <c r="C34" s="170"/>
      <c r="D34" s="170"/>
      <c r="E34" s="170"/>
      <c r="F34" s="170"/>
      <c r="G34" s="170"/>
      <c r="H34" s="170"/>
      <c r="I34" s="170"/>
    </row>
    <row r="35" spans="1:9" x14ac:dyDescent="0.2">
      <c r="A35" s="211"/>
      <c r="B35" s="211"/>
      <c r="C35" s="211"/>
      <c r="D35" s="211"/>
      <c r="E35" s="211"/>
      <c r="F35" s="211"/>
      <c r="G35" s="211"/>
      <c r="H35" s="211"/>
      <c r="I35" s="211"/>
    </row>
    <row r="36" spans="1:9" ht="15" x14ac:dyDescent="0.3">
      <c r="A36" s="176" t="s">
        <v>107</v>
      </c>
      <c r="B36" s="176"/>
      <c r="C36" s="170"/>
      <c r="D36" s="170"/>
      <c r="E36" s="170"/>
      <c r="F36" s="170"/>
      <c r="G36" s="170"/>
      <c r="H36" s="170"/>
      <c r="I36" s="170"/>
    </row>
    <row r="37" spans="1:9" ht="15" x14ac:dyDescent="0.3">
      <c r="A37" s="170"/>
      <c r="B37" s="170"/>
      <c r="C37" s="170"/>
      <c r="D37" s="170"/>
      <c r="E37" s="170"/>
      <c r="F37" s="170"/>
      <c r="G37" s="170"/>
      <c r="H37" s="170"/>
      <c r="I37" s="170"/>
    </row>
    <row r="38" spans="1:9" ht="15" x14ac:dyDescent="0.3">
      <c r="A38" s="170"/>
      <c r="B38" s="170"/>
      <c r="C38" s="170"/>
      <c r="D38" s="170"/>
      <c r="E38" s="170"/>
      <c r="F38" s="170"/>
      <c r="G38" s="170"/>
      <c r="H38" s="170"/>
      <c r="I38" s="177"/>
    </row>
    <row r="39" spans="1:9" ht="15" x14ac:dyDescent="0.3">
      <c r="A39" s="176"/>
      <c r="B39" s="176"/>
      <c r="C39" s="176" t="s">
        <v>434</v>
      </c>
      <c r="D39" s="176"/>
      <c r="E39" s="214"/>
      <c r="F39" s="176"/>
      <c r="G39" s="176"/>
      <c r="H39" s="170"/>
      <c r="I39" s="177"/>
    </row>
    <row r="40" spans="1:9" ht="15" x14ac:dyDescent="0.3">
      <c r="A40" s="170"/>
      <c r="B40" s="170"/>
      <c r="C40" s="170" t="s">
        <v>270</v>
      </c>
      <c r="D40" s="170"/>
      <c r="E40" s="170"/>
      <c r="F40" s="170"/>
      <c r="G40" s="170"/>
      <c r="H40" s="170"/>
      <c r="I40" s="177"/>
    </row>
    <row r="41" spans="1:9" x14ac:dyDescent="0.2">
      <c r="A41" s="178"/>
      <c r="B41" s="178"/>
      <c r="C41" s="178" t="s">
        <v>139</v>
      </c>
      <c r="D41" s="178"/>
      <c r="E41" s="178"/>
      <c r="F41" s="178"/>
      <c r="G41" s="178"/>
    </row>
  </sheetData>
  <mergeCells count="2">
    <mergeCell ref="G1:H1"/>
    <mergeCell ref="G2:I2"/>
  </mergeCells>
  <printOptions gridLines="1"/>
  <pageMargins left="0.25" right="0.25" top="0.5" bottom="0.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90"/>
  <sheetViews>
    <sheetView view="pageBreakPreview" topLeftCell="A181" zoomScale="80" zoomScaleSheetLayoutView="80" workbookViewId="0">
      <selection activeCell="E9" sqref="E9"/>
    </sheetView>
  </sheetViews>
  <sheetFormatPr defaultRowHeight="12.75" x14ac:dyDescent="0.2"/>
  <cols>
    <col min="1" max="1" width="5.42578125" style="171" customWidth="1"/>
    <col min="2" max="2" width="27.5703125" style="171" customWidth="1"/>
    <col min="3" max="3" width="19.28515625" style="171" customWidth="1"/>
    <col min="4" max="4" width="16.42578125" style="171" customWidth="1"/>
    <col min="5" max="5" width="15.7109375" style="171" customWidth="1"/>
    <col min="6" max="6" width="13.28515625" style="171" customWidth="1"/>
    <col min="7" max="7" width="11.7109375" style="171" customWidth="1"/>
    <col min="8" max="8" width="19.42578125" style="171" bestFit="1" customWidth="1"/>
    <col min="9" max="10" width="14.140625" style="171" customWidth="1"/>
    <col min="11" max="11" width="14.85546875" style="171" customWidth="1"/>
    <col min="12" max="12" width="16.42578125" style="171" customWidth="1"/>
    <col min="13" max="16384" width="9.140625" style="171"/>
  </cols>
  <sheetData>
    <row r="2" spans="1:13" ht="15" customHeight="1" x14ac:dyDescent="0.3">
      <c r="A2" s="642" t="s">
        <v>482</v>
      </c>
      <c r="B2" s="642"/>
      <c r="C2" s="642"/>
      <c r="D2" s="642"/>
      <c r="E2" s="489"/>
      <c r="F2" s="68"/>
      <c r="G2" s="68"/>
      <c r="H2" s="68"/>
      <c r="I2" s="68"/>
      <c r="J2" s="490"/>
      <c r="K2" s="491"/>
      <c r="L2" s="491" t="s">
        <v>109</v>
      </c>
    </row>
    <row r="3" spans="1:13" ht="15" x14ac:dyDescent="0.3">
      <c r="A3" s="67" t="s">
        <v>140</v>
      </c>
      <c r="B3" s="65"/>
      <c r="C3" s="68"/>
      <c r="D3" s="68"/>
      <c r="E3" s="68"/>
      <c r="F3" s="68"/>
      <c r="G3" s="68"/>
      <c r="H3" s="68"/>
      <c r="I3" s="68"/>
      <c r="J3" s="490"/>
      <c r="K3" s="649" t="s">
        <v>645</v>
      </c>
      <c r="L3" s="649"/>
      <c r="M3" s="649"/>
    </row>
    <row r="4" spans="1:13" ht="15" x14ac:dyDescent="0.3">
      <c r="A4" s="67"/>
      <c r="B4" s="67"/>
      <c r="C4" s="65"/>
      <c r="D4" s="65"/>
      <c r="E4" s="65"/>
      <c r="F4" s="65"/>
      <c r="G4" s="65"/>
      <c r="H4" s="65"/>
      <c r="I4" s="65"/>
      <c r="J4" s="490"/>
      <c r="K4" s="490"/>
      <c r="L4" s="490"/>
    </row>
    <row r="5" spans="1:13" ht="15" x14ac:dyDescent="0.3">
      <c r="A5" s="68" t="s">
        <v>274</v>
      </c>
      <c r="B5" s="68"/>
      <c r="C5" s="68"/>
      <c r="D5" s="68"/>
      <c r="E5" s="68"/>
      <c r="F5" s="68"/>
      <c r="G5" s="68"/>
      <c r="H5" s="68"/>
      <c r="I5" s="68"/>
      <c r="J5" s="67"/>
      <c r="K5" s="67"/>
      <c r="L5" s="67"/>
    </row>
    <row r="6" spans="1:13" ht="15" x14ac:dyDescent="0.3">
      <c r="A6" s="71" t="str">
        <f>'ფორმა N1'!D4</f>
        <v>მოქალაქეთა  პოლიტიკური გაერთიანება "ეროვნული ფორუმი"</v>
      </c>
      <c r="B6" s="71"/>
      <c r="C6" s="71"/>
      <c r="D6" s="71"/>
      <c r="E6" s="71"/>
      <c r="F6" s="71"/>
      <c r="G6" s="71"/>
      <c r="H6" s="71"/>
      <c r="I6" s="71"/>
      <c r="J6" s="72"/>
      <c r="K6" s="72"/>
    </row>
    <row r="7" spans="1:13" ht="15" x14ac:dyDescent="0.3">
      <c r="A7" s="68"/>
      <c r="B7" s="68"/>
      <c r="C7" s="68"/>
      <c r="D7" s="68"/>
      <c r="E7" s="68"/>
      <c r="F7" s="68"/>
      <c r="G7" s="68"/>
      <c r="H7" s="68"/>
      <c r="I7" s="68"/>
      <c r="J7" s="67"/>
      <c r="K7" s="67"/>
      <c r="L7" s="67"/>
    </row>
    <row r="8" spans="1:13" ht="15" x14ac:dyDescent="0.2">
      <c r="A8" s="487"/>
      <c r="B8" s="487"/>
      <c r="C8" s="487"/>
      <c r="D8" s="487"/>
      <c r="E8" s="487"/>
      <c r="F8" s="487"/>
      <c r="G8" s="487"/>
      <c r="H8" s="487"/>
      <c r="I8" s="487"/>
      <c r="J8" s="69"/>
      <c r="K8" s="69"/>
      <c r="L8" s="69"/>
    </row>
    <row r="9" spans="1:13" ht="45" x14ac:dyDescent="0.2">
      <c r="A9" s="81" t="s">
        <v>64</v>
      </c>
      <c r="B9" s="81" t="s">
        <v>483</v>
      </c>
      <c r="C9" s="81" t="s">
        <v>484</v>
      </c>
      <c r="D9" s="81" t="s">
        <v>485</v>
      </c>
      <c r="E9" s="81" t="s">
        <v>486</v>
      </c>
      <c r="F9" s="81" t="s">
        <v>487</v>
      </c>
      <c r="G9" s="81" t="s">
        <v>488</v>
      </c>
      <c r="H9" s="81" t="s">
        <v>489</v>
      </c>
      <c r="I9" s="81" t="s">
        <v>490</v>
      </c>
      <c r="J9" s="81" t="s">
        <v>491</v>
      </c>
      <c r="K9" s="81" t="s">
        <v>492</v>
      </c>
      <c r="L9" s="81" t="s">
        <v>318</v>
      </c>
    </row>
    <row r="10" spans="1:13" ht="51.75" customHeight="1" x14ac:dyDescent="0.2">
      <c r="A10" s="493">
        <v>1</v>
      </c>
      <c r="B10" s="501" t="s">
        <v>1033</v>
      </c>
      <c r="C10" s="89" t="s">
        <v>1034</v>
      </c>
      <c r="D10" s="89">
        <v>201950594</v>
      </c>
      <c r="E10" s="494" t="s">
        <v>1035</v>
      </c>
      <c r="F10" s="78">
        <v>870</v>
      </c>
      <c r="G10" s="89"/>
      <c r="H10" s="494" t="s">
        <v>1035</v>
      </c>
      <c r="I10" s="89" t="s">
        <v>1036</v>
      </c>
      <c r="J10" s="419"/>
      <c r="K10" s="503">
        <v>5000</v>
      </c>
      <c r="L10" s="495" t="s">
        <v>1037</v>
      </c>
    </row>
    <row r="11" spans="1:13" ht="51.75" customHeight="1" x14ac:dyDescent="0.2">
      <c r="A11" s="493">
        <v>2</v>
      </c>
      <c r="B11" s="501" t="s">
        <v>1033</v>
      </c>
      <c r="C11" s="89" t="s">
        <v>1038</v>
      </c>
      <c r="D11" s="89">
        <v>405034190</v>
      </c>
      <c r="E11" s="494" t="s">
        <v>1035</v>
      </c>
      <c r="F11" s="78">
        <v>620</v>
      </c>
      <c r="G11" s="89"/>
      <c r="H11" s="494" t="s">
        <v>1035</v>
      </c>
      <c r="I11" s="89" t="s">
        <v>1036</v>
      </c>
      <c r="J11" s="496"/>
      <c r="K11" s="503">
        <v>5000</v>
      </c>
      <c r="L11" s="495" t="s">
        <v>1037</v>
      </c>
    </row>
    <row r="12" spans="1:13" ht="51.75" customHeight="1" x14ac:dyDescent="0.2">
      <c r="A12" s="493">
        <v>3</v>
      </c>
      <c r="B12" s="501" t="s">
        <v>1033</v>
      </c>
      <c r="C12" s="89" t="s">
        <v>1039</v>
      </c>
      <c r="D12" s="89">
        <v>240885654</v>
      </c>
      <c r="E12" s="494" t="s">
        <v>1035</v>
      </c>
      <c r="F12" s="78">
        <v>640</v>
      </c>
      <c r="G12" s="89"/>
      <c r="H12" s="494" t="s">
        <v>1035</v>
      </c>
      <c r="I12" s="89" t="s">
        <v>1036</v>
      </c>
      <c r="J12" s="496"/>
      <c r="K12" s="503">
        <v>7360</v>
      </c>
      <c r="L12" s="495" t="s">
        <v>1037</v>
      </c>
    </row>
    <row r="13" spans="1:13" ht="67.5" customHeight="1" x14ac:dyDescent="0.2">
      <c r="A13" s="493">
        <v>4</v>
      </c>
      <c r="B13" s="501" t="s">
        <v>1033</v>
      </c>
      <c r="C13" s="89" t="s">
        <v>1040</v>
      </c>
      <c r="D13" s="89">
        <v>230031195</v>
      </c>
      <c r="E13" s="494" t="s">
        <v>1035</v>
      </c>
      <c r="F13" s="78">
        <v>1210</v>
      </c>
      <c r="G13" s="89"/>
      <c r="H13" s="494" t="s">
        <v>1035</v>
      </c>
      <c r="I13" s="89" t="s">
        <v>1036</v>
      </c>
      <c r="J13" s="496"/>
      <c r="K13" s="503">
        <v>5000</v>
      </c>
      <c r="L13" s="495" t="s">
        <v>1037</v>
      </c>
    </row>
    <row r="14" spans="1:13" ht="51.75" customHeight="1" x14ac:dyDescent="0.2">
      <c r="A14" s="493">
        <v>5</v>
      </c>
      <c r="B14" s="501" t="s">
        <v>1033</v>
      </c>
      <c r="C14" s="89" t="s">
        <v>1041</v>
      </c>
      <c r="D14" s="89">
        <v>226112471</v>
      </c>
      <c r="E14" s="494" t="s">
        <v>1035</v>
      </c>
      <c r="F14" s="78">
        <v>1200</v>
      </c>
      <c r="G14" s="89"/>
      <c r="H14" s="494" t="s">
        <v>1035</v>
      </c>
      <c r="I14" s="89" t="s">
        <v>1036</v>
      </c>
      <c r="J14" s="496"/>
      <c r="K14" s="503">
        <v>5000</v>
      </c>
      <c r="L14" s="495" t="s">
        <v>1037</v>
      </c>
    </row>
    <row r="15" spans="1:13" ht="82.5" customHeight="1" x14ac:dyDescent="0.2">
      <c r="A15" s="493">
        <v>6</v>
      </c>
      <c r="B15" s="501" t="s">
        <v>1033</v>
      </c>
      <c r="C15" s="89" t="s">
        <v>1042</v>
      </c>
      <c r="D15" s="89">
        <v>437065916</v>
      </c>
      <c r="E15" s="494" t="s">
        <v>1035</v>
      </c>
      <c r="F15" s="78">
        <v>1202</v>
      </c>
      <c r="G15" s="89"/>
      <c r="H15" s="494" t="s">
        <v>1035</v>
      </c>
      <c r="I15" s="89" t="s">
        <v>1036</v>
      </c>
      <c r="J15" s="496"/>
      <c r="K15" s="503">
        <v>5000.32</v>
      </c>
      <c r="L15" s="495" t="s">
        <v>1037</v>
      </c>
    </row>
    <row r="16" spans="1:13" ht="51.75" customHeight="1" x14ac:dyDescent="0.2">
      <c r="A16" s="493">
        <v>7</v>
      </c>
      <c r="B16" s="501" t="s">
        <v>1033</v>
      </c>
      <c r="C16" s="89" t="s">
        <v>1043</v>
      </c>
      <c r="D16" s="89">
        <v>243861111</v>
      </c>
      <c r="E16" s="494" t="s">
        <v>1035</v>
      </c>
      <c r="F16" s="78">
        <v>560</v>
      </c>
      <c r="G16" s="89"/>
      <c r="H16" s="494" t="s">
        <v>1035</v>
      </c>
      <c r="I16" s="89" t="s">
        <v>1036</v>
      </c>
      <c r="J16" s="496"/>
      <c r="K16" s="503">
        <v>7600</v>
      </c>
      <c r="L16" s="495" t="s">
        <v>1037</v>
      </c>
    </row>
    <row r="17" spans="1:12" ht="51" x14ac:dyDescent="0.2">
      <c r="A17" s="493">
        <v>8</v>
      </c>
      <c r="B17" s="501" t="s">
        <v>1033</v>
      </c>
      <c r="C17" s="89" t="s">
        <v>1044</v>
      </c>
      <c r="D17" s="89">
        <v>215599323</v>
      </c>
      <c r="E17" s="494" t="s">
        <v>1035</v>
      </c>
      <c r="F17" s="78">
        <v>2400</v>
      </c>
      <c r="G17" s="89"/>
      <c r="H17" s="494" t="s">
        <v>1035</v>
      </c>
      <c r="I17" s="89" t="s">
        <v>1036</v>
      </c>
      <c r="J17" s="496"/>
      <c r="K17" s="503">
        <v>10000</v>
      </c>
      <c r="L17" s="495" t="s">
        <v>1037</v>
      </c>
    </row>
    <row r="18" spans="1:12" ht="60" x14ac:dyDescent="0.2">
      <c r="A18" s="493">
        <v>9</v>
      </c>
      <c r="B18" s="501" t="s">
        <v>1033</v>
      </c>
      <c r="C18" s="89" t="s">
        <v>1045</v>
      </c>
      <c r="D18" s="89">
        <v>219995600</v>
      </c>
      <c r="E18" s="494" t="s">
        <v>1035</v>
      </c>
      <c r="F18" s="78">
        <v>780</v>
      </c>
      <c r="G18" s="89"/>
      <c r="H18" s="494" t="s">
        <v>1035</v>
      </c>
      <c r="I18" s="89" t="s">
        <v>1036</v>
      </c>
      <c r="J18" s="496"/>
      <c r="K18" s="503">
        <v>10020</v>
      </c>
      <c r="L18" s="495" t="s">
        <v>1037</v>
      </c>
    </row>
    <row r="19" spans="1:12" ht="51" x14ac:dyDescent="0.2">
      <c r="A19" s="493">
        <v>10</v>
      </c>
      <c r="B19" s="501" t="s">
        <v>1033</v>
      </c>
      <c r="C19" s="89" t="s">
        <v>1046</v>
      </c>
      <c r="D19" s="89">
        <v>231191974</v>
      </c>
      <c r="E19" s="494" t="s">
        <v>1035</v>
      </c>
      <c r="F19" s="78">
        <v>1330</v>
      </c>
      <c r="G19" s="89"/>
      <c r="H19" s="494" t="s">
        <v>1035</v>
      </c>
      <c r="I19" s="89" t="s">
        <v>1036</v>
      </c>
      <c r="J19" s="496"/>
      <c r="K19" s="503">
        <v>9975</v>
      </c>
      <c r="L19" s="495" t="s">
        <v>1037</v>
      </c>
    </row>
    <row r="20" spans="1:12" ht="51" x14ac:dyDescent="0.2">
      <c r="A20" s="493">
        <v>11</v>
      </c>
      <c r="B20" s="501" t="s">
        <v>1033</v>
      </c>
      <c r="C20" s="89" t="s">
        <v>1047</v>
      </c>
      <c r="D20" s="89">
        <v>227717307</v>
      </c>
      <c r="E20" s="494" t="s">
        <v>1035</v>
      </c>
      <c r="F20" s="78">
        <v>740</v>
      </c>
      <c r="G20" s="89"/>
      <c r="H20" s="494" t="s">
        <v>1035</v>
      </c>
      <c r="I20" s="89" t="s">
        <v>1036</v>
      </c>
      <c r="J20" s="496"/>
      <c r="K20" s="503">
        <v>9916</v>
      </c>
      <c r="L20" s="495" t="s">
        <v>1037</v>
      </c>
    </row>
    <row r="21" spans="1:12" ht="51" x14ac:dyDescent="0.2">
      <c r="A21" s="493">
        <v>12</v>
      </c>
      <c r="B21" s="501" t="s">
        <v>1033</v>
      </c>
      <c r="C21" s="89" t="s">
        <v>1048</v>
      </c>
      <c r="D21" s="89">
        <v>203842823</v>
      </c>
      <c r="E21" s="494" t="s">
        <v>1035</v>
      </c>
      <c r="F21" s="78">
        <v>280</v>
      </c>
      <c r="G21" s="89"/>
      <c r="H21" s="494" t="s">
        <v>1035</v>
      </c>
      <c r="I21" s="89" t="s">
        <v>1036</v>
      </c>
      <c r="J21" s="496"/>
      <c r="K21" s="503">
        <f>9980-35</f>
        <v>9945</v>
      </c>
      <c r="L21" s="495" t="s">
        <v>1037</v>
      </c>
    </row>
    <row r="22" spans="1:12" ht="51" x14ac:dyDescent="0.2">
      <c r="A22" s="493">
        <v>13</v>
      </c>
      <c r="B22" s="501" t="s">
        <v>1033</v>
      </c>
      <c r="C22" s="89" t="s">
        <v>1049</v>
      </c>
      <c r="D22" s="89">
        <v>245414680</v>
      </c>
      <c r="E22" s="494" t="s">
        <v>1035</v>
      </c>
      <c r="F22" s="78">
        <v>820</v>
      </c>
      <c r="G22" s="89"/>
      <c r="H22" s="494" t="s">
        <v>1035</v>
      </c>
      <c r="I22" s="89" t="s">
        <v>1036</v>
      </c>
      <c r="J22" s="496"/>
      <c r="K22" s="503">
        <v>9840</v>
      </c>
      <c r="L22" s="495" t="s">
        <v>1037</v>
      </c>
    </row>
    <row r="23" spans="1:12" ht="51" x14ac:dyDescent="0.2">
      <c r="A23" s="493">
        <v>14</v>
      </c>
      <c r="B23" s="501" t="s">
        <v>1033</v>
      </c>
      <c r="C23" s="89" t="s">
        <v>1050</v>
      </c>
      <c r="D23" s="89">
        <v>204405811</v>
      </c>
      <c r="E23" s="494" t="s">
        <v>1035</v>
      </c>
      <c r="F23" s="78">
        <v>2000</v>
      </c>
      <c r="G23" s="89"/>
      <c r="H23" s="494" t="s">
        <v>1035</v>
      </c>
      <c r="I23" s="89" t="s">
        <v>1036</v>
      </c>
      <c r="J23" s="496"/>
      <c r="K23" s="503">
        <v>10000</v>
      </c>
      <c r="L23" s="495" t="s">
        <v>1037</v>
      </c>
    </row>
    <row r="24" spans="1:12" ht="51" x14ac:dyDescent="0.2">
      <c r="A24" s="493">
        <v>15</v>
      </c>
      <c r="B24" s="501" t="s">
        <v>1033</v>
      </c>
      <c r="C24" s="89" t="s">
        <v>1051</v>
      </c>
      <c r="D24" s="89">
        <v>212678093</v>
      </c>
      <c r="E24" s="494" t="s">
        <v>1035</v>
      </c>
      <c r="F24" s="78">
        <v>640</v>
      </c>
      <c r="G24" s="89"/>
      <c r="H24" s="494" t="s">
        <v>1035</v>
      </c>
      <c r="I24" s="89" t="s">
        <v>1036</v>
      </c>
      <c r="J24" s="496"/>
      <c r="K24" s="503">
        <v>10069.32</v>
      </c>
      <c r="L24" s="495" t="s">
        <v>1037</v>
      </c>
    </row>
    <row r="25" spans="1:12" ht="30" x14ac:dyDescent="0.2">
      <c r="A25" s="493">
        <v>16</v>
      </c>
      <c r="B25" s="501" t="s">
        <v>1052</v>
      </c>
      <c r="C25" s="89" t="s">
        <v>1053</v>
      </c>
      <c r="D25" s="89">
        <v>20001030381</v>
      </c>
      <c r="E25" s="494" t="s">
        <v>1035</v>
      </c>
      <c r="F25" s="78">
        <v>5000</v>
      </c>
      <c r="G25" s="89"/>
      <c r="H25" s="89" t="s">
        <v>1054</v>
      </c>
      <c r="I25" s="89" t="s">
        <v>1055</v>
      </c>
      <c r="J25" s="497">
        <v>7.6999999999999999E-2</v>
      </c>
      <c r="K25" s="419">
        <v>385</v>
      </c>
      <c r="L25" s="89" t="s">
        <v>1056</v>
      </c>
    </row>
    <row r="26" spans="1:12" ht="30" x14ac:dyDescent="0.2">
      <c r="A26" s="493">
        <v>17</v>
      </c>
      <c r="B26" s="501" t="s">
        <v>1052</v>
      </c>
      <c r="C26" s="89" t="s">
        <v>1057</v>
      </c>
      <c r="D26" s="89">
        <v>204891215</v>
      </c>
      <c r="E26" s="494" t="s">
        <v>1035</v>
      </c>
      <c r="F26" s="78">
        <v>4000</v>
      </c>
      <c r="G26" s="89"/>
      <c r="H26" s="494" t="s">
        <v>1058</v>
      </c>
      <c r="I26" s="89" t="s">
        <v>1055</v>
      </c>
      <c r="J26" s="497">
        <v>7.0000000000000007E-2</v>
      </c>
      <c r="K26" s="419">
        <v>280</v>
      </c>
      <c r="L26" s="89" t="s">
        <v>1056</v>
      </c>
    </row>
    <row r="27" spans="1:12" ht="30" x14ac:dyDescent="0.2">
      <c r="A27" s="493">
        <v>18</v>
      </c>
      <c r="B27" s="501" t="s">
        <v>1052</v>
      </c>
      <c r="C27" s="89" t="s">
        <v>1053</v>
      </c>
      <c r="D27" s="89">
        <v>20001030381</v>
      </c>
      <c r="E27" s="494" t="s">
        <v>1035</v>
      </c>
      <c r="F27" s="78">
        <v>10000</v>
      </c>
      <c r="G27" s="89"/>
      <c r="H27" s="494" t="s">
        <v>1058</v>
      </c>
      <c r="I27" s="89" t="s">
        <v>1055</v>
      </c>
      <c r="J27" s="497">
        <v>7.6999999999999999E-2</v>
      </c>
      <c r="K27" s="419">
        <v>770</v>
      </c>
      <c r="L27" s="89" t="s">
        <v>1056</v>
      </c>
    </row>
    <row r="28" spans="1:12" ht="30" x14ac:dyDescent="0.2">
      <c r="A28" s="493">
        <v>19</v>
      </c>
      <c r="B28" s="501" t="s">
        <v>1052</v>
      </c>
      <c r="C28" s="89" t="s">
        <v>1053</v>
      </c>
      <c r="D28" s="89">
        <v>20001030381</v>
      </c>
      <c r="E28" s="494" t="s">
        <v>1035</v>
      </c>
      <c r="F28" s="78">
        <v>5000</v>
      </c>
      <c r="G28" s="89"/>
      <c r="H28" s="89" t="s">
        <v>1054</v>
      </c>
      <c r="I28" s="89" t="s">
        <v>1055</v>
      </c>
      <c r="J28" s="497">
        <v>7.6999999999999999E-2</v>
      </c>
      <c r="K28" s="419">
        <v>385</v>
      </c>
      <c r="L28" s="89" t="s">
        <v>1056</v>
      </c>
    </row>
    <row r="29" spans="1:12" ht="30" x14ac:dyDescent="0.2">
      <c r="A29" s="493">
        <v>20</v>
      </c>
      <c r="B29" s="501" t="s">
        <v>1052</v>
      </c>
      <c r="C29" s="89" t="s">
        <v>1053</v>
      </c>
      <c r="D29" s="89">
        <v>20001030381</v>
      </c>
      <c r="E29" s="494" t="s">
        <v>1035</v>
      </c>
      <c r="F29" s="78">
        <v>5000</v>
      </c>
      <c r="G29" s="89"/>
      <c r="H29" s="89" t="s">
        <v>1054</v>
      </c>
      <c r="I29" s="89" t="s">
        <v>1055</v>
      </c>
      <c r="J29" s="497">
        <v>7.6999999999999999E-2</v>
      </c>
      <c r="K29" s="419">
        <v>385</v>
      </c>
      <c r="L29" s="89" t="s">
        <v>1056</v>
      </c>
    </row>
    <row r="30" spans="1:12" ht="30" x14ac:dyDescent="0.2">
      <c r="A30" s="493">
        <v>21</v>
      </c>
      <c r="B30" s="501" t="s">
        <v>1033</v>
      </c>
      <c r="C30" s="89" t="s">
        <v>1053</v>
      </c>
      <c r="D30" s="89">
        <v>20001030381</v>
      </c>
      <c r="E30" s="494" t="s">
        <v>1035</v>
      </c>
      <c r="F30" s="78">
        <v>1000</v>
      </c>
      <c r="G30" s="89"/>
      <c r="H30" s="89" t="s">
        <v>1054</v>
      </c>
      <c r="I30" s="89" t="s">
        <v>1055</v>
      </c>
      <c r="J30" s="497">
        <v>0.73</v>
      </c>
      <c r="K30" s="419">
        <v>730</v>
      </c>
      <c r="L30" s="89" t="s">
        <v>1059</v>
      </c>
    </row>
    <row r="31" spans="1:12" ht="30" x14ac:dyDescent="0.2">
      <c r="A31" s="493">
        <v>22</v>
      </c>
      <c r="B31" s="501" t="s">
        <v>1052</v>
      </c>
      <c r="C31" s="89" t="s">
        <v>1053</v>
      </c>
      <c r="D31" s="89">
        <v>20001030381</v>
      </c>
      <c r="E31" s="494" t="s">
        <v>1035</v>
      </c>
      <c r="F31" s="498">
        <v>40</v>
      </c>
      <c r="G31" s="89"/>
      <c r="H31" s="499" t="s">
        <v>1035</v>
      </c>
      <c r="I31" s="89" t="s">
        <v>1055</v>
      </c>
      <c r="J31" s="497">
        <v>1</v>
      </c>
      <c r="K31" s="419">
        <v>40</v>
      </c>
      <c r="L31" s="89" t="s">
        <v>1060</v>
      </c>
    </row>
    <row r="32" spans="1:12" ht="30" x14ac:dyDescent="0.2">
      <c r="A32" s="493">
        <v>23</v>
      </c>
      <c r="B32" s="501" t="s">
        <v>1052</v>
      </c>
      <c r="C32" s="89" t="s">
        <v>1053</v>
      </c>
      <c r="D32" s="89">
        <v>20001030381</v>
      </c>
      <c r="E32" s="494" t="s">
        <v>1035</v>
      </c>
      <c r="F32" s="498">
        <v>50</v>
      </c>
      <c r="G32" s="89"/>
      <c r="H32" s="499" t="s">
        <v>1035</v>
      </c>
      <c r="I32" s="89" t="s">
        <v>1055</v>
      </c>
      <c r="J32" s="497">
        <v>20</v>
      </c>
      <c r="K32" s="419">
        <v>1000</v>
      </c>
      <c r="L32" s="89" t="s">
        <v>1060</v>
      </c>
    </row>
    <row r="33" spans="1:12" ht="30" x14ac:dyDescent="0.2">
      <c r="A33" s="493">
        <v>24</v>
      </c>
      <c r="B33" s="501" t="s">
        <v>1052</v>
      </c>
      <c r="C33" s="89" t="s">
        <v>1061</v>
      </c>
      <c r="D33" s="89">
        <v>200179145</v>
      </c>
      <c r="E33" s="494" t="s">
        <v>1035</v>
      </c>
      <c r="F33" s="498">
        <v>15000</v>
      </c>
      <c r="G33" s="89"/>
      <c r="H33" s="499" t="s">
        <v>1035</v>
      </c>
      <c r="I33" s="89" t="s">
        <v>1055</v>
      </c>
      <c r="J33" s="500">
        <v>0.03</v>
      </c>
      <c r="K33" s="419">
        <v>450</v>
      </c>
      <c r="L33" s="89" t="s">
        <v>1062</v>
      </c>
    </row>
    <row r="34" spans="1:12" ht="51.75" customHeight="1" x14ac:dyDescent="0.2">
      <c r="A34" s="493">
        <v>25</v>
      </c>
      <c r="B34" s="501" t="s">
        <v>1052</v>
      </c>
      <c r="C34" s="89" t="s">
        <v>1063</v>
      </c>
      <c r="D34" s="89">
        <v>400036527</v>
      </c>
      <c r="E34" s="494" t="s">
        <v>1035</v>
      </c>
      <c r="F34" s="498">
        <v>10000</v>
      </c>
      <c r="G34" s="89"/>
      <c r="H34" s="499" t="s">
        <v>1035</v>
      </c>
      <c r="I34" s="89" t="s">
        <v>1055</v>
      </c>
      <c r="J34" s="500">
        <v>0.04</v>
      </c>
      <c r="K34" s="419">
        <v>400</v>
      </c>
      <c r="L34" s="89" t="s">
        <v>1062</v>
      </c>
    </row>
    <row r="35" spans="1:12" ht="51.75" customHeight="1" x14ac:dyDescent="0.2">
      <c r="A35" s="493">
        <v>26</v>
      </c>
      <c r="B35" s="501" t="s">
        <v>1052</v>
      </c>
      <c r="C35" s="89" t="s">
        <v>1063</v>
      </c>
      <c r="D35" s="89">
        <v>400036527</v>
      </c>
      <c r="E35" s="494" t="s">
        <v>1035</v>
      </c>
      <c r="F35" s="498">
        <v>200000</v>
      </c>
      <c r="G35" s="89"/>
      <c r="H35" s="499" t="s">
        <v>1035</v>
      </c>
      <c r="I35" s="89" t="s">
        <v>1055</v>
      </c>
      <c r="J35" s="500">
        <v>0.04</v>
      </c>
      <c r="K35" s="419">
        <v>8000</v>
      </c>
      <c r="L35" s="89" t="s">
        <v>1062</v>
      </c>
    </row>
    <row r="36" spans="1:12" ht="51.75" customHeight="1" x14ac:dyDescent="0.2">
      <c r="A36" s="493">
        <v>27</v>
      </c>
      <c r="B36" s="501" t="s">
        <v>361</v>
      </c>
      <c r="C36" s="89" t="s">
        <v>1064</v>
      </c>
      <c r="D36" s="89">
        <v>205256907</v>
      </c>
      <c r="E36" s="494" t="s">
        <v>1035</v>
      </c>
      <c r="F36" s="78">
        <v>128000</v>
      </c>
      <c r="G36" s="78"/>
      <c r="H36" s="499" t="s">
        <v>1035</v>
      </c>
      <c r="I36" s="89" t="s">
        <v>1055</v>
      </c>
      <c r="J36" s="500">
        <v>4.8000000000000001E-2</v>
      </c>
      <c r="K36" s="419">
        <v>6144</v>
      </c>
      <c r="L36" s="89" t="s">
        <v>1065</v>
      </c>
    </row>
    <row r="37" spans="1:12" ht="51.75" customHeight="1" x14ac:dyDescent="0.2">
      <c r="A37" s="493">
        <v>28</v>
      </c>
      <c r="B37" s="501" t="s">
        <v>361</v>
      </c>
      <c r="C37" s="89" t="s">
        <v>1064</v>
      </c>
      <c r="D37" s="89">
        <v>205256907</v>
      </c>
      <c r="E37" s="494" t="s">
        <v>1035</v>
      </c>
      <c r="F37" s="78">
        <v>3125</v>
      </c>
      <c r="G37" s="78"/>
      <c r="H37" s="499" t="s">
        <v>1066</v>
      </c>
      <c r="I37" s="89" t="s">
        <v>1055</v>
      </c>
      <c r="J37" s="500">
        <v>3.3000000000000002E-2</v>
      </c>
      <c r="K37" s="419">
        <f>J37*F37</f>
        <v>103.125</v>
      </c>
      <c r="L37" s="89" t="s">
        <v>1067</v>
      </c>
    </row>
    <row r="38" spans="1:12" ht="51.75" customHeight="1" x14ac:dyDescent="0.2">
      <c r="A38" s="493">
        <v>29</v>
      </c>
      <c r="B38" s="501" t="s">
        <v>361</v>
      </c>
      <c r="C38" s="89" t="s">
        <v>1064</v>
      </c>
      <c r="D38" s="89">
        <v>205256907</v>
      </c>
      <c r="E38" s="494" t="s">
        <v>1035</v>
      </c>
      <c r="F38" s="78">
        <v>3375</v>
      </c>
      <c r="G38" s="78"/>
      <c r="H38" s="499" t="s">
        <v>1068</v>
      </c>
      <c r="I38" s="89" t="s">
        <v>1055</v>
      </c>
      <c r="J38" s="500">
        <v>3.3000000000000002E-2</v>
      </c>
      <c r="K38" s="419">
        <f t="shared" ref="K38:K52" si="0">J38*F38</f>
        <v>111.375</v>
      </c>
      <c r="L38" s="89" t="s">
        <v>1067</v>
      </c>
    </row>
    <row r="39" spans="1:12" ht="51.75" customHeight="1" x14ac:dyDescent="0.2">
      <c r="A39" s="493">
        <v>30</v>
      </c>
      <c r="B39" s="501" t="s">
        <v>361</v>
      </c>
      <c r="C39" s="89" t="s">
        <v>1064</v>
      </c>
      <c r="D39" s="89">
        <v>205256907</v>
      </c>
      <c r="E39" s="494" t="s">
        <v>1035</v>
      </c>
      <c r="F39" s="78">
        <v>3125</v>
      </c>
      <c r="G39" s="78"/>
      <c r="H39" s="499" t="s">
        <v>1069</v>
      </c>
      <c r="I39" s="89" t="s">
        <v>1055</v>
      </c>
      <c r="J39" s="500">
        <v>3.3000000000000002E-2</v>
      </c>
      <c r="K39" s="419">
        <f t="shared" si="0"/>
        <v>103.125</v>
      </c>
      <c r="L39" s="89" t="s">
        <v>1067</v>
      </c>
    </row>
    <row r="40" spans="1:12" ht="51.75" customHeight="1" x14ac:dyDescent="0.2">
      <c r="A40" s="493">
        <v>31</v>
      </c>
      <c r="B40" s="501" t="s">
        <v>361</v>
      </c>
      <c r="C40" s="89" t="s">
        <v>1064</v>
      </c>
      <c r="D40" s="89">
        <v>205256907</v>
      </c>
      <c r="E40" s="494" t="s">
        <v>1035</v>
      </c>
      <c r="F40" s="78">
        <v>3125</v>
      </c>
      <c r="G40" s="78"/>
      <c r="H40" s="499" t="s">
        <v>604</v>
      </c>
      <c r="I40" s="89" t="s">
        <v>1055</v>
      </c>
      <c r="J40" s="500">
        <v>3.3000000000000002E-2</v>
      </c>
      <c r="K40" s="419">
        <f>F40*J40</f>
        <v>103.125</v>
      </c>
      <c r="L40" s="89" t="s">
        <v>1067</v>
      </c>
    </row>
    <row r="41" spans="1:12" ht="51.75" customHeight="1" x14ac:dyDescent="0.2">
      <c r="A41" s="493">
        <v>32</v>
      </c>
      <c r="B41" s="501" t="s">
        <v>361</v>
      </c>
      <c r="C41" s="89" t="s">
        <v>1064</v>
      </c>
      <c r="D41" s="89">
        <v>205256907</v>
      </c>
      <c r="E41" s="494" t="s">
        <v>1035</v>
      </c>
      <c r="F41" s="78">
        <v>3125</v>
      </c>
      <c r="G41" s="78"/>
      <c r="H41" s="499" t="s">
        <v>1070</v>
      </c>
      <c r="I41" s="89" t="s">
        <v>1055</v>
      </c>
      <c r="J41" s="500">
        <v>3.3000000000000002E-2</v>
      </c>
      <c r="K41" s="419">
        <f t="shared" si="0"/>
        <v>103.125</v>
      </c>
      <c r="L41" s="89" t="s">
        <v>1067</v>
      </c>
    </row>
    <row r="42" spans="1:12" ht="51.75" customHeight="1" x14ac:dyDescent="0.2">
      <c r="A42" s="493">
        <v>33</v>
      </c>
      <c r="B42" s="501" t="s">
        <v>361</v>
      </c>
      <c r="C42" s="89" t="s">
        <v>1064</v>
      </c>
      <c r="D42" s="89">
        <v>205256907</v>
      </c>
      <c r="E42" s="494" t="s">
        <v>1035</v>
      </c>
      <c r="F42" s="78">
        <v>3125</v>
      </c>
      <c r="G42" s="78"/>
      <c r="H42" s="499" t="s">
        <v>1071</v>
      </c>
      <c r="I42" s="89" t="s">
        <v>1055</v>
      </c>
      <c r="J42" s="500">
        <v>3.3000000000000002E-2</v>
      </c>
      <c r="K42" s="419">
        <f t="shared" si="0"/>
        <v>103.125</v>
      </c>
      <c r="L42" s="89" t="s">
        <v>1067</v>
      </c>
    </row>
    <row r="43" spans="1:12" ht="51.75" customHeight="1" x14ac:dyDescent="0.2">
      <c r="A43" s="493">
        <v>34</v>
      </c>
      <c r="B43" s="501" t="s">
        <v>361</v>
      </c>
      <c r="C43" s="89" t="s">
        <v>1064</v>
      </c>
      <c r="D43" s="89">
        <v>205256907</v>
      </c>
      <c r="E43" s="494" t="s">
        <v>1035</v>
      </c>
      <c r="F43" s="78">
        <v>3125</v>
      </c>
      <c r="G43" s="78"/>
      <c r="H43" s="499" t="s">
        <v>1072</v>
      </c>
      <c r="I43" s="89" t="s">
        <v>1055</v>
      </c>
      <c r="J43" s="500">
        <v>3.3000000000000002E-2</v>
      </c>
      <c r="K43" s="419">
        <f t="shared" si="0"/>
        <v>103.125</v>
      </c>
      <c r="L43" s="89" t="s">
        <v>1067</v>
      </c>
    </row>
    <row r="44" spans="1:12" ht="51.75" customHeight="1" x14ac:dyDescent="0.2">
      <c r="A44" s="493">
        <v>35</v>
      </c>
      <c r="B44" s="501" t="s">
        <v>361</v>
      </c>
      <c r="C44" s="89" t="s">
        <v>1064</v>
      </c>
      <c r="D44" s="89">
        <v>205256907</v>
      </c>
      <c r="E44" s="494" t="s">
        <v>1035</v>
      </c>
      <c r="F44" s="78">
        <v>3125</v>
      </c>
      <c r="G44" s="78"/>
      <c r="H44" s="499" t="s">
        <v>1073</v>
      </c>
      <c r="I44" s="89" t="s">
        <v>1055</v>
      </c>
      <c r="J44" s="500">
        <v>3.3000000000000002E-2</v>
      </c>
      <c r="K44" s="419">
        <f t="shared" si="0"/>
        <v>103.125</v>
      </c>
      <c r="L44" s="89" t="s">
        <v>1067</v>
      </c>
    </row>
    <row r="45" spans="1:12" ht="51.75" customHeight="1" x14ac:dyDescent="0.2">
      <c r="A45" s="493">
        <v>36</v>
      </c>
      <c r="B45" s="501" t="s">
        <v>361</v>
      </c>
      <c r="C45" s="89" t="s">
        <v>1064</v>
      </c>
      <c r="D45" s="89">
        <v>205256907</v>
      </c>
      <c r="E45" s="494" t="s">
        <v>1035</v>
      </c>
      <c r="F45" s="78">
        <v>3125</v>
      </c>
      <c r="G45" s="78"/>
      <c r="H45" s="499" t="s">
        <v>1074</v>
      </c>
      <c r="I45" s="89" t="s">
        <v>1055</v>
      </c>
      <c r="J45" s="500">
        <v>3.3000000000000002E-2</v>
      </c>
      <c r="K45" s="419">
        <f t="shared" si="0"/>
        <v>103.125</v>
      </c>
      <c r="L45" s="89" t="s">
        <v>1067</v>
      </c>
    </row>
    <row r="46" spans="1:12" ht="30" x14ac:dyDescent="0.2">
      <c r="A46" s="493">
        <v>37</v>
      </c>
      <c r="B46" s="501" t="s">
        <v>361</v>
      </c>
      <c r="C46" s="89" t="s">
        <v>1064</v>
      </c>
      <c r="D46" s="89">
        <v>205256907</v>
      </c>
      <c r="E46" s="494" t="s">
        <v>1035</v>
      </c>
      <c r="F46" s="78">
        <v>3125</v>
      </c>
      <c r="G46" s="78"/>
      <c r="H46" s="499" t="s">
        <v>1075</v>
      </c>
      <c r="I46" s="89" t="s">
        <v>1055</v>
      </c>
      <c r="J46" s="500">
        <v>3.3000000000000002E-2</v>
      </c>
      <c r="K46" s="419">
        <f t="shared" si="0"/>
        <v>103.125</v>
      </c>
      <c r="L46" s="89" t="s">
        <v>1067</v>
      </c>
    </row>
    <row r="47" spans="1:12" ht="30" x14ac:dyDescent="0.2">
      <c r="A47" s="493">
        <v>38</v>
      </c>
      <c r="B47" s="501" t="s">
        <v>361</v>
      </c>
      <c r="C47" s="89" t="s">
        <v>1064</v>
      </c>
      <c r="D47" s="89">
        <v>205256907</v>
      </c>
      <c r="E47" s="494" t="s">
        <v>1035</v>
      </c>
      <c r="F47" s="78">
        <v>3125</v>
      </c>
      <c r="G47" s="78"/>
      <c r="H47" s="499" t="s">
        <v>1076</v>
      </c>
      <c r="I47" s="89" t="s">
        <v>1055</v>
      </c>
      <c r="J47" s="500">
        <v>3.3000000000000002E-2</v>
      </c>
      <c r="K47" s="419">
        <f t="shared" si="0"/>
        <v>103.125</v>
      </c>
      <c r="L47" s="89" t="s">
        <v>1067</v>
      </c>
    </row>
    <row r="48" spans="1:12" ht="30" x14ac:dyDescent="0.2">
      <c r="A48" s="493">
        <v>39</v>
      </c>
      <c r="B48" s="501" t="s">
        <v>361</v>
      </c>
      <c r="C48" s="89" t="s">
        <v>1064</v>
      </c>
      <c r="D48" s="89">
        <v>205256907</v>
      </c>
      <c r="E48" s="494" t="s">
        <v>1035</v>
      </c>
      <c r="F48" s="78">
        <v>3125</v>
      </c>
      <c r="G48" s="78"/>
      <c r="H48" s="499" t="s">
        <v>1077</v>
      </c>
      <c r="I48" s="89" t="s">
        <v>1055</v>
      </c>
      <c r="J48" s="500">
        <v>3.3000000000000002E-2</v>
      </c>
      <c r="K48" s="419">
        <f t="shared" si="0"/>
        <v>103.125</v>
      </c>
      <c r="L48" s="89" t="s">
        <v>1067</v>
      </c>
    </row>
    <row r="49" spans="1:12" ht="30" x14ac:dyDescent="0.2">
      <c r="A49" s="493">
        <v>40</v>
      </c>
      <c r="B49" s="501" t="s">
        <v>361</v>
      </c>
      <c r="C49" s="89" t="s">
        <v>1064</v>
      </c>
      <c r="D49" s="89">
        <v>205256907</v>
      </c>
      <c r="E49" s="494" t="s">
        <v>1035</v>
      </c>
      <c r="F49" s="78">
        <v>3125</v>
      </c>
      <c r="G49" s="78"/>
      <c r="H49" s="499" t="s">
        <v>1078</v>
      </c>
      <c r="I49" s="89" t="s">
        <v>1055</v>
      </c>
      <c r="J49" s="500">
        <v>3.3000000000000002E-2</v>
      </c>
      <c r="K49" s="419">
        <f t="shared" si="0"/>
        <v>103.125</v>
      </c>
      <c r="L49" s="89" t="s">
        <v>1067</v>
      </c>
    </row>
    <row r="50" spans="1:12" ht="30" x14ac:dyDescent="0.2">
      <c r="A50" s="493">
        <v>41</v>
      </c>
      <c r="B50" s="501" t="s">
        <v>361</v>
      </c>
      <c r="C50" s="89" t="s">
        <v>1064</v>
      </c>
      <c r="D50" s="89">
        <v>205256907</v>
      </c>
      <c r="E50" s="494" t="s">
        <v>1035</v>
      </c>
      <c r="F50" s="78">
        <v>3125</v>
      </c>
      <c r="G50" s="78"/>
      <c r="H50" s="499" t="s">
        <v>1079</v>
      </c>
      <c r="I50" s="89" t="s">
        <v>1055</v>
      </c>
      <c r="J50" s="500">
        <v>3.3000000000000002E-2</v>
      </c>
      <c r="K50" s="419">
        <f>F50*J50</f>
        <v>103.125</v>
      </c>
      <c r="L50" s="89" t="s">
        <v>1067</v>
      </c>
    </row>
    <row r="51" spans="1:12" ht="30" x14ac:dyDescent="0.2">
      <c r="A51" s="493">
        <v>42</v>
      </c>
      <c r="B51" s="501" t="s">
        <v>361</v>
      </c>
      <c r="C51" s="89" t="s">
        <v>1064</v>
      </c>
      <c r="D51" s="89">
        <v>205256907</v>
      </c>
      <c r="E51" s="494" t="s">
        <v>1035</v>
      </c>
      <c r="F51" s="78">
        <v>3125</v>
      </c>
      <c r="G51" s="78"/>
      <c r="H51" s="499" t="s">
        <v>1080</v>
      </c>
      <c r="I51" s="89" t="s">
        <v>1055</v>
      </c>
      <c r="J51" s="500">
        <v>3.3000000000000002E-2</v>
      </c>
      <c r="K51" s="419">
        <f t="shared" si="0"/>
        <v>103.125</v>
      </c>
      <c r="L51" s="89" t="s">
        <v>1067</v>
      </c>
    </row>
    <row r="52" spans="1:12" ht="30" x14ac:dyDescent="0.2">
      <c r="A52" s="493">
        <v>43</v>
      </c>
      <c r="B52" s="501" t="s">
        <v>361</v>
      </c>
      <c r="C52" s="89" t="s">
        <v>1064</v>
      </c>
      <c r="D52" s="89">
        <v>205256907</v>
      </c>
      <c r="E52" s="494" t="s">
        <v>1035</v>
      </c>
      <c r="F52" s="78">
        <v>3125</v>
      </c>
      <c r="G52" s="78"/>
      <c r="H52" s="499" t="s">
        <v>1081</v>
      </c>
      <c r="I52" s="89" t="s">
        <v>1055</v>
      </c>
      <c r="J52" s="500">
        <v>3.3000000000000002E-2</v>
      </c>
      <c r="K52" s="419">
        <f t="shared" si="0"/>
        <v>103.125</v>
      </c>
      <c r="L52" s="89" t="s">
        <v>1067</v>
      </c>
    </row>
    <row r="53" spans="1:12" ht="30" x14ac:dyDescent="0.2">
      <c r="A53" s="493">
        <v>44</v>
      </c>
      <c r="B53" s="501" t="s">
        <v>361</v>
      </c>
      <c r="C53" s="89" t="s">
        <v>1064</v>
      </c>
      <c r="D53" s="89">
        <v>205256907</v>
      </c>
      <c r="E53" s="494" t="s">
        <v>1035</v>
      </c>
      <c r="F53" s="78">
        <v>4125</v>
      </c>
      <c r="G53" s="78"/>
      <c r="H53" s="499" t="s">
        <v>1082</v>
      </c>
      <c r="I53" s="89" t="s">
        <v>1055</v>
      </c>
      <c r="J53" s="500">
        <v>3.3000000000000002E-2</v>
      </c>
      <c r="K53" s="419">
        <f>F53*J53</f>
        <v>136.125</v>
      </c>
      <c r="L53" s="89" t="s">
        <v>1067</v>
      </c>
    </row>
    <row r="54" spans="1:12" ht="30" x14ac:dyDescent="0.2">
      <c r="A54" s="493">
        <v>45</v>
      </c>
      <c r="B54" s="501" t="s">
        <v>361</v>
      </c>
      <c r="C54" s="89" t="s">
        <v>1064</v>
      </c>
      <c r="D54" s="89">
        <v>205256907</v>
      </c>
      <c r="E54" s="494" t="s">
        <v>1035</v>
      </c>
      <c r="F54" s="78">
        <v>3125</v>
      </c>
      <c r="G54" s="78"/>
      <c r="H54" s="499" t="s">
        <v>585</v>
      </c>
      <c r="I54" s="89" t="s">
        <v>1055</v>
      </c>
      <c r="J54" s="500">
        <v>3.3000000000000002E-2</v>
      </c>
      <c r="K54" s="419">
        <f>F54*J54</f>
        <v>103.125</v>
      </c>
      <c r="L54" s="89" t="s">
        <v>1067</v>
      </c>
    </row>
    <row r="55" spans="1:12" ht="30" x14ac:dyDescent="0.2">
      <c r="A55" s="493">
        <v>46</v>
      </c>
      <c r="B55" s="501" t="s">
        <v>361</v>
      </c>
      <c r="C55" s="89" t="s">
        <v>1064</v>
      </c>
      <c r="D55" s="89">
        <v>205256907</v>
      </c>
      <c r="E55" s="494" t="s">
        <v>1035</v>
      </c>
      <c r="F55" s="78">
        <v>3125</v>
      </c>
      <c r="G55" s="78"/>
      <c r="H55" s="499" t="s">
        <v>535</v>
      </c>
      <c r="I55" s="89" t="s">
        <v>1055</v>
      </c>
      <c r="J55" s="500">
        <v>3.3000000000000002E-2</v>
      </c>
      <c r="K55" s="419">
        <f t="shared" ref="K55:K99" si="1">J55*F55</f>
        <v>103.125</v>
      </c>
      <c r="L55" s="89" t="s">
        <v>1067</v>
      </c>
    </row>
    <row r="56" spans="1:12" ht="30" x14ac:dyDescent="0.2">
      <c r="A56" s="493">
        <v>47</v>
      </c>
      <c r="B56" s="501" t="s">
        <v>361</v>
      </c>
      <c r="C56" s="89" t="s">
        <v>1064</v>
      </c>
      <c r="D56" s="89">
        <v>205256907</v>
      </c>
      <c r="E56" s="494" t="s">
        <v>1035</v>
      </c>
      <c r="F56" s="78">
        <v>3125</v>
      </c>
      <c r="G56" s="78"/>
      <c r="H56" s="499" t="s">
        <v>1058</v>
      </c>
      <c r="I56" s="89" t="s">
        <v>1055</v>
      </c>
      <c r="J56" s="500">
        <v>3.3000000000000002E-2</v>
      </c>
      <c r="K56" s="419">
        <f t="shared" si="1"/>
        <v>103.125</v>
      </c>
      <c r="L56" s="89" t="s">
        <v>1067</v>
      </c>
    </row>
    <row r="57" spans="1:12" ht="30" x14ac:dyDescent="0.2">
      <c r="A57" s="493">
        <v>48</v>
      </c>
      <c r="B57" s="501" t="s">
        <v>361</v>
      </c>
      <c r="C57" s="89" t="s">
        <v>1064</v>
      </c>
      <c r="D57" s="89">
        <v>205256907</v>
      </c>
      <c r="E57" s="494" t="s">
        <v>1035</v>
      </c>
      <c r="F57" s="78">
        <v>3125</v>
      </c>
      <c r="G57" s="78"/>
      <c r="H57" s="499" t="s">
        <v>1083</v>
      </c>
      <c r="I57" s="89" t="s">
        <v>1055</v>
      </c>
      <c r="J57" s="500">
        <v>3.3000000000000002E-2</v>
      </c>
      <c r="K57" s="419">
        <f t="shared" si="1"/>
        <v>103.125</v>
      </c>
      <c r="L57" s="89" t="s">
        <v>1067</v>
      </c>
    </row>
    <row r="58" spans="1:12" ht="30" x14ac:dyDescent="0.2">
      <c r="A58" s="493">
        <v>49</v>
      </c>
      <c r="B58" s="501" t="s">
        <v>361</v>
      </c>
      <c r="C58" s="89" t="s">
        <v>1064</v>
      </c>
      <c r="D58" s="89">
        <v>205256907</v>
      </c>
      <c r="E58" s="494" t="s">
        <v>1035</v>
      </c>
      <c r="F58" s="78">
        <v>3125</v>
      </c>
      <c r="G58" s="78"/>
      <c r="H58" s="499" t="s">
        <v>1084</v>
      </c>
      <c r="I58" s="89" t="s">
        <v>1055</v>
      </c>
      <c r="J58" s="500">
        <v>3.3000000000000002E-2</v>
      </c>
      <c r="K58" s="419">
        <f t="shared" si="1"/>
        <v>103.125</v>
      </c>
      <c r="L58" s="89" t="s">
        <v>1067</v>
      </c>
    </row>
    <row r="59" spans="1:12" ht="51.75" customHeight="1" x14ac:dyDescent="0.2">
      <c r="A59" s="493">
        <v>50</v>
      </c>
      <c r="B59" s="501" t="s">
        <v>361</v>
      </c>
      <c r="C59" s="89" t="s">
        <v>1064</v>
      </c>
      <c r="D59" s="89">
        <v>205256907</v>
      </c>
      <c r="E59" s="494" t="s">
        <v>1035</v>
      </c>
      <c r="F59" s="78">
        <v>3125</v>
      </c>
      <c r="G59" s="78"/>
      <c r="H59" s="499" t="s">
        <v>1054</v>
      </c>
      <c r="I59" s="89" t="s">
        <v>1055</v>
      </c>
      <c r="J59" s="500">
        <v>3.3000000000000002E-2</v>
      </c>
      <c r="K59" s="419">
        <f t="shared" si="1"/>
        <v>103.125</v>
      </c>
      <c r="L59" s="89" t="s">
        <v>1067</v>
      </c>
    </row>
    <row r="60" spans="1:12" ht="51.75" customHeight="1" x14ac:dyDescent="0.2">
      <c r="A60" s="493">
        <v>51</v>
      </c>
      <c r="B60" s="501" t="s">
        <v>361</v>
      </c>
      <c r="C60" s="89" t="s">
        <v>1064</v>
      </c>
      <c r="D60" s="89">
        <v>205256907</v>
      </c>
      <c r="E60" s="494" t="s">
        <v>1035</v>
      </c>
      <c r="F60" s="78">
        <v>3125</v>
      </c>
      <c r="G60" s="78"/>
      <c r="H60" s="499" t="s">
        <v>1085</v>
      </c>
      <c r="I60" s="89" t="s">
        <v>1055</v>
      </c>
      <c r="J60" s="500">
        <v>3.3000000000000002E-2</v>
      </c>
      <c r="K60" s="419">
        <f t="shared" si="1"/>
        <v>103.125</v>
      </c>
      <c r="L60" s="89" t="s">
        <v>1067</v>
      </c>
    </row>
    <row r="61" spans="1:12" ht="30" x14ac:dyDescent="0.2">
      <c r="A61" s="493">
        <v>52</v>
      </c>
      <c r="B61" s="501" t="s">
        <v>361</v>
      </c>
      <c r="C61" s="89" t="s">
        <v>1064</v>
      </c>
      <c r="D61" s="89">
        <v>205256907</v>
      </c>
      <c r="E61" s="494" t="s">
        <v>1035</v>
      </c>
      <c r="F61" s="78">
        <v>3125</v>
      </c>
      <c r="G61" s="78"/>
      <c r="H61" s="499" t="s">
        <v>567</v>
      </c>
      <c r="I61" s="89" t="s">
        <v>1055</v>
      </c>
      <c r="J61" s="500">
        <v>3.3000000000000002E-2</v>
      </c>
      <c r="K61" s="419">
        <f t="shared" si="1"/>
        <v>103.125</v>
      </c>
      <c r="L61" s="89" t="s">
        <v>1067</v>
      </c>
    </row>
    <row r="62" spans="1:12" ht="30" x14ac:dyDescent="0.2">
      <c r="A62" s="493">
        <v>53</v>
      </c>
      <c r="B62" s="501" t="s">
        <v>361</v>
      </c>
      <c r="C62" s="89" t="s">
        <v>1064</v>
      </c>
      <c r="D62" s="89">
        <v>205256907</v>
      </c>
      <c r="E62" s="494" t="s">
        <v>1035</v>
      </c>
      <c r="F62" s="78">
        <v>3125</v>
      </c>
      <c r="G62" s="78"/>
      <c r="H62" s="499" t="s">
        <v>1086</v>
      </c>
      <c r="I62" s="89" t="s">
        <v>1055</v>
      </c>
      <c r="J62" s="500">
        <v>3.3000000000000002E-2</v>
      </c>
      <c r="K62" s="419">
        <f t="shared" si="1"/>
        <v>103.125</v>
      </c>
      <c r="L62" s="89" t="s">
        <v>1067</v>
      </c>
    </row>
    <row r="63" spans="1:12" ht="30" x14ac:dyDescent="0.2">
      <c r="A63" s="493">
        <v>54</v>
      </c>
      <c r="B63" s="501" t="s">
        <v>361</v>
      </c>
      <c r="C63" s="89" t="s">
        <v>1064</v>
      </c>
      <c r="D63" s="89">
        <v>205256907</v>
      </c>
      <c r="E63" s="494" t="s">
        <v>1035</v>
      </c>
      <c r="F63" s="78">
        <v>3125</v>
      </c>
      <c r="G63" s="78"/>
      <c r="H63" s="499" t="s">
        <v>1087</v>
      </c>
      <c r="I63" s="89" t="s">
        <v>1055</v>
      </c>
      <c r="J63" s="500">
        <v>3.3000000000000002E-2</v>
      </c>
      <c r="K63" s="419">
        <f t="shared" si="1"/>
        <v>103.125</v>
      </c>
      <c r="L63" s="89" t="s">
        <v>1067</v>
      </c>
    </row>
    <row r="64" spans="1:12" ht="30" x14ac:dyDescent="0.2">
      <c r="A64" s="493">
        <v>55</v>
      </c>
      <c r="B64" s="501" t="s">
        <v>361</v>
      </c>
      <c r="C64" s="89" t="s">
        <v>1064</v>
      </c>
      <c r="D64" s="89">
        <v>205256907</v>
      </c>
      <c r="E64" s="494" t="s">
        <v>1035</v>
      </c>
      <c r="F64" s="78">
        <v>3125</v>
      </c>
      <c r="G64" s="78"/>
      <c r="H64" s="499" t="s">
        <v>1088</v>
      </c>
      <c r="I64" s="89" t="s">
        <v>1055</v>
      </c>
      <c r="J64" s="500">
        <v>3.3000000000000002E-2</v>
      </c>
      <c r="K64" s="419">
        <f t="shared" si="1"/>
        <v>103.125</v>
      </c>
      <c r="L64" s="89" t="s">
        <v>1067</v>
      </c>
    </row>
    <row r="65" spans="1:12" ht="30" x14ac:dyDescent="0.2">
      <c r="A65" s="493">
        <v>56</v>
      </c>
      <c r="B65" s="501" t="s">
        <v>361</v>
      </c>
      <c r="C65" s="89" t="s">
        <v>1064</v>
      </c>
      <c r="D65" s="89">
        <v>205256907</v>
      </c>
      <c r="E65" s="494" t="s">
        <v>1035</v>
      </c>
      <c r="F65" s="78">
        <v>3125</v>
      </c>
      <c r="G65" s="78"/>
      <c r="H65" s="499" t="s">
        <v>646</v>
      </c>
      <c r="I65" s="89" t="s">
        <v>1055</v>
      </c>
      <c r="J65" s="500">
        <v>3.3000000000000002E-2</v>
      </c>
      <c r="K65" s="419">
        <f t="shared" si="1"/>
        <v>103.125</v>
      </c>
      <c r="L65" s="89" t="s">
        <v>1067</v>
      </c>
    </row>
    <row r="66" spans="1:12" ht="30" x14ac:dyDescent="0.2">
      <c r="A66" s="493">
        <v>57</v>
      </c>
      <c r="B66" s="501" t="s">
        <v>361</v>
      </c>
      <c r="C66" s="89" t="s">
        <v>1064</v>
      </c>
      <c r="D66" s="89">
        <v>205256907</v>
      </c>
      <c r="E66" s="494" t="s">
        <v>1035</v>
      </c>
      <c r="F66" s="78">
        <v>3125</v>
      </c>
      <c r="G66" s="78"/>
      <c r="H66" s="499" t="s">
        <v>1089</v>
      </c>
      <c r="I66" s="89" t="s">
        <v>1055</v>
      </c>
      <c r="J66" s="500">
        <v>3.3000000000000002E-2</v>
      </c>
      <c r="K66" s="419">
        <f t="shared" si="1"/>
        <v>103.125</v>
      </c>
      <c r="L66" s="89" t="s">
        <v>1067</v>
      </c>
    </row>
    <row r="67" spans="1:12" ht="30" x14ac:dyDescent="0.2">
      <c r="A67" s="493">
        <v>58</v>
      </c>
      <c r="B67" s="501" t="s">
        <v>361</v>
      </c>
      <c r="C67" s="89" t="s">
        <v>1064</v>
      </c>
      <c r="D67" s="89">
        <v>205256907</v>
      </c>
      <c r="E67" s="494" t="s">
        <v>1035</v>
      </c>
      <c r="F67" s="78">
        <v>3125</v>
      </c>
      <c r="G67" s="78"/>
      <c r="H67" s="499" t="s">
        <v>1090</v>
      </c>
      <c r="I67" s="89" t="s">
        <v>1055</v>
      </c>
      <c r="J67" s="500">
        <v>3.3000000000000002E-2</v>
      </c>
      <c r="K67" s="419">
        <f t="shared" si="1"/>
        <v>103.125</v>
      </c>
      <c r="L67" s="89" t="s">
        <v>1067</v>
      </c>
    </row>
    <row r="68" spans="1:12" ht="30" x14ac:dyDescent="0.2">
      <c r="A68" s="493">
        <v>59</v>
      </c>
      <c r="B68" s="501" t="s">
        <v>361</v>
      </c>
      <c r="C68" s="89" t="s">
        <v>1064</v>
      </c>
      <c r="D68" s="89">
        <v>205256907</v>
      </c>
      <c r="E68" s="494" t="s">
        <v>1035</v>
      </c>
      <c r="F68" s="78">
        <v>3125</v>
      </c>
      <c r="G68" s="78"/>
      <c r="H68" s="89" t="s">
        <v>1091</v>
      </c>
      <c r="I68" s="89" t="s">
        <v>1055</v>
      </c>
      <c r="J68" s="500">
        <v>3.3000000000000002E-2</v>
      </c>
      <c r="K68" s="419">
        <f t="shared" si="1"/>
        <v>103.125</v>
      </c>
      <c r="L68" s="89" t="s">
        <v>1067</v>
      </c>
    </row>
    <row r="69" spans="1:12" ht="30" x14ac:dyDescent="0.2">
      <c r="A69" s="493">
        <v>60</v>
      </c>
      <c r="B69" s="501" t="s">
        <v>361</v>
      </c>
      <c r="C69" s="89" t="s">
        <v>1064</v>
      </c>
      <c r="D69" s="89">
        <v>205256907</v>
      </c>
      <c r="E69" s="494" t="s">
        <v>1035</v>
      </c>
      <c r="F69" s="78">
        <v>3125</v>
      </c>
      <c r="G69" s="78"/>
      <c r="H69" s="89" t="s">
        <v>1092</v>
      </c>
      <c r="I69" s="89" t="s">
        <v>1055</v>
      </c>
      <c r="J69" s="500">
        <v>3.3000000000000002E-2</v>
      </c>
      <c r="K69" s="419">
        <f t="shared" si="1"/>
        <v>103.125</v>
      </c>
      <c r="L69" s="89" t="s">
        <v>1067</v>
      </c>
    </row>
    <row r="70" spans="1:12" ht="30" x14ac:dyDescent="0.2">
      <c r="A70" s="493">
        <v>61</v>
      </c>
      <c r="B70" s="501" t="s">
        <v>361</v>
      </c>
      <c r="C70" s="89" t="s">
        <v>1064</v>
      </c>
      <c r="D70" s="89">
        <v>205256907</v>
      </c>
      <c r="E70" s="494" t="s">
        <v>1035</v>
      </c>
      <c r="F70" s="78">
        <v>3125</v>
      </c>
      <c r="G70" s="78"/>
      <c r="H70" s="89" t="s">
        <v>1093</v>
      </c>
      <c r="I70" s="89" t="s">
        <v>1055</v>
      </c>
      <c r="J70" s="500">
        <v>3.3000000000000002E-2</v>
      </c>
      <c r="K70" s="419">
        <f t="shared" si="1"/>
        <v>103.125</v>
      </c>
      <c r="L70" s="89" t="s">
        <v>1067</v>
      </c>
    </row>
    <row r="71" spans="1:12" ht="30" x14ac:dyDescent="0.2">
      <c r="A71" s="493">
        <v>62</v>
      </c>
      <c r="B71" s="501" t="s">
        <v>361</v>
      </c>
      <c r="C71" s="89" t="s">
        <v>1064</v>
      </c>
      <c r="D71" s="89">
        <v>205256907</v>
      </c>
      <c r="E71" s="494" t="s">
        <v>1035</v>
      </c>
      <c r="F71" s="78">
        <v>3125</v>
      </c>
      <c r="G71" s="78"/>
      <c r="H71" s="89" t="s">
        <v>1094</v>
      </c>
      <c r="I71" s="89" t="s">
        <v>1055</v>
      </c>
      <c r="J71" s="500">
        <v>3.3000000000000002E-2</v>
      </c>
      <c r="K71" s="419">
        <f t="shared" si="1"/>
        <v>103.125</v>
      </c>
      <c r="L71" s="89" t="s">
        <v>1067</v>
      </c>
    </row>
    <row r="72" spans="1:12" ht="30" x14ac:dyDescent="0.2">
      <c r="A72" s="493">
        <v>63</v>
      </c>
      <c r="B72" s="501" t="s">
        <v>361</v>
      </c>
      <c r="C72" s="89" t="s">
        <v>1064</v>
      </c>
      <c r="D72" s="89">
        <v>205256907</v>
      </c>
      <c r="E72" s="494" t="s">
        <v>1035</v>
      </c>
      <c r="F72" s="78">
        <v>3125</v>
      </c>
      <c r="G72" s="78"/>
      <c r="H72" s="89" t="s">
        <v>1095</v>
      </c>
      <c r="I72" s="89" t="s">
        <v>1055</v>
      </c>
      <c r="J72" s="500">
        <v>3.3000000000000002E-2</v>
      </c>
      <c r="K72" s="419">
        <f t="shared" si="1"/>
        <v>103.125</v>
      </c>
      <c r="L72" s="89" t="s">
        <v>1067</v>
      </c>
    </row>
    <row r="73" spans="1:12" ht="30" x14ac:dyDescent="0.2">
      <c r="A73" s="493">
        <v>64</v>
      </c>
      <c r="B73" s="501" t="s">
        <v>361</v>
      </c>
      <c r="C73" s="89" t="s">
        <v>1064</v>
      </c>
      <c r="D73" s="89">
        <v>205256907</v>
      </c>
      <c r="E73" s="494" t="s">
        <v>1035</v>
      </c>
      <c r="F73" s="78">
        <v>3125</v>
      </c>
      <c r="G73" s="78"/>
      <c r="H73" s="89" t="s">
        <v>1096</v>
      </c>
      <c r="I73" s="89" t="s">
        <v>1055</v>
      </c>
      <c r="J73" s="500">
        <v>3.3000000000000002E-2</v>
      </c>
      <c r="K73" s="419">
        <f t="shared" si="1"/>
        <v>103.125</v>
      </c>
      <c r="L73" s="89" t="s">
        <v>1067</v>
      </c>
    </row>
    <row r="74" spans="1:12" ht="51.75" customHeight="1" x14ac:dyDescent="0.2">
      <c r="A74" s="493">
        <v>65</v>
      </c>
      <c r="B74" s="501" t="s">
        <v>361</v>
      </c>
      <c r="C74" s="89" t="s">
        <v>1064</v>
      </c>
      <c r="D74" s="89">
        <v>205256907</v>
      </c>
      <c r="E74" s="494" t="s">
        <v>1035</v>
      </c>
      <c r="F74" s="78">
        <v>5000</v>
      </c>
      <c r="G74" s="78"/>
      <c r="H74" s="89" t="s">
        <v>1097</v>
      </c>
      <c r="I74" s="89" t="s">
        <v>1055</v>
      </c>
      <c r="J74" s="500">
        <v>3.3000000000000002E-2</v>
      </c>
      <c r="K74" s="419">
        <f>F74*J74</f>
        <v>165</v>
      </c>
      <c r="L74" s="89" t="s">
        <v>1067</v>
      </c>
    </row>
    <row r="75" spans="1:12" ht="51.75" customHeight="1" x14ac:dyDescent="0.2">
      <c r="A75" s="493">
        <v>66</v>
      </c>
      <c r="B75" s="501" t="s">
        <v>361</v>
      </c>
      <c r="C75" s="89" t="s">
        <v>1064</v>
      </c>
      <c r="D75" s="89">
        <v>205256907</v>
      </c>
      <c r="E75" s="494" t="s">
        <v>1035</v>
      </c>
      <c r="F75" s="78">
        <v>3125</v>
      </c>
      <c r="G75" s="78"/>
      <c r="H75" s="89" t="s">
        <v>1098</v>
      </c>
      <c r="I75" s="89" t="s">
        <v>1055</v>
      </c>
      <c r="J75" s="500">
        <v>3.3000000000000002E-2</v>
      </c>
      <c r="K75" s="419">
        <f t="shared" si="1"/>
        <v>103.125</v>
      </c>
      <c r="L75" s="89" t="s">
        <v>1067</v>
      </c>
    </row>
    <row r="76" spans="1:12" ht="51.75" customHeight="1" x14ac:dyDescent="0.2">
      <c r="A76" s="493">
        <v>67</v>
      </c>
      <c r="B76" s="501" t="s">
        <v>361</v>
      </c>
      <c r="C76" s="89" t="s">
        <v>1064</v>
      </c>
      <c r="D76" s="89">
        <v>205256907</v>
      </c>
      <c r="E76" s="494" t="s">
        <v>1035</v>
      </c>
      <c r="F76" s="78">
        <v>3125</v>
      </c>
      <c r="G76" s="78"/>
      <c r="H76" s="89" t="s">
        <v>1099</v>
      </c>
      <c r="I76" s="89" t="s">
        <v>1055</v>
      </c>
      <c r="J76" s="500">
        <v>3.3000000000000002E-2</v>
      </c>
      <c r="K76" s="419">
        <f t="shared" si="1"/>
        <v>103.125</v>
      </c>
      <c r="L76" s="89" t="s">
        <v>1067</v>
      </c>
    </row>
    <row r="77" spans="1:12" ht="51.75" customHeight="1" x14ac:dyDescent="0.2">
      <c r="A77" s="493">
        <v>68</v>
      </c>
      <c r="B77" s="501" t="s">
        <v>361</v>
      </c>
      <c r="C77" s="89" t="s">
        <v>1064</v>
      </c>
      <c r="D77" s="89">
        <v>205256907</v>
      </c>
      <c r="E77" s="494" t="s">
        <v>1035</v>
      </c>
      <c r="F77" s="78">
        <v>3125</v>
      </c>
      <c r="G77" s="78"/>
      <c r="H77" s="89" t="s">
        <v>1100</v>
      </c>
      <c r="I77" s="89" t="s">
        <v>1055</v>
      </c>
      <c r="J77" s="500">
        <v>3.3000000000000002E-2</v>
      </c>
      <c r="K77" s="419">
        <f t="shared" si="1"/>
        <v>103.125</v>
      </c>
      <c r="L77" s="89" t="s">
        <v>1067</v>
      </c>
    </row>
    <row r="78" spans="1:12" ht="51.75" customHeight="1" x14ac:dyDescent="0.2">
      <c r="A78" s="493">
        <v>69</v>
      </c>
      <c r="B78" s="501" t="s">
        <v>361</v>
      </c>
      <c r="C78" s="89" t="s">
        <v>1064</v>
      </c>
      <c r="D78" s="89">
        <v>205256907</v>
      </c>
      <c r="E78" s="494" t="s">
        <v>1035</v>
      </c>
      <c r="F78" s="78">
        <v>3125</v>
      </c>
      <c r="G78" s="78"/>
      <c r="H78" s="89" t="s">
        <v>1101</v>
      </c>
      <c r="I78" s="89" t="s">
        <v>1055</v>
      </c>
      <c r="J78" s="500">
        <v>3.3000000000000002E-2</v>
      </c>
      <c r="K78" s="419">
        <f t="shared" si="1"/>
        <v>103.125</v>
      </c>
      <c r="L78" s="89" t="s">
        <v>1067</v>
      </c>
    </row>
    <row r="79" spans="1:12" ht="51.75" customHeight="1" x14ac:dyDescent="0.2">
      <c r="A79" s="493">
        <v>70</v>
      </c>
      <c r="B79" s="501" t="s">
        <v>361</v>
      </c>
      <c r="C79" s="89" t="s">
        <v>1064</v>
      </c>
      <c r="D79" s="89">
        <v>205256907</v>
      </c>
      <c r="E79" s="494" t="s">
        <v>1035</v>
      </c>
      <c r="F79" s="78">
        <v>3125</v>
      </c>
      <c r="G79" s="78"/>
      <c r="H79" s="89" t="s">
        <v>1102</v>
      </c>
      <c r="I79" s="89" t="s">
        <v>1055</v>
      </c>
      <c r="J79" s="500">
        <v>3.3000000000000002E-2</v>
      </c>
      <c r="K79" s="419">
        <f t="shared" si="1"/>
        <v>103.125</v>
      </c>
      <c r="L79" s="89" t="s">
        <v>1067</v>
      </c>
    </row>
    <row r="80" spans="1:12" ht="51.75" customHeight="1" x14ac:dyDescent="0.2">
      <c r="A80" s="493">
        <v>71</v>
      </c>
      <c r="B80" s="501" t="s">
        <v>361</v>
      </c>
      <c r="C80" s="89" t="s">
        <v>1064</v>
      </c>
      <c r="D80" s="89">
        <v>205256907</v>
      </c>
      <c r="E80" s="494" t="s">
        <v>1035</v>
      </c>
      <c r="F80" s="78">
        <v>3125</v>
      </c>
      <c r="G80" s="78"/>
      <c r="H80" s="89" t="s">
        <v>1103</v>
      </c>
      <c r="I80" s="89" t="s">
        <v>1055</v>
      </c>
      <c r="J80" s="500">
        <v>3.3000000000000002E-2</v>
      </c>
      <c r="K80" s="419">
        <f t="shared" si="1"/>
        <v>103.125</v>
      </c>
      <c r="L80" s="89" t="s">
        <v>1067</v>
      </c>
    </row>
    <row r="81" spans="1:12" ht="51.75" customHeight="1" x14ac:dyDescent="0.2">
      <c r="A81" s="493">
        <v>72</v>
      </c>
      <c r="B81" s="501" t="s">
        <v>361</v>
      </c>
      <c r="C81" s="89" t="s">
        <v>1064</v>
      </c>
      <c r="D81" s="89">
        <v>205256907</v>
      </c>
      <c r="E81" s="494" t="s">
        <v>1035</v>
      </c>
      <c r="F81" s="78">
        <v>3125</v>
      </c>
      <c r="G81" s="78"/>
      <c r="H81" s="89" t="s">
        <v>1104</v>
      </c>
      <c r="I81" s="89" t="s">
        <v>1055</v>
      </c>
      <c r="J81" s="500">
        <v>3.3000000000000002E-2</v>
      </c>
      <c r="K81" s="419">
        <f t="shared" si="1"/>
        <v>103.125</v>
      </c>
      <c r="L81" s="89" t="s">
        <v>1067</v>
      </c>
    </row>
    <row r="82" spans="1:12" ht="30" x14ac:dyDescent="0.2">
      <c r="A82" s="493">
        <v>73</v>
      </c>
      <c r="B82" s="501" t="s">
        <v>361</v>
      </c>
      <c r="C82" s="89" t="s">
        <v>1064</v>
      </c>
      <c r="D82" s="89">
        <v>205256907</v>
      </c>
      <c r="E82" s="494" t="s">
        <v>1035</v>
      </c>
      <c r="F82" s="78">
        <v>3125</v>
      </c>
      <c r="G82" s="78"/>
      <c r="H82" s="89" t="s">
        <v>1105</v>
      </c>
      <c r="I82" s="89" t="s">
        <v>1055</v>
      </c>
      <c r="J82" s="500">
        <v>3.3000000000000002E-2</v>
      </c>
      <c r="K82" s="419">
        <f t="shared" si="1"/>
        <v>103.125</v>
      </c>
      <c r="L82" s="89" t="s">
        <v>1067</v>
      </c>
    </row>
    <row r="83" spans="1:12" ht="30" x14ac:dyDescent="0.2">
      <c r="A83" s="493">
        <v>74</v>
      </c>
      <c r="B83" s="501" t="s">
        <v>361</v>
      </c>
      <c r="C83" s="89" t="s">
        <v>1064</v>
      </c>
      <c r="D83" s="89">
        <v>205256907</v>
      </c>
      <c r="E83" s="494" t="s">
        <v>1035</v>
      </c>
      <c r="F83" s="78">
        <v>3125</v>
      </c>
      <c r="G83" s="78"/>
      <c r="H83" s="89" t="s">
        <v>1106</v>
      </c>
      <c r="I83" s="89" t="s">
        <v>1055</v>
      </c>
      <c r="J83" s="500">
        <v>3.3000000000000002E-2</v>
      </c>
      <c r="K83" s="419">
        <f t="shared" si="1"/>
        <v>103.125</v>
      </c>
      <c r="L83" s="89" t="s">
        <v>1067</v>
      </c>
    </row>
    <row r="84" spans="1:12" ht="30" x14ac:dyDescent="0.2">
      <c r="A84" s="493">
        <v>75</v>
      </c>
      <c r="B84" s="501" t="s">
        <v>361</v>
      </c>
      <c r="C84" s="89" t="s">
        <v>1064</v>
      </c>
      <c r="D84" s="89">
        <v>205256907</v>
      </c>
      <c r="E84" s="494" t="s">
        <v>1035</v>
      </c>
      <c r="F84" s="78">
        <v>3125</v>
      </c>
      <c r="G84" s="78"/>
      <c r="H84" s="89" t="s">
        <v>537</v>
      </c>
      <c r="I84" s="89" t="s">
        <v>1055</v>
      </c>
      <c r="J84" s="500">
        <v>3.3000000000000002E-2</v>
      </c>
      <c r="K84" s="419">
        <f t="shared" si="1"/>
        <v>103.125</v>
      </c>
      <c r="L84" s="89" t="s">
        <v>1067</v>
      </c>
    </row>
    <row r="85" spans="1:12" ht="30" x14ac:dyDescent="0.2">
      <c r="A85" s="493">
        <v>76</v>
      </c>
      <c r="B85" s="501" t="s">
        <v>361</v>
      </c>
      <c r="C85" s="89" t="s">
        <v>1064</v>
      </c>
      <c r="D85" s="89">
        <v>205256907</v>
      </c>
      <c r="E85" s="494" t="s">
        <v>1035</v>
      </c>
      <c r="F85" s="78">
        <v>3125</v>
      </c>
      <c r="G85" s="78"/>
      <c r="H85" s="89" t="s">
        <v>633</v>
      </c>
      <c r="I85" s="89" t="s">
        <v>1055</v>
      </c>
      <c r="J85" s="500">
        <v>3.3000000000000002E-2</v>
      </c>
      <c r="K85" s="419">
        <f t="shared" si="1"/>
        <v>103.125</v>
      </c>
      <c r="L85" s="89" t="s">
        <v>1067</v>
      </c>
    </row>
    <row r="86" spans="1:12" ht="30" x14ac:dyDescent="0.2">
      <c r="A86" s="493">
        <v>77</v>
      </c>
      <c r="B86" s="501" t="s">
        <v>361</v>
      </c>
      <c r="C86" s="89" t="s">
        <v>1064</v>
      </c>
      <c r="D86" s="89">
        <v>205256907</v>
      </c>
      <c r="E86" s="494" t="s">
        <v>1035</v>
      </c>
      <c r="F86" s="78">
        <v>3125</v>
      </c>
      <c r="G86" s="78"/>
      <c r="H86" s="89" t="s">
        <v>1107</v>
      </c>
      <c r="I86" s="89" t="s">
        <v>1055</v>
      </c>
      <c r="J86" s="500">
        <v>3.3000000000000002E-2</v>
      </c>
      <c r="K86" s="419">
        <f t="shared" si="1"/>
        <v>103.125</v>
      </c>
      <c r="L86" s="89" t="s">
        <v>1067</v>
      </c>
    </row>
    <row r="87" spans="1:12" ht="30" x14ac:dyDescent="0.2">
      <c r="A87" s="493">
        <v>78</v>
      </c>
      <c r="B87" s="501" t="s">
        <v>361</v>
      </c>
      <c r="C87" s="89" t="s">
        <v>1064</v>
      </c>
      <c r="D87" s="89">
        <v>205256907</v>
      </c>
      <c r="E87" s="494" t="s">
        <v>1035</v>
      </c>
      <c r="F87" s="78">
        <v>3125</v>
      </c>
      <c r="G87" s="78"/>
      <c r="H87" s="89" t="s">
        <v>1108</v>
      </c>
      <c r="I87" s="89" t="s">
        <v>1055</v>
      </c>
      <c r="J87" s="500">
        <v>3.3000000000000002E-2</v>
      </c>
      <c r="K87" s="419">
        <f t="shared" si="1"/>
        <v>103.125</v>
      </c>
      <c r="L87" s="89" t="s">
        <v>1067</v>
      </c>
    </row>
    <row r="88" spans="1:12" ht="30" x14ac:dyDescent="0.2">
      <c r="A88" s="493">
        <v>79</v>
      </c>
      <c r="B88" s="501" t="s">
        <v>361</v>
      </c>
      <c r="C88" s="89" t="s">
        <v>1064</v>
      </c>
      <c r="D88" s="89">
        <v>205256907</v>
      </c>
      <c r="E88" s="494" t="s">
        <v>1035</v>
      </c>
      <c r="F88" s="78">
        <v>3125</v>
      </c>
      <c r="G88" s="78"/>
      <c r="H88" s="89" t="s">
        <v>1109</v>
      </c>
      <c r="I88" s="89" t="s">
        <v>1055</v>
      </c>
      <c r="J88" s="500">
        <v>3.3000000000000002E-2</v>
      </c>
      <c r="K88" s="419">
        <f t="shared" si="1"/>
        <v>103.125</v>
      </c>
      <c r="L88" s="89" t="s">
        <v>1067</v>
      </c>
    </row>
    <row r="89" spans="1:12" ht="30" x14ac:dyDescent="0.2">
      <c r="A89" s="493">
        <v>80</v>
      </c>
      <c r="B89" s="501" t="s">
        <v>361</v>
      </c>
      <c r="C89" s="89" t="s">
        <v>1064</v>
      </c>
      <c r="D89" s="89">
        <v>205256907</v>
      </c>
      <c r="E89" s="494" t="s">
        <v>1035</v>
      </c>
      <c r="F89" s="78">
        <v>3125</v>
      </c>
      <c r="G89" s="78"/>
      <c r="H89" s="89" t="s">
        <v>1110</v>
      </c>
      <c r="I89" s="89" t="s">
        <v>1055</v>
      </c>
      <c r="J89" s="500">
        <v>3.3000000000000002E-2</v>
      </c>
      <c r="K89" s="419">
        <f t="shared" si="1"/>
        <v>103.125</v>
      </c>
      <c r="L89" s="89" t="s">
        <v>1067</v>
      </c>
    </row>
    <row r="90" spans="1:12" ht="30" x14ac:dyDescent="0.2">
      <c r="A90" s="493">
        <v>81</v>
      </c>
      <c r="B90" s="501" t="s">
        <v>361</v>
      </c>
      <c r="C90" s="89" t="s">
        <v>1064</v>
      </c>
      <c r="D90" s="89">
        <v>205256907</v>
      </c>
      <c r="E90" s="494" t="s">
        <v>1035</v>
      </c>
      <c r="F90" s="78">
        <v>3125</v>
      </c>
      <c r="G90" s="78"/>
      <c r="H90" s="89" t="s">
        <v>1111</v>
      </c>
      <c r="I90" s="89" t="s">
        <v>1055</v>
      </c>
      <c r="J90" s="500">
        <v>3.3000000000000002E-2</v>
      </c>
      <c r="K90" s="419">
        <f t="shared" si="1"/>
        <v>103.125</v>
      </c>
      <c r="L90" s="89" t="s">
        <v>1067</v>
      </c>
    </row>
    <row r="91" spans="1:12" ht="30" x14ac:dyDescent="0.2">
      <c r="A91" s="493">
        <v>82</v>
      </c>
      <c r="B91" s="501" t="s">
        <v>361</v>
      </c>
      <c r="C91" s="89" t="s">
        <v>1064</v>
      </c>
      <c r="D91" s="89">
        <v>205256907</v>
      </c>
      <c r="E91" s="494" t="s">
        <v>1035</v>
      </c>
      <c r="F91" s="78">
        <v>3125</v>
      </c>
      <c r="G91" s="78"/>
      <c r="H91" s="89" t="s">
        <v>1112</v>
      </c>
      <c r="I91" s="89" t="s">
        <v>1055</v>
      </c>
      <c r="J91" s="500">
        <v>3.3000000000000002E-2</v>
      </c>
      <c r="K91" s="419">
        <f t="shared" si="1"/>
        <v>103.125</v>
      </c>
      <c r="L91" s="89" t="s">
        <v>1067</v>
      </c>
    </row>
    <row r="92" spans="1:12" ht="30" x14ac:dyDescent="0.2">
      <c r="A92" s="493">
        <v>83</v>
      </c>
      <c r="B92" s="501" t="s">
        <v>361</v>
      </c>
      <c r="C92" s="89" t="s">
        <v>1064</v>
      </c>
      <c r="D92" s="89">
        <v>205256907</v>
      </c>
      <c r="E92" s="494" t="s">
        <v>1035</v>
      </c>
      <c r="F92" s="78">
        <v>3125</v>
      </c>
      <c r="G92" s="78"/>
      <c r="H92" s="89" t="s">
        <v>1113</v>
      </c>
      <c r="I92" s="89" t="s">
        <v>1055</v>
      </c>
      <c r="J92" s="500">
        <v>3.3000000000000002E-2</v>
      </c>
      <c r="K92" s="419">
        <f t="shared" si="1"/>
        <v>103.125</v>
      </c>
      <c r="L92" s="89" t="s">
        <v>1067</v>
      </c>
    </row>
    <row r="93" spans="1:12" ht="30" x14ac:dyDescent="0.2">
      <c r="A93" s="493">
        <v>84</v>
      </c>
      <c r="B93" s="501" t="s">
        <v>361</v>
      </c>
      <c r="C93" s="89" t="s">
        <v>1064</v>
      </c>
      <c r="D93" s="89">
        <v>205256907</v>
      </c>
      <c r="E93" s="494" t="s">
        <v>1035</v>
      </c>
      <c r="F93" s="78">
        <v>3125</v>
      </c>
      <c r="G93" s="78"/>
      <c r="H93" s="89" t="s">
        <v>589</v>
      </c>
      <c r="I93" s="89" t="s">
        <v>1055</v>
      </c>
      <c r="J93" s="500">
        <v>3.3000000000000002E-2</v>
      </c>
      <c r="K93" s="419">
        <f t="shared" si="1"/>
        <v>103.125</v>
      </c>
      <c r="L93" s="89" t="s">
        <v>1067</v>
      </c>
    </row>
    <row r="94" spans="1:12" ht="30" x14ac:dyDescent="0.2">
      <c r="A94" s="493">
        <v>85</v>
      </c>
      <c r="B94" s="501" t="s">
        <v>361</v>
      </c>
      <c r="C94" s="89" t="s">
        <v>1064</v>
      </c>
      <c r="D94" s="89">
        <v>205256907</v>
      </c>
      <c r="E94" s="494" t="s">
        <v>1035</v>
      </c>
      <c r="F94" s="78">
        <v>3125</v>
      </c>
      <c r="G94" s="78"/>
      <c r="H94" s="89" t="s">
        <v>1114</v>
      </c>
      <c r="I94" s="89" t="s">
        <v>1055</v>
      </c>
      <c r="J94" s="500">
        <v>3.3000000000000002E-2</v>
      </c>
      <c r="K94" s="419">
        <f t="shared" si="1"/>
        <v>103.125</v>
      </c>
      <c r="L94" s="89" t="s">
        <v>1067</v>
      </c>
    </row>
    <row r="95" spans="1:12" ht="30" x14ac:dyDescent="0.2">
      <c r="A95" s="493">
        <v>86</v>
      </c>
      <c r="B95" s="501" t="s">
        <v>361</v>
      </c>
      <c r="C95" s="89" t="s">
        <v>1064</v>
      </c>
      <c r="D95" s="89">
        <v>205256907</v>
      </c>
      <c r="E95" s="494" t="s">
        <v>1035</v>
      </c>
      <c r="F95" s="78">
        <v>3125</v>
      </c>
      <c r="G95" s="78"/>
      <c r="H95" s="89" t="s">
        <v>623</v>
      </c>
      <c r="I95" s="89" t="s">
        <v>1055</v>
      </c>
      <c r="J95" s="500">
        <v>3.3000000000000002E-2</v>
      </c>
      <c r="K95" s="419">
        <f t="shared" si="1"/>
        <v>103.125</v>
      </c>
      <c r="L95" s="89" t="s">
        <v>1067</v>
      </c>
    </row>
    <row r="96" spans="1:12" ht="30" x14ac:dyDescent="0.2">
      <c r="A96" s="493">
        <v>87</v>
      </c>
      <c r="B96" s="501" t="s">
        <v>361</v>
      </c>
      <c r="C96" s="89" t="s">
        <v>1064</v>
      </c>
      <c r="D96" s="89">
        <v>205256907</v>
      </c>
      <c r="E96" s="494" t="s">
        <v>1035</v>
      </c>
      <c r="F96" s="78">
        <v>3125</v>
      </c>
      <c r="G96" s="78"/>
      <c r="H96" s="89" t="s">
        <v>1115</v>
      </c>
      <c r="I96" s="89" t="s">
        <v>1055</v>
      </c>
      <c r="J96" s="500">
        <v>3.3000000000000002E-2</v>
      </c>
      <c r="K96" s="419">
        <f t="shared" si="1"/>
        <v>103.125</v>
      </c>
      <c r="L96" s="89" t="s">
        <v>1067</v>
      </c>
    </row>
    <row r="97" spans="1:12" ht="30" x14ac:dyDescent="0.2">
      <c r="A97" s="493">
        <v>88</v>
      </c>
      <c r="B97" s="501" t="s">
        <v>361</v>
      </c>
      <c r="C97" s="89" t="s">
        <v>1064</v>
      </c>
      <c r="D97" s="89">
        <v>205256907</v>
      </c>
      <c r="E97" s="494" t="s">
        <v>1035</v>
      </c>
      <c r="F97" s="78">
        <v>3125</v>
      </c>
      <c r="G97" s="78"/>
      <c r="H97" s="78" t="s">
        <v>1116</v>
      </c>
      <c r="I97" s="89" t="s">
        <v>1055</v>
      </c>
      <c r="J97" s="500">
        <v>3.3000000000000002E-2</v>
      </c>
      <c r="K97" s="419">
        <f t="shared" si="1"/>
        <v>103.125</v>
      </c>
      <c r="L97" s="89" t="s">
        <v>1067</v>
      </c>
    </row>
    <row r="98" spans="1:12" ht="30" x14ac:dyDescent="0.2">
      <c r="A98" s="493">
        <v>89</v>
      </c>
      <c r="B98" s="501" t="s">
        <v>361</v>
      </c>
      <c r="C98" s="89" t="s">
        <v>1064</v>
      </c>
      <c r="D98" s="89">
        <v>205256907</v>
      </c>
      <c r="E98" s="494" t="s">
        <v>1035</v>
      </c>
      <c r="F98" s="78">
        <v>3125</v>
      </c>
      <c r="G98" s="78"/>
      <c r="H98" s="78" t="s">
        <v>1117</v>
      </c>
      <c r="I98" s="89" t="s">
        <v>1055</v>
      </c>
      <c r="J98" s="500">
        <v>3.3000000000000002E-2</v>
      </c>
      <c r="K98" s="419">
        <f t="shared" si="1"/>
        <v>103.125</v>
      </c>
      <c r="L98" s="89" t="s">
        <v>1067</v>
      </c>
    </row>
    <row r="99" spans="1:12" ht="51.75" customHeight="1" x14ac:dyDescent="0.2">
      <c r="A99" s="493">
        <v>90</v>
      </c>
      <c r="B99" s="501" t="s">
        <v>361</v>
      </c>
      <c r="C99" s="89" t="s">
        <v>1064</v>
      </c>
      <c r="D99" s="89">
        <v>205256907</v>
      </c>
      <c r="E99" s="494" t="s">
        <v>1035</v>
      </c>
      <c r="F99" s="78">
        <v>3125</v>
      </c>
      <c r="G99" s="78"/>
      <c r="H99" s="78" t="s">
        <v>1118</v>
      </c>
      <c r="I99" s="89" t="s">
        <v>1055</v>
      </c>
      <c r="J99" s="500">
        <v>3.3000000000000002E-2</v>
      </c>
      <c r="K99" s="419">
        <f t="shared" si="1"/>
        <v>103.125</v>
      </c>
      <c r="L99" s="89" t="s">
        <v>1067</v>
      </c>
    </row>
    <row r="100" spans="1:12" ht="51.75" customHeight="1" x14ac:dyDescent="0.2">
      <c r="A100" s="493">
        <v>91</v>
      </c>
      <c r="B100" s="501" t="s">
        <v>361</v>
      </c>
      <c r="C100" s="89" t="s">
        <v>1064</v>
      </c>
      <c r="D100" s="89">
        <v>205256907</v>
      </c>
      <c r="E100" s="494" t="s">
        <v>1035</v>
      </c>
      <c r="F100" s="78">
        <v>2750</v>
      </c>
      <c r="G100" s="78"/>
      <c r="H100" s="499" t="s">
        <v>604</v>
      </c>
      <c r="I100" s="89" t="s">
        <v>1055</v>
      </c>
      <c r="J100" s="500">
        <v>0.08</v>
      </c>
      <c r="K100" s="419">
        <f>F100*J100</f>
        <v>220</v>
      </c>
      <c r="L100" s="89" t="s">
        <v>1067</v>
      </c>
    </row>
    <row r="101" spans="1:12" ht="51.75" customHeight="1" x14ac:dyDescent="0.2">
      <c r="A101" s="493">
        <v>92</v>
      </c>
      <c r="B101" s="501" t="s">
        <v>361</v>
      </c>
      <c r="C101" s="89" t="s">
        <v>1064</v>
      </c>
      <c r="D101" s="89">
        <v>205256907</v>
      </c>
      <c r="E101" s="494" t="s">
        <v>1035</v>
      </c>
      <c r="F101" s="78">
        <v>2750</v>
      </c>
      <c r="G101" s="78"/>
      <c r="H101" s="499" t="s">
        <v>1080</v>
      </c>
      <c r="I101" s="89" t="s">
        <v>1055</v>
      </c>
      <c r="J101" s="500">
        <v>0.08</v>
      </c>
      <c r="K101" s="419">
        <f>F101*J101</f>
        <v>220</v>
      </c>
      <c r="L101" s="89" t="s">
        <v>1067</v>
      </c>
    </row>
    <row r="102" spans="1:12" ht="51.75" customHeight="1" x14ac:dyDescent="0.2">
      <c r="A102" s="493">
        <v>93</v>
      </c>
      <c r="B102" s="501" t="s">
        <v>361</v>
      </c>
      <c r="C102" s="89" t="s">
        <v>1064</v>
      </c>
      <c r="D102" s="89">
        <v>205256907</v>
      </c>
      <c r="E102" s="494" t="s">
        <v>1035</v>
      </c>
      <c r="F102" s="78">
        <v>2750</v>
      </c>
      <c r="G102" s="78"/>
      <c r="H102" s="499" t="s">
        <v>535</v>
      </c>
      <c r="I102" s="89" t="s">
        <v>1055</v>
      </c>
      <c r="J102" s="500">
        <v>0.08</v>
      </c>
      <c r="K102" s="419">
        <f>J102*F102</f>
        <v>220</v>
      </c>
      <c r="L102" s="89" t="s">
        <v>1067</v>
      </c>
    </row>
    <row r="103" spans="1:12" ht="51.75" customHeight="1" x14ac:dyDescent="0.2">
      <c r="A103" s="493">
        <v>94</v>
      </c>
      <c r="B103" s="501" t="s">
        <v>361</v>
      </c>
      <c r="C103" s="89" t="s">
        <v>1064</v>
      </c>
      <c r="D103" s="89">
        <v>205256907</v>
      </c>
      <c r="E103" s="494" t="s">
        <v>1035</v>
      </c>
      <c r="F103" s="78">
        <v>2750</v>
      </c>
      <c r="G103" s="78"/>
      <c r="H103" s="499" t="s">
        <v>1079</v>
      </c>
      <c r="I103" s="89" t="s">
        <v>1055</v>
      </c>
      <c r="J103" s="500">
        <v>0.08</v>
      </c>
      <c r="K103" s="419">
        <f t="shared" ref="K103:K105" si="2">J103*F103</f>
        <v>220</v>
      </c>
      <c r="L103" s="89" t="s">
        <v>1067</v>
      </c>
    </row>
    <row r="104" spans="1:12" ht="51.75" customHeight="1" x14ac:dyDescent="0.2">
      <c r="A104" s="493">
        <v>95</v>
      </c>
      <c r="B104" s="501" t="s">
        <v>361</v>
      </c>
      <c r="C104" s="89" t="s">
        <v>1064</v>
      </c>
      <c r="D104" s="89">
        <v>205256907</v>
      </c>
      <c r="E104" s="494" t="s">
        <v>1035</v>
      </c>
      <c r="F104" s="78">
        <v>10000</v>
      </c>
      <c r="G104" s="78"/>
      <c r="H104" s="499" t="s">
        <v>1070</v>
      </c>
      <c r="I104" s="89" t="s">
        <v>1055</v>
      </c>
      <c r="J104" s="500">
        <v>4.8000000000000001E-2</v>
      </c>
      <c r="K104" s="419">
        <f t="shared" si="2"/>
        <v>480</v>
      </c>
      <c r="L104" s="89" t="s">
        <v>1067</v>
      </c>
    </row>
    <row r="105" spans="1:12" ht="51.75" customHeight="1" x14ac:dyDescent="0.2">
      <c r="A105" s="493">
        <v>96</v>
      </c>
      <c r="B105" s="501" t="s">
        <v>361</v>
      </c>
      <c r="C105" s="89" t="s">
        <v>1064</v>
      </c>
      <c r="D105" s="89">
        <v>205256907</v>
      </c>
      <c r="E105" s="494" t="s">
        <v>1035</v>
      </c>
      <c r="F105" s="78">
        <f>3125+6875</f>
        <v>10000</v>
      </c>
      <c r="G105" s="78"/>
      <c r="H105" s="499" t="s">
        <v>1081</v>
      </c>
      <c r="I105" s="89" t="s">
        <v>1055</v>
      </c>
      <c r="J105" s="500">
        <v>4.8000000000000001E-2</v>
      </c>
      <c r="K105" s="419">
        <f t="shared" si="2"/>
        <v>480</v>
      </c>
      <c r="L105" s="89" t="s">
        <v>1067</v>
      </c>
    </row>
    <row r="106" spans="1:12" ht="51.75" customHeight="1" x14ac:dyDescent="0.2">
      <c r="A106" s="493">
        <v>97</v>
      </c>
      <c r="B106" s="501" t="s">
        <v>361</v>
      </c>
      <c r="C106" s="89" t="s">
        <v>1064</v>
      </c>
      <c r="D106" s="89">
        <v>205256907</v>
      </c>
      <c r="E106" s="494" t="s">
        <v>1035</v>
      </c>
      <c r="F106" s="78">
        <v>2000</v>
      </c>
      <c r="G106" s="78"/>
      <c r="H106" s="499" t="s">
        <v>1066</v>
      </c>
      <c r="I106" s="89" t="s">
        <v>1055</v>
      </c>
      <c r="J106" s="500">
        <v>9.8000000000000004E-2</v>
      </c>
      <c r="K106" s="419">
        <f>J106*F106</f>
        <v>196</v>
      </c>
      <c r="L106" s="89" t="s">
        <v>1119</v>
      </c>
    </row>
    <row r="107" spans="1:12" ht="51.75" customHeight="1" x14ac:dyDescent="0.2">
      <c r="A107" s="493">
        <v>98</v>
      </c>
      <c r="B107" s="501" t="s">
        <v>361</v>
      </c>
      <c r="C107" s="89" t="s">
        <v>1064</v>
      </c>
      <c r="D107" s="89">
        <v>205256907</v>
      </c>
      <c r="E107" s="494" t="s">
        <v>1035</v>
      </c>
      <c r="F107" s="78">
        <v>3000</v>
      </c>
      <c r="G107" s="78"/>
      <c r="H107" s="499" t="s">
        <v>1068</v>
      </c>
      <c r="I107" s="89" t="s">
        <v>1055</v>
      </c>
      <c r="J107" s="500">
        <v>9.8000000000000004E-2</v>
      </c>
      <c r="K107" s="419">
        <f t="shared" ref="K107:K170" si="3">J107*F107</f>
        <v>294</v>
      </c>
      <c r="L107" s="89" t="s">
        <v>1119</v>
      </c>
    </row>
    <row r="108" spans="1:12" ht="51.75" customHeight="1" x14ac:dyDescent="0.2">
      <c r="A108" s="493">
        <v>99</v>
      </c>
      <c r="B108" s="501" t="s">
        <v>361</v>
      </c>
      <c r="C108" s="89" t="s">
        <v>1064</v>
      </c>
      <c r="D108" s="89">
        <v>205256907</v>
      </c>
      <c r="E108" s="494" t="s">
        <v>1035</v>
      </c>
      <c r="F108" s="78">
        <v>2000</v>
      </c>
      <c r="G108" s="78"/>
      <c r="H108" s="499" t="s">
        <v>1069</v>
      </c>
      <c r="I108" s="89" t="s">
        <v>1055</v>
      </c>
      <c r="J108" s="500">
        <v>9.8000000000000004E-2</v>
      </c>
      <c r="K108" s="419">
        <f t="shared" si="3"/>
        <v>196</v>
      </c>
      <c r="L108" s="89" t="s">
        <v>1119</v>
      </c>
    </row>
    <row r="109" spans="1:12" ht="51.75" customHeight="1" x14ac:dyDescent="0.2">
      <c r="A109" s="493">
        <v>100</v>
      </c>
      <c r="B109" s="501" t="s">
        <v>361</v>
      </c>
      <c r="C109" s="89" t="s">
        <v>1064</v>
      </c>
      <c r="D109" s="89">
        <v>205256907</v>
      </c>
      <c r="E109" s="494" t="s">
        <v>1035</v>
      </c>
      <c r="F109" s="78">
        <v>2000</v>
      </c>
      <c r="G109" s="78"/>
      <c r="H109" s="499" t="s">
        <v>604</v>
      </c>
      <c r="I109" s="89" t="s">
        <v>1055</v>
      </c>
      <c r="J109" s="500">
        <v>9.8000000000000004E-2</v>
      </c>
      <c r="K109" s="419">
        <f t="shared" si="3"/>
        <v>196</v>
      </c>
      <c r="L109" s="89" t="s">
        <v>1119</v>
      </c>
    </row>
    <row r="110" spans="1:12" ht="51.75" customHeight="1" x14ac:dyDescent="0.2">
      <c r="A110" s="493">
        <v>101</v>
      </c>
      <c r="B110" s="501" t="s">
        <v>361</v>
      </c>
      <c r="C110" s="89" t="s">
        <v>1064</v>
      </c>
      <c r="D110" s="89">
        <v>205256907</v>
      </c>
      <c r="E110" s="494" t="s">
        <v>1035</v>
      </c>
      <c r="F110" s="78">
        <f>2000+2000</f>
        <v>4000</v>
      </c>
      <c r="G110" s="78"/>
      <c r="H110" s="499" t="s">
        <v>1070</v>
      </c>
      <c r="I110" s="89" t="s">
        <v>1055</v>
      </c>
      <c r="J110" s="500">
        <v>9.8000000000000004E-2</v>
      </c>
      <c r="K110" s="419">
        <f t="shared" si="3"/>
        <v>392</v>
      </c>
      <c r="L110" s="89" t="s">
        <v>1119</v>
      </c>
    </row>
    <row r="111" spans="1:12" ht="51.75" customHeight="1" x14ac:dyDescent="0.2">
      <c r="A111" s="493">
        <v>102</v>
      </c>
      <c r="B111" s="501" t="s">
        <v>361</v>
      </c>
      <c r="C111" s="89" t="s">
        <v>1064</v>
      </c>
      <c r="D111" s="89">
        <v>205256907</v>
      </c>
      <c r="E111" s="494" t="s">
        <v>1035</v>
      </c>
      <c r="F111" s="78">
        <v>2000</v>
      </c>
      <c r="G111" s="78"/>
      <c r="H111" s="499" t="s">
        <v>1071</v>
      </c>
      <c r="I111" s="89" t="s">
        <v>1055</v>
      </c>
      <c r="J111" s="500">
        <v>9.8000000000000004E-2</v>
      </c>
      <c r="K111" s="419">
        <f t="shared" si="3"/>
        <v>196</v>
      </c>
      <c r="L111" s="89" t="s">
        <v>1119</v>
      </c>
    </row>
    <row r="112" spans="1:12" ht="51.75" customHeight="1" x14ac:dyDescent="0.2">
      <c r="A112" s="493">
        <v>103</v>
      </c>
      <c r="B112" s="501" t="s">
        <v>361</v>
      </c>
      <c r="C112" s="89" t="s">
        <v>1064</v>
      </c>
      <c r="D112" s="89">
        <v>205256907</v>
      </c>
      <c r="E112" s="494" t="s">
        <v>1035</v>
      </c>
      <c r="F112" s="78">
        <v>2000</v>
      </c>
      <c r="G112" s="78"/>
      <c r="H112" s="499" t="s">
        <v>1072</v>
      </c>
      <c r="I112" s="89" t="s">
        <v>1055</v>
      </c>
      <c r="J112" s="500">
        <v>9.8000000000000004E-2</v>
      </c>
      <c r="K112" s="419">
        <f t="shared" si="3"/>
        <v>196</v>
      </c>
      <c r="L112" s="89" t="s">
        <v>1119</v>
      </c>
    </row>
    <row r="113" spans="1:12" ht="51.75" customHeight="1" x14ac:dyDescent="0.2">
      <c r="A113" s="493">
        <v>104</v>
      </c>
      <c r="B113" s="501" t="s">
        <v>361</v>
      </c>
      <c r="C113" s="89" t="s">
        <v>1064</v>
      </c>
      <c r="D113" s="89">
        <v>205256907</v>
      </c>
      <c r="E113" s="494" t="s">
        <v>1035</v>
      </c>
      <c r="F113" s="78">
        <v>2000</v>
      </c>
      <c r="G113" s="78"/>
      <c r="H113" s="499" t="s">
        <v>1073</v>
      </c>
      <c r="I113" s="89" t="s">
        <v>1055</v>
      </c>
      <c r="J113" s="500">
        <v>9.8000000000000004E-2</v>
      </c>
      <c r="K113" s="419">
        <f t="shared" si="3"/>
        <v>196</v>
      </c>
      <c r="L113" s="89" t="s">
        <v>1119</v>
      </c>
    </row>
    <row r="114" spans="1:12" ht="51.75" customHeight="1" x14ac:dyDescent="0.2">
      <c r="A114" s="493">
        <v>105</v>
      </c>
      <c r="B114" s="501" t="s">
        <v>361</v>
      </c>
      <c r="C114" s="89" t="s">
        <v>1064</v>
      </c>
      <c r="D114" s="89">
        <v>205256907</v>
      </c>
      <c r="E114" s="494" t="s">
        <v>1035</v>
      </c>
      <c r="F114" s="78">
        <v>2000</v>
      </c>
      <c r="G114" s="78"/>
      <c r="H114" s="499" t="s">
        <v>1074</v>
      </c>
      <c r="I114" s="89" t="s">
        <v>1055</v>
      </c>
      <c r="J114" s="500">
        <v>9.8000000000000004E-2</v>
      </c>
      <c r="K114" s="419">
        <f t="shared" si="3"/>
        <v>196</v>
      </c>
      <c r="L114" s="89" t="s">
        <v>1119</v>
      </c>
    </row>
    <row r="115" spans="1:12" ht="51.75" customHeight="1" x14ac:dyDescent="0.2">
      <c r="A115" s="493">
        <v>106</v>
      </c>
      <c r="B115" s="501" t="s">
        <v>361</v>
      </c>
      <c r="C115" s="89" t="s">
        <v>1064</v>
      </c>
      <c r="D115" s="89">
        <v>205256907</v>
      </c>
      <c r="E115" s="494" t="s">
        <v>1035</v>
      </c>
      <c r="F115" s="78">
        <v>2000</v>
      </c>
      <c r="G115" s="78"/>
      <c r="H115" s="499" t="s">
        <v>1075</v>
      </c>
      <c r="I115" s="89" t="s">
        <v>1055</v>
      </c>
      <c r="J115" s="500">
        <v>9.8000000000000004E-2</v>
      </c>
      <c r="K115" s="419">
        <f t="shared" si="3"/>
        <v>196</v>
      </c>
      <c r="L115" s="89" t="s">
        <v>1119</v>
      </c>
    </row>
    <row r="116" spans="1:12" ht="51.75" customHeight="1" x14ac:dyDescent="0.2">
      <c r="A116" s="493">
        <v>107</v>
      </c>
      <c r="B116" s="501" t="s">
        <v>361</v>
      </c>
      <c r="C116" s="89" t="s">
        <v>1064</v>
      </c>
      <c r="D116" s="89">
        <v>205256907</v>
      </c>
      <c r="E116" s="494" t="s">
        <v>1035</v>
      </c>
      <c r="F116" s="78">
        <v>2000</v>
      </c>
      <c r="G116" s="78"/>
      <c r="H116" s="499" t="s">
        <v>1120</v>
      </c>
      <c r="I116" s="89" t="s">
        <v>1055</v>
      </c>
      <c r="J116" s="500">
        <v>9.8000000000000004E-2</v>
      </c>
      <c r="K116" s="419">
        <f t="shared" si="3"/>
        <v>196</v>
      </c>
      <c r="L116" s="89" t="s">
        <v>1119</v>
      </c>
    </row>
    <row r="117" spans="1:12" ht="51.75" customHeight="1" x14ac:dyDescent="0.2">
      <c r="A117" s="493">
        <v>108</v>
      </c>
      <c r="B117" s="501" t="s">
        <v>361</v>
      </c>
      <c r="C117" s="89" t="s">
        <v>1064</v>
      </c>
      <c r="D117" s="89">
        <v>205256907</v>
      </c>
      <c r="E117" s="494" t="s">
        <v>1035</v>
      </c>
      <c r="F117" s="78">
        <v>2000</v>
      </c>
      <c r="G117" s="78"/>
      <c r="H117" s="499" t="s">
        <v>1077</v>
      </c>
      <c r="I117" s="89" t="s">
        <v>1055</v>
      </c>
      <c r="J117" s="500">
        <v>9.8000000000000004E-2</v>
      </c>
      <c r="K117" s="419">
        <f t="shared" si="3"/>
        <v>196</v>
      </c>
      <c r="L117" s="89" t="s">
        <v>1119</v>
      </c>
    </row>
    <row r="118" spans="1:12" ht="51.75" customHeight="1" x14ac:dyDescent="0.2">
      <c r="A118" s="493">
        <v>109</v>
      </c>
      <c r="B118" s="501" t="s">
        <v>361</v>
      </c>
      <c r="C118" s="89" t="s">
        <v>1064</v>
      </c>
      <c r="D118" s="89">
        <v>205256907</v>
      </c>
      <c r="E118" s="494" t="s">
        <v>1035</v>
      </c>
      <c r="F118" s="78">
        <v>2000</v>
      </c>
      <c r="G118" s="78"/>
      <c r="H118" s="499" t="s">
        <v>1078</v>
      </c>
      <c r="I118" s="89" t="s">
        <v>1055</v>
      </c>
      <c r="J118" s="500">
        <v>9.8000000000000004E-2</v>
      </c>
      <c r="K118" s="419">
        <f t="shared" si="3"/>
        <v>196</v>
      </c>
      <c r="L118" s="89" t="s">
        <v>1119</v>
      </c>
    </row>
    <row r="119" spans="1:12" ht="51.75" customHeight="1" x14ac:dyDescent="0.2">
      <c r="A119" s="493">
        <v>110</v>
      </c>
      <c r="B119" s="501" t="s">
        <v>361</v>
      </c>
      <c r="C119" s="89" t="s">
        <v>1064</v>
      </c>
      <c r="D119" s="89">
        <v>205256907</v>
      </c>
      <c r="E119" s="494" t="s">
        <v>1035</v>
      </c>
      <c r="F119" s="78">
        <v>2000</v>
      </c>
      <c r="G119" s="78"/>
      <c r="H119" s="499" t="s">
        <v>1079</v>
      </c>
      <c r="I119" s="89" t="s">
        <v>1055</v>
      </c>
      <c r="J119" s="500">
        <v>9.8000000000000004E-2</v>
      </c>
      <c r="K119" s="419">
        <f t="shared" si="3"/>
        <v>196</v>
      </c>
      <c r="L119" s="89" t="s">
        <v>1119</v>
      </c>
    </row>
    <row r="120" spans="1:12" ht="51.75" customHeight="1" x14ac:dyDescent="0.2">
      <c r="A120" s="493">
        <v>111</v>
      </c>
      <c r="B120" s="501" t="s">
        <v>361</v>
      </c>
      <c r="C120" s="89" t="s">
        <v>1064</v>
      </c>
      <c r="D120" s="89">
        <v>205256907</v>
      </c>
      <c r="E120" s="494" t="s">
        <v>1035</v>
      </c>
      <c r="F120" s="78">
        <v>2000</v>
      </c>
      <c r="G120" s="78"/>
      <c r="H120" s="499" t="s">
        <v>1080</v>
      </c>
      <c r="I120" s="89" t="s">
        <v>1055</v>
      </c>
      <c r="J120" s="500">
        <v>9.8000000000000004E-2</v>
      </c>
      <c r="K120" s="419">
        <f t="shared" si="3"/>
        <v>196</v>
      </c>
      <c r="L120" s="89" t="s">
        <v>1119</v>
      </c>
    </row>
    <row r="121" spans="1:12" ht="51.75" customHeight="1" x14ac:dyDescent="0.2">
      <c r="A121" s="493">
        <v>112</v>
      </c>
      <c r="B121" s="501" t="s">
        <v>361</v>
      </c>
      <c r="C121" s="89" t="s">
        <v>1064</v>
      </c>
      <c r="D121" s="89">
        <v>205256907</v>
      </c>
      <c r="E121" s="494" t="s">
        <v>1035</v>
      </c>
      <c r="F121" s="78">
        <v>3000</v>
      </c>
      <c r="G121" s="78"/>
      <c r="H121" s="499" t="s">
        <v>1081</v>
      </c>
      <c r="I121" s="89" t="s">
        <v>1055</v>
      </c>
      <c r="J121" s="500">
        <v>9.8000000000000004E-2</v>
      </c>
      <c r="K121" s="419">
        <f t="shared" si="3"/>
        <v>294</v>
      </c>
      <c r="L121" s="89" t="s">
        <v>1119</v>
      </c>
    </row>
    <row r="122" spans="1:12" ht="30" x14ac:dyDescent="0.2">
      <c r="A122" s="493">
        <v>113</v>
      </c>
      <c r="B122" s="501" t="s">
        <v>361</v>
      </c>
      <c r="C122" s="89" t="s">
        <v>1064</v>
      </c>
      <c r="D122" s="89">
        <v>205256907</v>
      </c>
      <c r="E122" s="494" t="s">
        <v>1035</v>
      </c>
      <c r="F122" s="78">
        <v>2000</v>
      </c>
      <c r="G122" s="78"/>
      <c r="H122" s="499" t="s">
        <v>1082</v>
      </c>
      <c r="I122" s="89" t="s">
        <v>1055</v>
      </c>
      <c r="J122" s="500">
        <v>9.8000000000000004E-2</v>
      </c>
      <c r="K122" s="419">
        <f t="shared" si="3"/>
        <v>196</v>
      </c>
      <c r="L122" s="89" t="s">
        <v>1119</v>
      </c>
    </row>
    <row r="123" spans="1:12" ht="30" x14ac:dyDescent="0.2">
      <c r="A123" s="493">
        <v>114</v>
      </c>
      <c r="B123" s="501" t="s">
        <v>361</v>
      </c>
      <c r="C123" s="89" t="s">
        <v>1064</v>
      </c>
      <c r="D123" s="89">
        <v>205256907</v>
      </c>
      <c r="E123" s="494" t="s">
        <v>1035</v>
      </c>
      <c r="F123" s="78">
        <v>2000</v>
      </c>
      <c r="G123" s="78"/>
      <c r="H123" s="499" t="s">
        <v>585</v>
      </c>
      <c r="I123" s="89" t="s">
        <v>1055</v>
      </c>
      <c r="J123" s="500">
        <v>9.8000000000000004E-2</v>
      </c>
      <c r="K123" s="419">
        <f t="shared" si="3"/>
        <v>196</v>
      </c>
      <c r="L123" s="89" t="s">
        <v>1119</v>
      </c>
    </row>
    <row r="124" spans="1:12" ht="30" x14ac:dyDescent="0.2">
      <c r="A124" s="493">
        <v>115</v>
      </c>
      <c r="B124" s="501" t="s">
        <v>361</v>
      </c>
      <c r="C124" s="89" t="s">
        <v>1064</v>
      </c>
      <c r="D124" s="89">
        <v>205256907</v>
      </c>
      <c r="E124" s="494" t="s">
        <v>1035</v>
      </c>
      <c r="F124" s="78">
        <v>2000</v>
      </c>
      <c r="G124" s="78"/>
      <c r="H124" s="499" t="s">
        <v>535</v>
      </c>
      <c r="I124" s="89" t="s">
        <v>1055</v>
      </c>
      <c r="J124" s="500">
        <v>9.8000000000000004E-2</v>
      </c>
      <c r="K124" s="419">
        <f t="shared" si="3"/>
        <v>196</v>
      </c>
      <c r="L124" s="89" t="s">
        <v>1119</v>
      </c>
    </row>
    <row r="125" spans="1:12" ht="30" x14ac:dyDescent="0.2">
      <c r="A125" s="493">
        <v>116</v>
      </c>
      <c r="B125" s="501" t="s">
        <v>361</v>
      </c>
      <c r="C125" s="89" t="s">
        <v>1064</v>
      </c>
      <c r="D125" s="89">
        <v>205256907</v>
      </c>
      <c r="E125" s="494" t="s">
        <v>1035</v>
      </c>
      <c r="F125" s="78">
        <v>2000</v>
      </c>
      <c r="G125" s="78"/>
      <c r="H125" s="499" t="s">
        <v>1058</v>
      </c>
      <c r="I125" s="89" t="s">
        <v>1055</v>
      </c>
      <c r="J125" s="500">
        <v>9.8000000000000004E-2</v>
      </c>
      <c r="K125" s="419">
        <f t="shared" si="3"/>
        <v>196</v>
      </c>
      <c r="L125" s="89" t="s">
        <v>1119</v>
      </c>
    </row>
    <row r="126" spans="1:12" ht="30" x14ac:dyDescent="0.2">
      <c r="A126" s="493">
        <v>117</v>
      </c>
      <c r="B126" s="501" t="s">
        <v>361</v>
      </c>
      <c r="C126" s="89" t="s">
        <v>1064</v>
      </c>
      <c r="D126" s="89">
        <v>205256907</v>
      </c>
      <c r="E126" s="494" t="s">
        <v>1035</v>
      </c>
      <c r="F126" s="78">
        <v>2000</v>
      </c>
      <c r="G126" s="78"/>
      <c r="H126" s="499" t="s">
        <v>1083</v>
      </c>
      <c r="I126" s="89" t="s">
        <v>1055</v>
      </c>
      <c r="J126" s="500">
        <v>9.8000000000000004E-2</v>
      </c>
      <c r="K126" s="419">
        <f t="shared" si="3"/>
        <v>196</v>
      </c>
      <c r="L126" s="89" t="s">
        <v>1119</v>
      </c>
    </row>
    <row r="127" spans="1:12" ht="30" x14ac:dyDescent="0.2">
      <c r="A127" s="493">
        <v>118</v>
      </c>
      <c r="B127" s="501" t="s">
        <v>361</v>
      </c>
      <c r="C127" s="89" t="s">
        <v>1064</v>
      </c>
      <c r="D127" s="89">
        <v>205256907</v>
      </c>
      <c r="E127" s="494" t="s">
        <v>1035</v>
      </c>
      <c r="F127" s="78">
        <v>2000</v>
      </c>
      <c r="G127" s="78"/>
      <c r="H127" s="499" t="s">
        <v>1084</v>
      </c>
      <c r="I127" s="89" t="s">
        <v>1055</v>
      </c>
      <c r="J127" s="500">
        <v>9.8000000000000004E-2</v>
      </c>
      <c r="K127" s="419">
        <f t="shared" si="3"/>
        <v>196</v>
      </c>
      <c r="L127" s="89" t="s">
        <v>1119</v>
      </c>
    </row>
    <row r="128" spans="1:12" ht="30" x14ac:dyDescent="0.2">
      <c r="A128" s="493">
        <v>119</v>
      </c>
      <c r="B128" s="501" t="s">
        <v>361</v>
      </c>
      <c r="C128" s="89" t="s">
        <v>1064</v>
      </c>
      <c r="D128" s="89">
        <v>205256907</v>
      </c>
      <c r="E128" s="494" t="s">
        <v>1035</v>
      </c>
      <c r="F128" s="78">
        <v>2000</v>
      </c>
      <c r="G128" s="78"/>
      <c r="H128" s="499" t="s">
        <v>1054</v>
      </c>
      <c r="I128" s="89" t="s">
        <v>1055</v>
      </c>
      <c r="J128" s="500">
        <v>9.8000000000000004E-2</v>
      </c>
      <c r="K128" s="419">
        <f t="shared" si="3"/>
        <v>196</v>
      </c>
      <c r="L128" s="89" t="s">
        <v>1119</v>
      </c>
    </row>
    <row r="129" spans="1:12" ht="30" x14ac:dyDescent="0.2">
      <c r="A129" s="493">
        <v>120</v>
      </c>
      <c r="B129" s="501" t="s">
        <v>361</v>
      </c>
      <c r="C129" s="89" t="s">
        <v>1064</v>
      </c>
      <c r="D129" s="89">
        <v>205256907</v>
      </c>
      <c r="E129" s="494" t="s">
        <v>1035</v>
      </c>
      <c r="F129" s="78">
        <v>2000</v>
      </c>
      <c r="G129" s="78"/>
      <c r="H129" s="499" t="s">
        <v>1085</v>
      </c>
      <c r="I129" s="89" t="s">
        <v>1055</v>
      </c>
      <c r="J129" s="500">
        <v>9.8000000000000004E-2</v>
      </c>
      <c r="K129" s="419">
        <f t="shared" si="3"/>
        <v>196</v>
      </c>
      <c r="L129" s="89" t="s">
        <v>1119</v>
      </c>
    </row>
    <row r="130" spans="1:12" ht="30" x14ac:dyDescent="0.2">
      <c r="A130" s="493">
        <v>121</v>
      </c>
      <c r="B130" s="501" t="s">
        <v>361</v>
      </c>
      <c r="C130" s="89" t="s">
        <v>1064</v>
      </c>
      <c r="D130" s="89">
        <v>205256907</v>
      </c>
      <c r="E130" s="494" t="s">
        <v>1035</v>
      </c>
      <c r="F130" s="78">
        <v>2000</v>
      </c>
      <c r="G130" s="78"/>
      <c r="H130" s="499" t="s">
        <v>567</v>
      </c>
      <c r="I130" s="89" t="s">
        <v>1055</v>
      </c>
      <c r="J130" s="500">
        <v>9.8000000000000004E-2</v>
      </c>
      <c r="K130" s="419">
        <f t="shared" si="3"/>
        <v>196</v>
      </c>
      <c r="L130" s="89" t="s">
        <v>1119</v>
      </c>
    </row>
    <row r="131" spans="1:12" ht="30" x14ac:dyDescent="0.2">
      <c r="A131" s="493">
        <v>122</v>
      </c>
      <c r="B131" s="501" t="s">
        <v>361</v>
      </c>
      <c r="C131" s="89" t="s">
        <v>1064</v>
      </c>
      <c r="D131" s="89">
        <v>205256907</v>
      </c>
      <c r="E131" s="494" t="s">
        <v>1035</v>
      </c>
      <c r="F131" s="78">
        <v>2000</v>
      </c>
      <c r="G131" s="78"/>
      <c r="H131" s="499" t="s">
        <v>1086</v>
      </c>
      <c r="I131" s="89" t="s">
        <v>1055</v>
      </c>
      <c r="J131" s="500">
        <v>9.8000000000000004E-2</v>
      </c>
      <c r="K131" s="419">
        <f t="shared" si="3"/>
        <v>196</v>
      </c>
      <c r="L131" s="89" t="s">
        <v>1119</v>
      </c>
    </row>
    <row r="132" spans="1:12" ht="30" x14ac:dyDescent="0.2">
      <c r="A132" s="493">
        <v>123</v>
      </c>
      <c r="B132" s="501" t="s">
        <v>361</v>
      </c>
      <c r="C132" s="89" t="s">
        <v>1064</v>
      </c>
      <c r="D132" s="89">
        <v>205256907</v>
      </c>
      <c r="E132" s="494" t="s">
        <v>1035</v>
      </c>
      <c r="F132" s="78">
        <v>2000</v>
      </c>
      <c r="G132" s="78"/>
      <c r="H132" s="499" t="s">
        <v>1088</v>
      </c>
      <c r="I132" s="89" t="s">
        <v>1055</v>
      </c>
      <c r="J132" s="500">
        <v>9.8000000000000004E-2</v>
      </c>
      <c r="K132" s="419">
        <f t="shared" si="3"/>
        <v>196</v>
      </c>
      <c r="L132" s="89" t="s">
        <v>1119</v>
      </c>
    </row>
    <row r="133" spans="1:12" ht="30" x14ac:dyDescent="0.2">
      <c r="A133" s="493">
        <v>124</v>
      </c>
      <c r="B133" s="501" t="s">
        <v>361</v>
      </c>
      <c r="C133" s="89" t="s">
        <v>1064</v>
      </c>
      <c r="D133" s="89">
        <v>205256907</v>
      </c>
      <c r="E133" s="494" t="s">
        <v>1035</v>
      </c>
      <c r="F133" s="78">
        <v>2000</v>
      </c>
      <c r="G133" s="78"/>
      <c r="H133" s="499" t="s">
        <v>646</v>
      </c>
      <c r="I133" s="89" t="s">
        <v>1055</v>
      </c>
      <c r="J133" s="500">
        <v>9.8000000000000004E-2</v>
      </c>
      <c r="K133" s="419">
        <f t="shared" si="3"/>
        <v>196</v>
      </c>
      <c r="L133" s="89" t="s">
        <v>1119</v>
      </c>
    </row>
    <row r="134" spans="1:12" ht="30" x14ac:dyDescent="0.2">
      <c r="A134" s="493">
        <v>125</v>
      </c>
      <c r="B134" s="501" t="s">
        <v>361</v>
      </c>
      <c r="C134" s="89" t="s">
        <v>1064</v>
      </c>
      <c r="D134" s="89">
        <v>205256907</v>
      </c>
      <c r="E134" s="494" t="s">
        <v>1035</v>
      </c>
      <c r="F134" s="78">
        <v>2000</v>
      </c>
      <c r="G134" s="78"/>
      <c r="H134" s="499" t="s">
        <v>1089</v>
      </c>
      <c r="I134" s="89" t="s">
        <v>1055</v>
      </c>
      <c r="J134" s="500">
        <v>9.8000000000000004E-2</v>
      </c>
      <c r="K134" s="419">
        <f t="shared" si="3"/>
        <v>196</v>
      </c>
      <c r="L134" s="89" t="s">
        <v>1119</v>
      </c>
    </row>
    <row r="135" spans="1:12" ht="30" x14ac:dyDescent="0.2">
      <c r="A135" s="493">
        <v>126</v>
      </c>
      <c r="B135" s="501" t="s">
        <v>361</v>
      </c>
      <c r="C135" s="89" t="s">
        <v>1064</v>
      </c>
      <c r="D135" s="89">
        <v>205256907</v>
      </c>
      <c r="E135" s="494" t="s">
        <v>1035</v>
      </c>
      <c r="F135" s="78">
        <v>2000</v>
      </c>
      <c r="G135" s="78"/>
      <c r="H135" s="499" t="s">
        <v>1090</v>
      </c>
      <c r="I135" s="89" t="s">
        <v>1055</v>
      </c>
      <c r="J135" s="500">
        <v>9.8000000000000004E-2</v>
      </c>
      <c r="K135" s="419">
        <f t="shared" si="3"/>
        <v>196</v>
      </c>
      <c r="L135" s="89" t="s">
        <v>1119</v>
      </c>
    </row>
    <row r="136" spans="1:12" ht="30" x14ac:dyDescent="0.2">
      <c r="A136" s="493">
        <v>127</v>
      </c>
      <c r="B136" s="501" t="s">
        <v>361</v>
      </c>
      <c r="C136" s="89" t="s">
        <v>1064</v>
      </c>
      <c r="D136" s="89">
        <v>205256907</v>
      </c>
      <c r="E136" s="494" t="s">
        <v>1035</v>
      </c>
      <c r="F136" s="78">
        <v>2000</v>
      </c>
      <c r="G136" s="78"/>
      <c r="H136" s="89" t="s">
        <v>1091</v>
      </c>
      <c r="I136" s="89" t="s">
        <v>1055</v>
      </c>
      <c r="J136" s="500">
        <v>9.8000000000000004E-2</v>
      </c>
      <c r="K136" s="419">
        <f t="shared" si="3"/>
        <v>196</v>
      </c>
      <c r="L136" s="89" t="s">
        <v>1119</v>
      </c>
    </row>
    <row r="137" spans="1:12" ht="30" x14ac:dyDescent="0.2">
      <c r="A137" s="493">
        <v>128</v>
      </c>
      <c r="B137" s="501" t="s">
        <v>361</v>
      </c>
      <c r="C137" s="89" t="s">
        <v>1064</v>
      </c>
      <c r="D137" s="89">
        <v>205256907</v>
      </c>
      <c r="E137" s="494" t="s">
        <v>1035</v>
      </c>
      <c r="F137" s="78">
        <v>2000</v>
      </c>
      <c r="G137" s="78"/>
      <c r="H137" s="89" t="s">
        <v>1092</v>
      </c>
      <c r="I137" s="89" t="s">
        <v>1055</v>
      </c>
      <c r="J137" s="500">
        <v>9.8000000000000004E-2</v>
      </c>
      <c r="K137" s="419">
        <f t="shared" si="3"/>
        <v>196</v>
      </c>
      <c r="L137" s="89" t="s">
        <v>1119</v>
      </c>
    </row>
    <row r="138" spans="1:12" ht="30" x14ac:dyDescent="0.2">
      <c r="A138" s="493">
        <v>129</v>
      </c>
      <c r="B138" s="501" t="s">
        <v>361</v>
      </c>
      <c r="C138" s="89" t="s">
        <v>1064</v>
      </c>
      <c r="D138" s="89">
        <v>205256907</v>
      </c>
      <c r="E138" s="494" t="s">
        <v>1035</v>
      </c>
      <c r="F138" s="78">
        <v>2000</v>
      </c>
      <c r="G138" s="78"/>
      <c r="H138" s="89" t="s">
        <v>1093</v>
      </c>
      <c r="I138" s="89" t="s">
        <v>1055</v>
      </c>
      <c r="J138" s="500">
        <v>9.8000000000000004E-2</v>
      </c>
      <c r="K138" s="419">
        <f t="shared" si="3"/>
        <v>196</v>
      </c>
      <c r="L138" s="89" t="s">
        <v>1119</v>
      </c>
    </row>
    <row r="139" spans="1:12" ht="51.75" customHeight="1" x14ac:dyDescent="0.2">
      <c r="A139" s="493">
        <v>130</v>
      </c>
      <c r="B139" s="501" t="s">
        <v>361</v>
      </c>
      <c r="C139" s="89" t="s">
        <v>1064</v>
      </c>
      <c r="D139" s="89">
        <v>205256907</v>
      </c>
      <c r="E139" s="494" t="s">
        <v>1035</v>
      </c>
      <c r="F139" s="78">
        <v>2000</v>
      </c>
      <c r="G139" s="78"/>
      <c r="H139" s="89" t="s">
        <v>1094</v>
      </c>
      <c r="I139" s="89" t="s">
        <v>1055</v>
      </c>
      <c r="J139" s="500">
        <v>9.8000000000000004E-2</v>
      </c>
      <c r="K139" s="419">
        <f t="shared" si="3"/>
        <v>196</v>
      </c>
      <c r="L139" s="89" t="s">
        <v>1119</v>
      </c>
    </row>
    <row r="140" spans="1:12" ht="51.75" customHeight="1" x14ac:dyDescent="0.2">
      <c r="A140" s="493">
        <v>131</v>
      </c>
      <c r="B140" s="501" t="s">
        <v>361</v>
      </c>
      <c r="C140" s="89" t="s">
        <v>1064</v>
      </c>
      <c r="D140" s="89">
        <v>205256907</v>
      </c>
      <c r="E140" s="494" t="s">
        <v>1035</v>
      </c>
      <c r="F140" s="78">
        <v>2000</v>
      </c>
      <c r="G140" s="78"/>
      <c r="H140" s="89" t="s">
        <v>1095</v>
      </c>
      <c r="I140" s="89" t="s">
        <v>1055</v>
      </c>
      <c r="J140" s="500">
        <v>9.8000000000000004E-2</v>
      </c>
      <c r="K140" s="419">
        <f t="shared" si="3"/>
        <v>196</v>
      </c>
      <c r="L140" s="89" t="s">
        <v>1119</v>
      </c>
    </row>
    <row r="141" spans="1:12" ht="51.75" customHeight="1" x14ac:dyDescent="0.2">
      <c r="A141" s="493">
        <v>132</v>
      </c>
      <c r="B141" s="501" t="s">
        <v>361</v>
      </c>
      <c r="C141" s="89" t="s">
        <v>1064</v>
      </c>
      <c r="D141" s="89">
        <v>205256907</v>
      </c>
      <c r="E141" s="494" t="s">
        <v>1035</v>
      </c>
      <c r="F141" s="78">
        <v>2000</v>
      </c>
      <c r="G141" s="78"/>
      <c r="H141" s="89" t="s">
        <v>1096</v>
      </c>
      <c r="I141" s="89" t="s">
        <v>1055</v>
      </c>
      <c r="J141" s="500">
        <v>9.8000000000000004E-2</v>
      </c>
      <c r="K141" s="419">
        <f t="shared" si="3"/>
        <v>196</v>
      </c>
      <c r="L141" s="89" t="s">
        <v>1119</v>
      </c>
    </row>
    <row r="142" spans="1:12" ht="51.75" customHeight="1" x14ac:dyDescent="0.2">
      <c r="A142" s="493">
        <v>133</v>
      </c>
      <c r="B142" s="501" t="s">
        <v>361</v>
      </c>
      <c r="C142" s="89" t="s">
        <v>1064</v>
      </c>
      <c r="D142" s="89">
        <v>205256907</v>
      </c>
      <c r="E142" s="494" t="s">
        <v>1035</v>
      </c>
      <c r="F142" s="78">
        <v>2000</v>
      </c>
      <c r="G142" s="78"/>
      <c r="H142" s="89" t="s">
        <v>1097</v>
      </c>
      <c r="I142" s="89" t="s">
        <v>1055</v>
      </c>
      <c r="J142" s="500">
        <v>9.8000000000000004E-2</v>
      </c>
      <c r="K142" s="419">
        <f t="shared" si="3"/>
        <v>196</v>
      </c>
      <c r="L142" s="89" t="s">
        <v>1119</v>
      </c>
    </row>
    <row r="143" spans="1:12" ht="51.75" customHeight="1" x14ac:dyDescent="0.2">
      <c r="A143" s="493">
        <v>134</v>
      </c>
      <c r="B143" s="501" t="s">
        <v>361</v>
      </c>
      <c r="C143" s="89" t="s">
        <v>1064</v>
      </c>
      <c r="D143" s="89">
        <v>205256907</v>
      </c>
      <c r="E143" s="494" t="s">
        <v>1035</v>
      </c>
      <c r="F143" s="78">
        <v>2000</v>
      </c>
      <c r="G143" s="78"/>
      <c r="H143" s="89" t="s">
        <v>1098</v>
      </c>
      <c r="I143" s="89" t="s">
        <v>1055</v>
      </c>
      <c r="J143" s="500">
        <v>9.8000000000000004E-2</v>
      </c>
      <c r="K143" s="419">
        <f t="shared" si="3"/>
        <v>196</v>
      </c>
      <c r="L143" s="89" t="s">
        <v>1119</v>
      </c>
    </row>
    <row r="144" spans="1:12" ht="51.75" customHeight="1" x14ac:dyDescent="0.2">
      <c r="A144" s="493">
        <v>135</v>
      </c>
      <c r="B144" s="501" t="s">
        <v>361</v>
      </c>
      <c r="C144" s="89" t="s">
        <v>1064</v>
      </c>
      <c r="D144" s="89">
        <v>205256907</v>
      </c>
      <c r="E144" s="494" t="s">
        <v>1035</v>
      </c>
      <c r="F144" s="78">
        <v>2000</v>
      </c>
      <c r="G144" s="78"/>
      <c r="H144" s="89" t="s">
        <v>1099</v>
      </c>
      <c r="I144" s="89" t="s">
        <v>1055</v>
      </c>
      <c r="J144" s="500">
        <v>9.8000000000000004E-2</v>
      </c>
      <c r="K144" s="419">
        <f t="shared" si="3"/>
        <v>196</v>
      </c>
      <c r="L144" s="89" t="s">
        <v>1119</v>
      </c>
    </row>
    <row r="145" spans="1:12" ht="51.75" customHeight="1" x14ac:dyDescent="0.2">
      <c r="A145" s="493">
        <v>136</v>
      </c>
      <c r="B145" s="501" t="s">
        <v>361</v>
      </c>
      <c r="C145" s="89" t="s">
        <v>1064</v>
      </c>
      <c r="D145" s="89">
        <v>205256907</v>
      </c>
      <c r="E145" s="494" t="s">
        <v>1035</v>
      </c>
      <c r="F145" s="78">
        <v>2000</v>
      </c>
      <c r="G145" s="78"/>
      <c r="H145" s="89" t="s">
        <v>1100</v>
      </c>
      <c r="I145" s="89" t="s">
        <v>1055</v>
      </c>
      <c r="J145" s="500">
        <v>9.8000000000000004E-2</v>
      </c>
      <c r="K145" s="419">
        <f t="shared" si="3"/>
        <v>196</v>
      </c>
      <c r="L145" s="89" t="s">
        <v>1119</v>
      </c>
    </row>
    <row r="146" spans="1:12" ht="51.75" customHeight="1" x14ac:dyDescent="0.2">
      <c r="A146" s="493">
        <v>137</v>
      </c>
      <c r="B146" s="501" t="s">
        <v>361</v>
      </c>
      <c r="C146" s="89" t="s">
        <v>1064</v>
      </c>
      <c r="D146" s="89">
        <v>205256907</v>
      </c>
      <c r="E146" s="494" t="s">
        <v>1035</v>
      </c>
      <c r="F146" s="78">
        <v>2000</v>
      </c>
      <c r="G146" s="78"/>
      <c r="H146" s="89" t="s">
        <v>1101</v>
      </c>
      <c r="I146" s="89" t="s">
        <v>1055</v>
      </c>
      <c r="J146" s="500">
        <v>9.8000000000000004E-2</v>
      </c>
      <c r="K146" s="419">
        <f t="shared" si="3"/>
        <v>196</v>
      </c>
      <c r="L146" s="89" t="s">
        <v>1119</v>
      </c>
    </row>
    <row r="147" spans="1:12" ht="51.75" customHeight="1" x14ac:dyDescent="0.2">
      <c r="A147" s="493">
        <v>138</v>
      </c>
      <c r="B147" s="501" t="s">
        <v>361</v>
      </c>
      <c r="C147" s="89" t="s">
        <v>1064</v>
      </c>
      <c r="D147" s="89">
        <v>205256907</v>
      </c>
      <c r="E147" s="494" t="s">
        <v>1035</v>
      </c>
      <c r="F147" s="78">
        <v>2000</v>
      </c>
      <c r="G147" s="78"/>
      <c r="H147" s="89" t="s">
        <v>1102</v>
      </c>
      <c r="I147" s="89" t="s">
        <v>1055</v>
      </c>
      <c r="J147" s="500">
        <v>9.8000000000000004E-2</v>
      </c>
      <c r="K147" s="419">
        <f t="shared" si="3"/>
        <v>196</v>
      </c>
      <c r="L147" s="89" t="s">
        <v>1119</v>
      </c>
    </row>
    <row r="148" spans="1:12" ht="51.75" customHeight="1" x14ac:dyDescent="0.2">
      <c r="A148" s="493">
        <v>139</v>
      </c>
      <c r="B148" s="501" t="s">
        <v>361</v>
      </c>
      <c r="C148" s="89" t="s">
        <v>1064</v>
      </c>
      <c r="D148" s="89">
        <v>205256907</v>
      </c>
      <c r="E148" s="494" t="s">
        <v>1035</v>
      </c>
      <c r="F148" s="78">
        <v>2000</v>
      </c>
      <c r="G148" s="78"/>
      <c r="H148" s="89" t="s">
        <v>1103</v>
      </c>
      <c r="I148" s="89" t="s">
        <v>1055</v>
      </c>
      <c r="J148" s="500">
        <v>9.8000000000000004E-2</v>
      </c>
      <c r="K148" s="419">
        <f t="shared" si="3"/>
        <v>196</v>
      </c>
      <c r="L148" s="89" t="s">
        <v>1119</v>
      </c>
    </row>
    <row r="149" spans="1:12" ht="51.75" customHeight="1" x14ac:dyDescent="0.2">
      <c r="A149" s="493">
        <v>140</v>
      </c>
      <c r="B149" s="501" t="s">
        <v>361</v>
      </c>
      <c r="C149" s="89" t="s">
        <v>1064</v>
      </c>
      <c r="D149" s="89">
        <v>205256907</v>
      </c>
      <c r="E149" s="494" t="s">
        <v>1035</v>
      </c>
      <c r="F149" s="78">
        <v>2000</v>
      </c>
      <c r="G149" s="78"/>
      <c r="H149" s="89" t="s">
        <v>1104</v>
      </c>
      <c r="I149" s="89" t="s">
        <v>1055</v>
      </c>
      <c r="J149" s="500">
        <v>9.8000000000000004E-2</v>
      </c>
      <c r="K149" s="419">
        <f t="shared" si="3"/>
        <v>196</v>
      </c>
      <c r="L149" s="89" t="s">
        <v>1119</v>
      </c>
    </row>
    <row r="150" spans="1:12" ht="51.75" customHeight="1" x14ac:dyDescent="0.2">
      <c r="A150" s="493">
        <v>141</v>
      </c>
      <c r="B150" s="501" t="s">
        <v>361</v>
      </c>
      <c r="C150" s="89" t="s">
        <v>1064</v>
      </c>
      <c r="D150" s="89">
        <v>205256907</v>
      </c>
      <c r="E150" s="494" t="s">
        <v>1035</v>
      </c>
      <c r="F150" s="78">
        <v>2000</v>
      </c>
      <c r="G150" s="78"/>
      <c r="H150" s="89" t="s">
        <v>1105</v>
      </c>
      <c r="I150" s="89" t="s">
        <v>1055</v>
      </c>
      <c r="J150" s="500">
        <v>9.8000000000000004E-2</v>
      </c>
      <c r="K150" s="419">
        <f t="shared" si="3"/>
        <v>196</v>
      </c>
      <c r="L150" s="89" t="s">
        <v>1119</v>
      </c>
    </row>
    <row r="151" spans="1:12" ht="30" x14ac:dyDescent="0.2">
      <c r="A151" s="493">
        <v>142</v>
      </c>
      <c r="B151" s="501" t="s">
        <v>361</v>
      </c>
      <c r="C151" s="89" t="s">
        <v>1064</v>
      </c>
      <c r="D151" s="89">
        <v>205256907</v>
      </c>
      <c r="E151" s="494" t="s">
        <v>1035</v>
      </c>
      <c r="F151" s="78">
        <v>2000</v>
      </c>
      <c r="G151" s="78"/>
      <c r="H151" s="89" t="s">
        <v>1106</v>
      </c>
      <c r="I151" s="89" t="s">
        <v>1055</v>
      </c>
      <c r="J151" s="500">
        <v>9.8000000000000004E-2</v>
      </c>
      <c r="K151" s="419">
        <f t="shared" si="3"/>
        <v>196</v>
      </c>
      <c r="L151" s="89" t="s">
        <v>1119</v>
      </c>
    </row>
    <row r="152" spans="1:12" ht="30" x14ac:dyDescent="0.2">
      <c r="A152" s="493">
        <v>143</v>
      </c>
      <c r="B152" s="501" t="s">
        <v>361</v>
      </c>
      <c r="C152" s="89" t="s">
        <v>1064</v>
      </c>
      <c r="D152" s="89">
        <v>205256907</v>
      </c>
      <c r="E152" s="494" t="s">
        <v>1035</v>
      </c>
      <c r="F152" s="78">
        <v>2000</v>
      </c>
      <c r="G152" s="78"/>
      <c r="H152" s="89" t="s">
        <v>537</v>
      </c>
      <c r="I152" s="89" t="s">
        <v>1055</v>
      </c>
      <c r="J152" s="500">
        <v>9.8000000000000004E-2</v>
      </c>
      <c r="K152" s="419">
        <f t="shared" si="3"/>
        <v>196</v>
      </c>
      <c r="L152" s="89" t="s">
        <v>1119</v>
      </c>
    </row>
    <row r="153" spans="1:12" ht="30" x14ac:dyDescent="0.2">
      <c r="A153" s="493">
        <v>144</v>
      </c>
      <c r="B153" s="501" t="s">
        <v>361</v>
      </c>
      <c r="C153" s="89" t="s">
        <v>1064</v>
      </c>
      <c r="D153" s="89">
        <v>205256907</v>
      </c>
      <c r="E153" s="494" t="s">
        <v>1035</v>
      </c>
      <c r="F153" s="78">
        <v>2000</v>
      </c>
      <c r="G153" s="78"/>
      <c r="H153" s="89" t="s">
        <v>633</v>
      </c>
      <c r="I153" s="89" t="s">
        <v>1055</v>
      </c>
      <c r="J153" s="500">
        <v>9.8000000000000004E-2</v>
      </c>
      <c r="K153" s="419">
        <f t="shared" si="3"/>
        <v>196</v>
      </c>
      <c r="L153" s="89" t="s">
        <v>1119</v>
      </c>
    </row>
    <row r="154" spans="1:12" ht="30" x14ac:dyDescent="0.2">
      <c r="A154" s="493">
        <v>145</v>
      </c>
      <c r="B154" s="501" t="s">
        <v>361</v>
      </c>
      <c r="C154" s="89" t="s">
        <v>1064</v>
      </c>
      <c r="D154" s="89">
        <v>205256907</v>
      </c>
      <c r="E154" s="494" t="s">
        <v>1035</v>
      </c>
      <c r="F154" s="78">
        <v>2000</v>
      </c>
      <c r="G154" s="78"/>
      <c r="H154" s="89" t="s">
        <v>1107</v>
      </c>
      <c r="I154" s="89" t="s">
        <v>1055</v>
      </c>
      <c r="J154" s="500">
        <v>9.8000000000000004E-2</v>
      </c>
      <c r="K154" s="419">
        <f t="shared" si="3"/>
        <v>196</v>
      </c>
      <c r="L154" s="89" t="s">
        <v>1119</v>
      </c>
    </row>
    <row r="155" spans="1:12" ht="30" x14ac:dyDescent="0.2">
      <c r="A155" s="493">
        <v>146</v>
      </c>
      <c r="B155" s="501" t="s">
        <v>361</v>
      </c>
      <c r="C155" s="89" t="s">
        <v>1064</v>
      </c>
      <c r="D155" s="89">
        <v>205256907</v>
      </c>
      <c r="E155" s="494" t="s">
        <v>1035</v>
      </c>
      <c r="F155" s="78">
        <v>2000</v>
      </c>
      <c r="G155" s="78"/>
      <c r="H155" s="89" t="s">
        <v>1108</v>
      </c>
      <c r="I155" s="89" t="s">
        <v>1055</v>
      </c>
      <c r="J155" s="500">
        <v>9.8000000000000004E-2</v>
      </c>
      <c r="K155" s="419">
        <f t="shared" si="3"/>
        <v>196</v>
      </c>
      <c r="L155" s="89" t="s">
        <v>1119</v>
      </c>
    </row>
    <row r="156" spans="1:12" ht="30" x14ac:dyDescent="0.2">
      <c r="A156" s="493">
        <v>147</v>
      </c>
      <c r="B156" s="501" t="s">
        <v>361</v>
      </c>
      <c r="C156" s="89" t="s">
        <v>1064</v>
      </c>
      <c r="D156" s="89">
        <v>205256907</v>
      </c>
      <c r="E156" s="494" t="s">
        <v>1035</v>
      </c>
      <c r="F156" s="78">
        <v>2000</v>
      </c>
      <c r="G156" s="78"/>
      <c r="H156" s="89" t="s">
        <v>1109</v>
      </c>
      <c r="I156" s="89" t="s">
        <v>1055</v>
      </c>
      <c r="J156" s="500">
        <v>9.8000000000000004E-2</v>
      </c>
      <c r="K156" s="419">
        <f t="shared" si="3"/>
        <v>196</v>
      </c>
      <c r="L156" s="89" t="s">
        <v>1119</v>
      </c>
    </row>
    <row r="157" spans="1:12" ht="30" x14ac:dyDescent="0.2">
      <c r="A157" s="493">
        <v>148</v>
      </c>
      <c r="B157" s="501" t="s">
        <v>361</v>
      </c>
      <c r="C157" s="89" t="s">
        <v>1064</v>
      </c>
      <c r="D157" s="89">
        <v>205256907</v>
      </c>
      <c r="E157" s="494" t="s">
        <v>1035</v>
      </c>
      <c r="F157" s="78">
        <v>2000</v>
      </c>
      <c r="G157" s="78"/>
      <c r="H157" s="89" t="s">
        <v>1110</v>
      </c>
      <c r="I157" s="89" t="s">
        <v>1055</v>
      </c>
      <c r="J157" s="500">
        <v>9.8000000000000004E-2</v>
      </c>
      <c r="K157" s="419">
        <f t="shared" si="3"/>
        <v>196</v>
      </c>
      <c r="L157" s="89" t="s">
        <v>1119</v>
      </c>
    </row>
    <row r="158" spans="1:12" ht="30" x14ac:dyDescent="0.2">
      <c r="A158" s="493">
        <v>149</v>
      </c>
      <c r="B158" s="501" t="s">
        <v>361</v>
      </c>
      <c r="C158" s="89" t="s">
        <v>1064</v>
      </c>
      <c r="D158" s="89">
        <v>205256907</v>
      </c>
      <c r="E158" s="494" t="s">
        <v>1035</v>
      </c>
      <c r="F158" s="78">
        <v>2000</v>
      </c>
      <c r="G158" s="78"/>
      <c r="H158" s="89" t="s">
        <v>1111</v>
      </c>
      <c r="I158" s="89" t="s">
        <v>1055</v>
      </c>
      <c r="J158" s="500">
        <v>9.8000000000000004E-2</v>
      </c>
      <c r="K158" s="419">
        <f t="shared" si="3"/>
        <v>196</v>
      </c>
      <c r="L158" s="89" t="s">
        <v>1119</v>
      </c>
    </row>
    <row r="159" spans="1:12" ht="30" x14ac:dyDescent="0.2">
      <c r="A159" s="493">
        <v>150</v>
      </c>
      <c r="B159" s="501" t="s">
        <v>361</v>
      </c>
      <c r="C159" s="89" t="s">
        <v>1064</v>
      </c>
      <c r="D159" s="89">
        <v>205256907</v>
      </c>
      <c r="E159" s="494" t="s">
        <v>1035</v>
      </c>
      <c r="F159" s="78">
        <v>2000</v>
      </c>
      <c r="G159" s="78"/>
      <c r="H159" s="89" t="s">
        <v>1112</v>
      </c>
      <c r="I159" s="89" t="s">
        <v>1055</v>
      </c>
      <c r="J159" s="500">
        <v>9.8000000000000004E-2</v>
      </c>
      <c r="K159" s="419">
        <f t="shared" si="3"/>
        <v>196</v>
      </c>
      <c r="L159" s="89" t="s">
        <v>1119</v>
      </c>
    </row>
    <row r="160" spans="1:12" ht="30" x14ac:dyDescent="0.2">
      <c r="A160" s="493">
        <v>151</v>
      </c>
      <c r="B160" s="501" t="s">
        <v>361</v>
      </c>
      <c r="C160" s="89" t="s">
        <v>1064</v>
      </c>
      <c r="D160" s="89">
        <v>205256907</v>
      </c>
      <c r="E160" s="494" t="s">
        <v>1035</v>
      </c>
      <c r="F160" s="78">
        <v>2000</v>
      </c>
      <c r="G160" s="78"/>
      <c r="H160" s="89" t="s">
        <v>1113</v>
      </c>
      <c r="I160" s="89" t="s">
        <v>1055</v>
      </c>
      <c r="J160" s="500">
        <v>9.8000000000000004E-2</v>
      </c>
      <c r="K160" s="419">
        <f t="shared" si="3"/>
        <v>196</v>
      </c>
      <c r="L160" s="89" t="s">
        <v>1119</v>
      </c>
    </row>
    <row r="161" spans="1:12" ht="30" x14ac:dyDescent="0.2">
      <c r="A161" s="493">
        <v>152</v>
      </c>
      <c r="B161" s="501" t="s">
        <v>361</v>
      </c>
      <c r="C161" s="89" t="s">
        <v>1064</v>
      </c>
      <c r="D161" s="89">
        <v>205256907</v>
      </c>
      <c r="E161" s="494" t="s">
        <v>1035</v>
      </c>
      <c r="F161" s="78">
        <v>2000</v>
      </c>
      <c r="G161" s="78"/>
      <c r="H161" s="89" t="s">
        <v>589</v>
      </c>
      <c r="I161" s="89" t="s">
        <v>1055</v>
      </c>
      <c r="J161" s="500">
        <v>9.8000000000000004E-2</v>
      </c>
      <c r="K161" s="419">
        <f t="shared" si="3"/>
        <v>196</v>
      </c>
      <c r="L161" s="89" t="s">
        <v>1119</v>
      </c>
    </row>
    <row r="162" spans="1:12" ht="51.75" customHeight="1" x14ac:dyDescent="0.2">
      <c r="A162" s="493">
        <v>153</v>
      </c>
      <c r="B162" s="501" t="s">
        <v>361</v>
      </c>
      <c r="C162" s="89" t="s">
        <v>1064</v>
      </c>
      <c r="D162" s="89">
        <v>205256907</v>
      </c>
      <c r="E162" s="494" t="s">
        <v>1035</v>
      </c>
      <c r="F162" s="78">
        <v>2000</v>
      </c>
      <c r="G162" s="78"/>
      <c r="H162" s="89" t="s">
        <v>1114</v>
      </c>
      <c r="I162" s="89" t="s">
        <v>1055</v>
      </c>
      <c r="J162" s="500">
        <v>9.8000000000000004E-2</v>
      </c>
      <c r="K162" s="419">
        <f t="shared" si="3"/>
        <v>196</v>
      </c>
      <c r="L162" s="89" t="s">
        <v>1119</v>
      </c>
    </row>
    <row r="163" spans="1:12" ht="51.75" customHeight="1" x14ac:dyDescent="0.2">
      <c r="A163" s="493">
        <v>154</v>
      </c>
      <c r="B163" s="501" t="s">
        <v>361</v>
      </c>
      <c r="C163" s="89" t="s">
        <v>1064</v>
      </c>
      <c r="D163" s="89">
        <v>205256907</v>
      </c>
      <c r="E163" s="494" t="s">
        <v>1035</v>
      </c>
      <c r="F163" s="78">
        <v>2000</v>
      </c>
      <c r="G163" s="78"/>
      <c r="H163" s="89" t="s">
        <v>623</v>
      </c>
      <c r="I163" s="89" t="s">
        <v>1055</v>
      </c>
      <c r="J163" s="500">
        <v>9.8000000000000004E-2</v>
      </c>
      <c r="K163" s="419">
        <f t="shared" si="3"/>
        <v>196</v>
      </c>
      <c r="L163" s="89" t="s">
        <v>1119</v>
      </c>
    </row>
    <row r="164" spans="1:12" ht="51.75" customHeight="1" x14ac:dyDescent="0.2">
      <c r="A164" s="493">
        <v>155</v>
      </c>
      <c r="B164" s="501" t="s">
        <v>361</v>
      </c>
      <c r="C164" s="89" t="s">
        <v>1064</v>
      </c>
      <c r="D164" s="89">
        <v>205256907</v>
      </c>
      <c r="E164" s="494" t="s">
        <v>1035</v>
      </c>
      <c r="F164" s="78">
        <v>2000</v>
      </c>
      <c r="G164" s="78"/>
      <c r="H164" s="89" t="s">
        <v>1115</v>
      </c>
      <c r="I164" s="89" t="s">
        <v>1055</v>
      </c>
      <c r="J164" s="500">
        <v>9.8000000000000004E-2</v>
      </c>
      <c r="K164" s="419">
        <f t="shared" si="3"/>
        <v>196</v>
      </c>
      <c r="L164" s="89" t="s">
        <v>1119</v>
      </c>
    </row>
    <row r="165" spans="1:12" ht="51.75" customHeight="1" x14ac:dyDescent="0.2">
      <c r="A165" s="493">
        <v>156</v>
      </c>
      <c r="B165" s="501" t="s">
        <v>361</v>
      </c>
      <c r="C165" s="89" t="s">
        <v>1064</v>
      </c>
      <c r="D165" s="89">
        <v>205256907</v>
      </c>
      <c r="E165" s="494" t="s">
        <v>1035</v>
      </c>
      <c r="F165" s="78">
        <v>2000</v>
      </c>
      <c r="G165" s="78"/>
      <c r="H165" s="89" t="s">
        <v>1116</v>
      </c>
      <c r="I165" s="89" t="s">
        <v>1055</v>
      </c>
      <c r="J165" s="500">
        <v>9.8000000000000004E-2</v>
      </c>
      <c r="K165" s="419">
        <f t="shared" si="3"/>
        <v>196</v>
      </c>
      <c r="L165" s="89" t="s">
        <v>1119</v>
      </c>
    </row>
    <row r="166" spans="1:12" ht="51.75" customHeight="1" x14ac:dyDescent="0.2">
      <c r="A166" s="493">
        <v>157</v>
      </c>
      <c r="B166" s="501" t="s">
        <v>361</v>
      </c>
      <c r="C166" s="89" t="s">
        <v>1064</v>
      </c>
      <c r="D166" s="89">
        <v>205256907</v>
      </c>
      <c r="E166" s="494" t="s">
        <v>1035</v>
      </c>
      <c r="F166" s="78">
        <v>2000</v>
      </c>
      <c r="G166" s="78"/>
      <c r="H166" s="89" t="s">
        <v>1117</v>
      </c>
      <c r="I166" s="89" t="s">
        <v>1055</v>
      </c>
      <c r="J166" s="500">
        <v>9.8000000000000004E-2</v>
      </c>
      <c r="K166" s="419">
        <f t="shared" si="3"/>
        <v>196</v>
      </c>
      <c r="L166" s="89" t="s">
        <v>1119</v>
      </c>
    </row>
    <row r="167" spans="1:12" ht="51.75" customHeight="1" x14ac:dyDescent="0.2">
      <c r="A167" s="493">
        <v>158</v>
      </c>
      <c r="B167" s="501" t="s">
        <v>361</v>
      </c>
      <c r="C167" s="89" t="s">
        <v>1064</v>
      </c>
      <c r="D167" s="89">
        <v>205256907</v>
      </c>
      <c r="E167" s="494" t="s">
        <v>1035</v>
      </c>
      <c r="F167" s="78">
        <v>2000</v>
      </c>
      <c r="G167" s="78"/>
      <c r="H167" s="89" t="s">
        <v>1118</v>
      </c>
      <c r="I167" s="89" t="s">
        <v>1055</v>
      </c>
      <c r="J167" s="500">
        <v>9.8000000000000004E-2</v>
      </c>
      <c r="K167" s="419">
        <f t="shared" si="3"/>
        <v>196</v>
      </c>
      <c r="L167" s="89" t="s">
        <v>1119</v>
      </c>
    </row>
    <row r="168" spans="1:12" ht="51.75" customHeight="1" x14ac:dyDescent="0.2">
      <c r="A168" s="493">
        <v>159</v>
      </c>
      <c r="B168" s="501" t="s">
        <v>361</v>
      </c>
      <c r="C168" s="89" t="s">
        <v>1121</v>
      </c>
      <c r="D168" s="89">
        <v>215080187</v>
      </c>
      <c r="E168" s="494" t="s">
        <v>1035</v>
      </c>
      <c r="F168" s="78">
        <v>10000</v>
      </c>
      <c r="G168" s="78"/>
      <c r="H168" s="89" t="s">
        <v>1104</v>
      </c>
      <c r="I168" s="89" t="s">
        <v>1055</v>
      </c>
      <c r="J168" s="500">
        <v>0.17</v>
      </c>
      <c r="K168" s="419">
        <f t="shared" si="3"/>
        <v>1700.0000000000002</v>
      </c>
      <c r="L168" s="89" t="s">
        <v>1119</v>
      </c>
    </row>
    <row r="169" spans="1:12" ht="30" x14ac:dyDescent="0.2">
      <c r="A169" s="493">
        <v>160</v>
      </c>
      <c r="B169" s="501" t="s">
        <v>361</v>
      </c>
      <c r="C169" s="89" t="s">
        <v>1121</v>
      </c>
      <c r="D169" s="89">
        <v>215080187</v>
      </c>
      <c r="E169" s="494" t="s">
        <v>1035</v>
      </c>
      <c r="F169" s="78">
        <v>10000</v>
      </c>
      <c r="G169" s="78"/>
      <c r="H169" s="89" t="s">
        <v>1104</v>
      </c>
      <c r="I169" s="89" t="s">
        <v>1055</v>
      </c>
      <c r="J169" s="500">
        <v>0.06</v>
      </c>
      <c r="K169" s="419">
        <f t="shared" si="3"/>
        <v>600</v>
      </c>
      <c r="L169" s="89" t="s">
        <v>1122</v>
      </c>
    </row>
    <row r="170" spans="1:12" ht="30" x14ac:dyDescent="0.2">
      <c r="A170" s="493">
        <v>161</v>
      </c>
      <c r="B170" s="501" t="s">
        <v>361</v>
      </c>
      <c r="C170" s="89" t="s">
        <v>1123</v>
      </c>
      <c r="D170" s="89">
        <v>445395965</v>
      </c>
      <c r="E170" s="494" t="s">
        <v>1035</v>
      </c>
      <c r="F170" s="78">
        <v>1000</v>
      </c>
      <c r="G170" s="78"/>
      <c r="H170" s="89" t="s">
        <v>633</v>
      </c>
      <c r="I170" s="89" t="s">
        <v>1055</v>
      </c>
      <c r="J170" s="500">
        <v>0.3</v>
      </c>
      <c r="K170" s="419">
        <f t="shared" si="3"/>
        <v>300</v>
      </c>
      <c r="L170" s="89" t="s">
        <v>1124</v>
      </c>
    </row>
    <row r="171" spans="1:12" ht="30" x14ac:dyDescent="0.2">
      <c r="A171" s="493">
        <v>162</v>
      </c>
      <c r="B171" s="501" t="s">
        <v>361</v>
      </c>
      <c r="C171" s="89" t="s">
        <v>1123</v>
      </c>
      <c r="D171" s="89">
        <v>445395965</v>
      </c>
      <c r="E171" s="494" t="s">
        <v>1035</v>
      </c>
      <c r="F171" s="78">
        <v>1000</v>
      </c>
      <c r="G171" s="78"/>
      <c r="H171" s="89" t="s">
        <v>1114</v>
      </c>
      <c r="I171" s="89" t="s">
        <v>1055</v>
      </c>
      <c r="J171" s="500">
        <v>0.3</v>
      </c>
      <c r="K171" s="419">
        <f t="shared" ref="K171:K173" si="4">J171*F171</f>
        <v>300</v>
      </c>
      <c r="L171" s="89" t="s">
        <v>1124</v>
      </c>
    </row>
    <row r="172" spans="1:12" ht="30" x14ac:dyDescent="0.2">
      <c r="A172" s="493">
        <v>163</v>
      </c>
      <c r="B172" s="501" t="s">
        <v>361</v>
      </c>
      <c r="C172" s="89" t="s">
        <v>1123</v>
      </c>
      <c r="D172" s="89">
        <v>445395965</v>
      </c>
      <c r="E172" s="494" t="s">
        <v>1035</v>
      </c>
      <c r="F172" s="78">
        <v>1000</v>
      </c>
      <c r="G172" s="78"/>
      <c r="H172" s="89" t="s">
        <v>623</v>
      </c>
      <c r="I172" s="89" t="s">
        <v>1055</v>
      </c>
      <c r="J172" s="500">
        <v>0.3</v>
      </c>
      <c r="K172" s="419">
        <f t="shared" si="4"/>
        <v>300</v>
      </c>
      <c r="L172" s="89" t="s">
        <v>1124</v>
      </c>
    </row>
    <row r="173" spans="1:12" ht="30" x14ac:dyDescent="0.2">
      <c r="A173" s="493">
        <v>164</v>
      </c>
      <c r="B173" s="501" t="s">
        <v>361</v>
      </c>
      <c r="C173" s="89" t="s">
        <v>1123</v>
      </c>
      <c r="D173" s="89">
        <v>445395965</v>
      </c>
      <c r="E173" s="494" t="s">
        <v>1035</v>
      </c>
      <c r="F173" s="78">
        <v>1000</v>
      </c>
      <c r="G173" s="78"/>
      <c r="H173" s="89" t="s">
        <v>1115</v>
      </c>
      <c r="I173" s="89" t="s">
        <v>1055</v>
      </c>
      <c r="J173" s="500">
        <v>0.3</v>
      </c>
      <c r="K173" s="419">
        <f t="shared" si="4"/>
        <v>300</v>
      </c>
      <c r="L173" s="89" t="s">
        <v>1124</v>
      </c>
    </row>
    <row r="174" spans="1:12" ht="15" x14ac:dyDescent="0.2">
      <c r="A174" s="493">
        <v>165</v>
      </c>
      <c r="B174" s="502"/>
      <c r="C174" s="78"/>
      <c r="D174" s="78"/>
      <c r="E174" s="78"/>
      <c r="F174" s="78"/>
      <c r="G174" s="78"/>
      <c r="H174" s="78"/>
      <c r="I174" s="78"/>
      <c r="J174" s="4"/>
      <c r="K174" s="4"/>
      <c r="L174" s="78"/>
    </row>
    <row r="175" spans="1:12" ht="15" x14ac:dyDescent="0.2">
      <c r="A175" s="493">
        <v>166</v>
      </c>
      <c r="B175" s="502"/>
      <c r="C175" s="78"/>
      <c r="D175" s="78"/>
      <c r="E175" s="78"/>
      <c r="F175" s="78"/>
      <c r="G175" s="78"/>
      <c r="H175" s="78"/>
      <c r="I175" s="78"/>
      <c r="J175" s="4"/>
      <c r="K175" s="4"/>
      <c r="L175" s="78"/>
    </row>
    <row r="176" spans="1:12" ht="15" x14ac:dyDescent="0.2">
      <c r="A176" s="78" t="s">
        <v>276</v>
      </c>
      <c r="B176" s="340"/>
      <c r="C176" s="78"/>
      <c r="D176" s="78"/>
      <c r="E176" s="78"/>
      <c r="F176" s="78"/>
      <c r="G176" s="78"/>
      <c r="H176" s="78"/>
      <c r="I176" s="78"/>
      <c r="J176" s="4"/>
      <c r="K176" s="4"/>
      <c r="L176" s="78"/>
    </row>
    <row r="177" spans="1:12" ht="15" x14ac:dyDescent="0.3">
      <c r="A177" s="78"/>
      <c r="B177" s="340"/>
      <c r="C177" s="90"/>
      <c r="D177" s="90"/>
      <c r="E177" s="90"/>
      <c r="F177" s="90"/>
      <c r="G177" s="78"/>
      <c r="H177" s="78"/>
      <c r="I177" s="78"/>
      <c r="J177" s="78" t="s">
        <v>493</v>
      </c>
      <c r="K177" s="77">
        <f>SUM(K10:K176)</f>
        <v>163178.64000000001</v>
      </c>
      <c r="L177" s="78"/>
    </row>
    <row r="178" spans="1:12" ht="15" x14ac:dyDescent="0.3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170"/>
    </row>
    <row r="179" spans="1:12" ht="15" x14ac:dyDescent="0.3">
      <c r="A179" s="215" t="s">
        <v>494</v>
      </c>
      <c r="B179" s="215"/>
      <c r="C179" s="214"/>
      <c r="D179" s="214"/>
      <c r="E179" s="214"/>
      <c r="F179" s="214"/>
      <c r="G179" s="214"/>
      <c r="H179" s="214"/>
      <c r="I179" s="214"/>
      <c r="J179" s="214"/>
      <c r="K179" s="170"/>
    </row>
    <row r="180" spans="1:12" ht="15" x14ac:dyDescent="0.3">
      <c r="A180" s="215" t="s">
        <v>495</v>
      </c>
      <c r="B180" s="215"/>
      <c r="C180" s="214"/>
      <c r="D180" s="214"/>
      <c r="E180" s="214"/>
      <c r="F180" s="214"/>
      <c r="G180" s="214"/>
      <c r="H180" s="214"/>
      <c r="I180" s="214"/>
      <c r="J180" s="214"/>
      <c r="K180" s="170"/>
    </row>
    <row r="181" spans="1:12" ht="15" x14ac:dyDescent="0.3">
      <c r="A181" s="201" t="s">
        <v>496</v>
      </c>
      <c r="B181" s="215"/>
      <c r="C181" s="170"/>
      <c r="D181" s="170"/>
      <c r="E181" s="170"/>
      <c r="F181" s="170"/>
      <c r="G181" s="170"/>
      <c r="H181" s="170"/>
      <c r="I181" s="170"/>
      <c r="J181" s="170"/>
      <c r="K181" s="170"/>
    </row>
    <row r="182" spans="1:12" ht="15" x14ac:dyDescent="0.3">
      <c r="A182" s="201" t="s">
        <v>497</v>
      </c>
      <c r="B182" s="215"/>
      <c r="C182" s="170"/>
      <c r="D182" s="170"/>
      <c r="E182" s="170"/>
      <c r="F182" s="170"/>
      <c r="G182" s="170"/>
      <c r="H182" s="170"/>
      <c r="I182" s="170"/>
      <c r="J182" s="170"/>
      <c r="K182" s="170"/>
    </row>
    <row r="183" spans="1:12" ht="15" customHeight="1" x14ac:dyDescent="0.2">
      <c r="A183" s="647" t="s">
        <v>514</v>
      </c>
      <c r="B183" s="647"/>
      <c r="C183" s="647"/>
      <c r="D183" s="647"/>
      <c r="E183" s="647"/>
      <c r="F183" s="647"/>
      <c r="G183" s="647"/>
      <c r="H183" s="647"/>
      <c r="I183" s="647"/>
      <c r="J183" s="647"/>
      <c r="K183" s="647"/>
    </row>
    <row r="184" spans="1:12" ht="15" customHeight="1" x14ac:dyDescent="0.2">
      <c r="A184" s="647"/>
      <c r="B184" s="647"/>
      <c r="C184" s="647"/>
      <c r="D184" s="647"/>
      <c r="E184" s="647"/>
      <c r="F184" s="647"/>
      <c r="G184" s="647"/>
      <c r="H184" s="647"/>
      <c r="I184" s="647"/>
      <c r="J184" s="647"/>
      <c r="K184" s="647"/>
    </row>
    <row r="185" spans="1:12" ht="12.75" customHeight="1" x14ac:dyDescent="0.2">
      <c r="A185" s="367"/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</row>
    <row r="186" spans="1:12" ht="15.75" customHeight="1" x14ac:dyDescent="0.3">
      <c r="A186" s="643" t="s">
        <v>107</v>
      </c>
      <c r="B186" s="643"/>
      <c r="C186" s="341"/>
      <c r="D186" s="342"/>
      <c r="E186" s="342"/>
      <c r="F186" s="341"/>
      <c r="G186" s="341"/>
      <c r="H186" s="341"/>
      <c r="I186" s="341"/>
      <c r="J186" s="341"/>
      <c r="K186" s="170"/>
    </row>
    <row r="187" spans="1:12" ht="15" x14ac:dyDescent="0.3">
      <c r="A187" s="341"/>
      <c r="B187" s="342"/>
      <c r="C187" s="341"/>
      <c r="D187" s="342"/>
      <c r="E187" s="342"/>
      <c r="F187" s="341"/>
      <c r="G187" s="341"/>
      <c r="H187" s="341"/>
      <c r="I187" s="341"/>
      <c r="J187" s="343"/>
      <c r="K187" s="170"/>
    </row>
    <row r="188" spans="1:12" ht="15" customHeight="1" x14ac:dyDescent="0.3">
      <c r="A188" s="341"/>
      <c r="B188" s="342"/>
      <c r="C188" s="644" t="s">
        <v>268</v>
      </c>
      <c r="D188" s="644"/>
      <c r="E188" s="488"/>
      <c r="F188" s="344"/>
      <c r="G188" s="645" t="s">
        <v>498</v>
      </c>
      <c r="H188" s="645"/>
      <c r="I188" s="645"/>
      <c r="J188" s="345"/>
      <c r="K188" s="170"/>
    </row>
    <row r="189" spans="1:12" ht="15" x14ac:dyDescent="0.3">
      <c r="A189" s="341"/>
      <c r="B189" s="342"/>
      <c r="C189" s="341"/>
      <c r="D189" s="342"/>
      <c r="E189" s="342"/>
      <c r="F189" s="341"/>
      <c r="G189" s="646"/>
      <c r="H189" s="646"/>
      <c r="I189" s="646"/>
      <c r="J189" s="345"/>
      <c r="K189" s="170"/>
    </row>
    <row r="190" spans="1:12" ht="15" x14ac:dyDescent="0.3">
      <c r="A190" s="341"/>
      <c r="B190" s="342"/>
      <c r="C190" s="641" t="s">
        <v>139</v>
      </c>
      <c r="D190" s="641"/>
      <c r="E190" s="488"/>
      <c r="F190" s="344"/>
      <c r="G190" s="341"/>
      <c r="H190" s="341"/>
      <c r="I190" s="341"/>
      <c r="J190" s="341"/>
      <c r="K190" s="170"/>
    </row>
  </sheetData>
  <mergeCells count="7">
    <mergeCell ref="C190:D190"/>
    <mergeCell ref="A2:D2"/>
    <mergeCell ref="A186:B186"/>
    <mergeCell ref="C188:D188"/>
    <mergeCell ref="G188:I189"/>
    <mergeCell ref="A183:K184"/>
    <mergeCell ref="K3:M3"/>
  </mergeCells>
  <dataValidations count="1">
    <dataValidation type="list" allowBlank="1" showInputMessage="1" showErrorMessage="1" sqref="B10:B17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32"/>
  <sheetViews>
    <sheetView showGridLines="0" view="pageBreakPreview" zoomScale="80" zoomScaleNormal="100" zoomScaleSheetLayoutView="80" workbookViewId="0">
      <selection activeCell="J19" sqref="J19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5" t="s">
        <v>458</v>
      </c>
      <c r="B1" s="67"/>
      <c r="C1" s="650" t="s">
        <v>109</v>
      </c>
      <c r="D1" s="650"/>
    </row>
    <row r="2" spans="1:5" x14ac:dyDescent="0.3">
      <c r="A2" s="65" t="s">
        <v>459</v>
      </c>
      <c r="B2" s="67"/>
      <c r="C2" s="628" t="s">
        <v>645</v>
      </c>
      <c r="D2" s="639"/>
      <c r="E2" s="639"/>
    </row>
    <row r="3" spans="1:5" x14ac:dyDescent="0.3">
      <c r="A3" s="67" t="s">
        <v>140</v>
      </c>
      <c r="B3" s="67"/>
      <c r="C3" s="66"/>
      <c r="D3" s="66"/>
    </row>
    <row r="4" spans="1:5" x14ac:dyDescent="0.3">
      <c r="A4" s="65"/>
      <c r="B4" s="67"/>
      <c r="C4" s="66"/>
      <c r="D4" s="66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8"/>
      <c r="D5" s="67"/>
      <c r="E5" s="5"/>
    </row>
    <row r="6" spans="1:5" x14ac:dyDescent="0.3">
      <c r="A6" s="108" t="str">
        <f>'ფორმა N1'!D4</f>
        <v>მოქალაქეთა  პოლიტიკური გაერთიანება "ეროვნული ფორუმი"</v>
      </c>
      <c r="B6" s="109"/>
      <c r="C6" s="109"/>
      <c r="D6" s="49"/>
      <c r="E6" s="5"/>
    </row>
    <row r="7" spans="1:5" x14ac:dyDescent="0.3">
      <c r="A7" s="68"/>
      <c r="B7" s="68"/>
      <c r="C7" s="68"/>
      <c r="D7" s="67"/>
      <c r="E7" s="5"/>
    </row>
    <row r="8" spans="1:5" s="6" customFormat="1" x14ac:dyDescent="0.3">
      <c r="A8" s="91"/>
      <c r="B8" s="91"/>
      <c r="C8" s="69"/>
      <c r="D8" s="69"/>
    </row>
    <row r="9" spans="1:5" s="6" customFormat="1" ht="30" x14ac:dyDescent="0.3">
      <c r="A9" s="97" t="s">
        <v>64</v>
      </c>
      <c r="B9" s="70" t="s">
        <v>11</v>
      </c>
      <c r="C9" s="70" t="s">
        <v>10</v>
      </c>
      <c r="D9" s="70" t="s">
        <v>9</v>
      </c>
    </row>
    <row r="10" spans="1:5" s="7" customFormat="1" x14ac:dyDescent="0.2">
      <c r="A10" s="13">
        <v>1</v>
      </c>
      <c r="B10" s="13" t="s">
        <v>108</v>
      </c>
      <c r="C10" s="533">
        <f>SUM(C11,C14,C17,C20:C22)</f>
        <v>31401.69</v>
      </c>
      <c r="D10" s="533">
        <f>SUM(D11,D14,D17,D20:D22)</f>
        <v>31401.69</v>
      </c>
    </row>
    <row r="11" spans="1:5" s="9" customFormat="1" ht="18" x14ac:dyDescent="0.2">
      <c r="A11" s="14">
        <v>1.1000000000000001</v>
      </c>
      <c r="B11" s="14" t="s">
        <v>68</v>
      </c>
      <c r="C11" s="533">
        <f>SUM(C12:C13)</f>
        <v>0</v>
      </c>
      <c r="D11" s="53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535"/>
      <c r="D12" s="536"/>
    </row>
    <row r="13" spans="1:5" s="9" customFormat="1" ht="18" x14ac:dyDescent="0.2">
      <c r="A13" s="16" t="s">
        <v>31</v>
      </c>
      <c r="B13" s="16" t="s">
        <v>71</v>
      </c>
      <c r="C13" s="535"/>
      <c r="D13" s="536"/>
    </row>
    <row r="14" spans="1:5" s="3" customFormat="1" x14ac:dyDescent="0.2">
      <c r="A14" s="14">
        <v>1.2</v>
      </c>
      <c r="B14" s="14" t="s">
        <v>69</v>
      </c>
      <c r="C14" s="533">
        <f>SUM(C15:C16)</f>
        <v>12975</v>
      </c>
      <c r="D14" s="533">
        <f>SUM(D15:D16)</f>
        <v>12975</v>
      </c>
    </row>
    <row r="15" spans="1:5" x14ac:dyDescent="0.3">
      <c r="A15" s="16" t="s">
        <v>32</v>
      </c>
      <c r="B15" s="16" t="s">
        <v>72</v>
      </c>
      <c r="C15" s="537">
        <f>40350-27375</f>
        <v>12975</v>
      </c>
      <c r="D15" s="538">
        <f>40350-27375</f>
        <v>12975</v>
      </c>
    </row>
    <row r="16" spans="1:5" x14ac:dyDescent="0.3">
      <c r="A16" s="16" t="s">
        <v>33</v>
      </c>
      <c r="B16" s="16" t="s">
        <v>73</v>
      </c>
      <c r="C16" s="535"/>
      <c r="D16" s="536"/>
    </row>
    <row r="17" spans="1:8" x14ac:dyDescent="0.3">
      <c r="A17" s="14">
        <v>1.3</v>
      </c>
      <c r="B17" s="14" t="s">
        <v>74</v>
      </c>
      <c r="C17" s="533">
        <f>SUM(C18:C19)</f>
        <v>14550</v>
      </c>
      <c r="D17" s="533">
        <f>SUM(D18:D19)</f>
        <v>14550</v>
      </c>
    </row>
    <row r="18" spans="1:8" x14ac:dyDescent="0.3">
      <c r="A18" s="16" t="s">
        <v>50</v>
      </c>
      <c r="B18" s="16" t="s">
        <v>75</v>
      </c>
      <c r="C18" s="535">
        <f>29432-14882</f>
        <v>14550</v>
      </c>
      <c r="D18" s="536">
        <f>29432-14882</f>
        <v>14550</v>
      </c>
    </row>
    <row r="19" spans="1:8" x14ac:dyDescent="0.3">
      <c r="A19" s="16" t="s">
        <v>51</v>
      </c>
      <c r="B19" s="16" t="s">
        <v>76</v>
      </c>
      <c r="C19" s="535"/>
      <c r="D19" s="536"/>
    </row>
    <row r="20" spans="1:8" x14ac:dyDescent="0.3">
      <c r="A20" s="14">
        <v>1.4</v>
      </c>
      <c r="B20" s="14" t="s">
        <v>77</v>
      </c>
      <c r="C20" s="535"/>
      <c r="D20" s="536"/>
    </row>
    <row r="21" spans="1:8" x14ac:dyDescent="0.3">
      <c r="A21" s="14">
        <v>1.5</v>
      </c>
      <c r="B21" s="14" t="s">
        <v>78</v>
      </c>
      <c r="C21" s="537">
        <f>9195.49-5318.8</f>
        <v>3876.6899999999996</v>
      </c>
      <c r="D21" s="538">
        <f>9195.49-5318.8</f>
        <v>3876.6899999999996</v>
      </c>
    </row>
    <row r="22" spans="1:8" x14ac:dyDescent="0.3">
      <c r="A22" s="14">
        <v>1.6</v>
      </c>
      <c r="B22" s="14" t="s">
        <v>8</v>
      </c>
      <c r="C22" s="503">
        <v>0</v>
      </c>
      <c r="D22" s="503">
        <v>0</v>
      </c>
    </row>
    <row r="25" spans="1:8" s="22" customFormat="1" ht="12.75" x14ac:dyDescent="0.2"/>
    <row r="26" spans="1:8" x14ac:dyDescent="0.3">
      <c r="A26" s="60" t="s">
        <v>107</v>
      </c>
      <c r="E26" s="5"/>
    </row>
    <row r="27" spans="1:8" x14ac:dyDescent="0.3">
      <c r="E27"/>
      <c r="F27"/>
      <c r="G27"/>
      <c r="H27"/>
    </row>
    <row r="28" spans="1:8" x14ac:dyDescent="0.3">
      <c r="D28" s="12"/>
      <c r="E28"/>
      <c r="F28"/>
      <c r="G28"/>
      <c r="H28"/>
    </row>
    <row r="29" spans="1:8" x14ac:dyDescent="0.3">
      <c r="A29"/>
      <c r="B29" s="60" t="s">
        <v>271</v>
      </c>
      <c r="D29" s="12"/>
      <c r="E29"/>
      <c r="F29"/>
      <c r="G29"/>
      <c r="H29"/>
    </row>
    <row r="30" spans="1:8" x14ac:dyDescent="0.3">
      <c r="A30"/>
      <c r="B30" s="2" t="s">
        <v>270</v>
      </c>
      <c r="D30" s="12"/>
      <c r="E30"/>
      <c r="F30"/>
      <c r="G30"/>
      <c r="H30"/>
    </row>
    <row r="31" spans="1:8" customFormat="1" ht="12.75" x14ac:dyDescent="0.2">
      <c r="B31" s="56" t="s">
        <v>139</v>
      </c>
    </row>
    <row r="32" spans="1:8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I16" sqref="I1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460</v>
      </c>
      <c r="B1" s="68"/>
      <c r="C1" s="638" t="s">
        <v>109</v>
      </c>
      <c r="D1" s="638"/>
      <c r="E1" s="82"/>
    </row>
    <row r="2" spans="1:5" s="6" customFormat="1" x14ac:dyDescent="0.3">
      <c r="A2" s="65" t="s">
        <v>457</v>
      </c>
      <c r="B2" s="68"/>
      <c r="C2" s="628" t="s">
        <v>645</v>
      </c>
      <c r="D2" s="639"/>
      <c r="E2" s="639"/>
    </row>
    <row r="3" spans="1:5" s="6" customFormat="1" x14ac:dyDescent="0.3">
      <c r="A3" s="67" t="s">
        <v>140</v>
      </c>
      <c r="B3" s="65"/>
      <c r="C3" s="150"/>
      <c r="D3" s="150"/>
      <c r="E3" s="82"/>
    </row>
    <row r="4" spans="1:5" s="6" customFormat="1" x14ac:dyDescent="0.3">
      <c r="A4" s="67"/>
      <c r="B4" s="67"/>
      <c r="C4" s="150"/>
      <c r="D4" s="150"/>
      <c r="E4" s="82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71" t="str">
        <f>'ფორმა N1'!D4</f>
        <v>მოქალაქეთა  პოლიტიკური გაერთიანება "ეროვნული ფორუმი"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9"/>
      <c r="B8" s="149"/>
      <c r="C8" s="69"/>
      <c r="D8" s="69"/>
      <c r="E8" s="82"/>
    </row>
    <row r="9" spans="1:5" s="6" customFormat="1" ht="30" x14ac:dyDescent="0.3">
      <c r="A9" s="80" t="s">
        <v>64</v>
      </c>
      <c r="B9" s="80" t="s">
        <v>333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297</v>
      </c>
      <c r="B10" s="78"/>
      <c r="C10" s="419"/>
      <c r="D10" s="4"/>
      <c r="E10" s="84"/>
    </row>
    <row r="11" spans="1:5" s="10" customFormat="1" x14ac:dyDescent="0.2">
      <c r="A11" s="89" t="s">
        <v>298</v>
      </c>
      <c r="B11" s="89"/>
      <c r="C11" s="4"/>
      <c r="D11" s="4"/>
      <c r="E11" s="85"/>
    </row>
    <row r="12" spans="1:5" s="10" customFormat="1" x14ac:dyDescent="0.2">
      <c r="A12" s="89" t="s">
        <v>299</v>
      </c>
      <c r="B12" s="78"/>
      <c r="C12" s="419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9" x14ac:dyDescent="0.3">
      <c r="A17" s="90"/>
      <c r="B17" s="90" t="s">
        <v>335</v>
      </c>
      <c r="C17" s="77">
        <f>SUM(C10:C16)</f>
        <v>0</v>
      </c>
      <c r="D17" s="77">
        <f>SUM(D10:D16)</f>
        <v>0</v>
      </c>
      <c r="E17" s="87"/>
    </row>
    <row r="18" spans="1:9" x14ac:dyDescent="0.3">
      <c r="A18" s="34"/>
      <c r="B18" s="3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01"/>
    </row>
    <row r="22" spans="1:9" x14ac:dyDescent="0.3">
      <c r="A22" s="201" t="s">
        <v>403</v>
      </c>
    </row>
    <row r="23" spans="1:9" s="22" customFormat="1" ht="12.75" x14ac:dyDescent="0.2"/>
    <row r="24" spans="1:9" x14ac:dyDescent="0.3">
      <c r="A24" s="6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0"/>
      <c r="B27" s="6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56"/>
      <c r="B29" s="56" t="s">
        <v>139</v>
      </c>
    </row>
    <row r="30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80" zoomScaleNormal="100" zoomScaleSheetLayoutView="80" workbookViewId="0">
      <selection activeCell="P21" sqref="P2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3.85546875" style="2" customWidth="1"/>
    <col min="8" max="9" width="9.140625" style="2"/>
    <col min="10" max="10" width="14.42578125" style="2" customWidth="1"/>
    <col min="11" max="11" width="13.7109375" style="2" customWidth="1"/>
    <col min="12" max="16384" width="9.140625" style="2"/>
  </cols>
  <sheetData>
    <row r="1" spans="1:11" x14ac:dyDescent="0.3">
      <c r="A1" s="65" t="s">
        <v>224</v>
      </c>
      <c r="B1" s="110"/>
      <c r="C1" s="651" t="s">
        <v>198</v>
      </c>
      <c r="D1" s="651"/>
      <c r="E1" s="96"/>
    </row>
    <row r="2" spans="1:11" ht="15.75" customHeight="1" x14ac:dyDescent="0.3">
      <c r="A2" s="67" t="s">
        <v>140</v>
      </c>
      <c r="B2" s="110"/>
      <c r="C2" s="649" t="s">
        <v>645</v>
      </c>
      <c r="D2" s="649"/>
      <c r="E2" s="415"/>
      <c r="F2" s="415"/>
    </row>
    <row r="3" spans="1:11" x14ac:dyDescent="0.3">
      <c r="A3" s="107"/>
      <c r="B3" s="110"/>
      <c r="C3" s="68"/>
      <c r="D3" s="68"/>
      <c r="E3" s="96"/>
    </row>
    <row r="4" spans="1:11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99"/>
    </row>
    <row r="5" spans="1:11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109"/>
      <c r="C5" s="109"/>
      <c r="D5" s="49"/>
      <c r="E5" s="99"/>
    </row>
    <row r="6" spans="1:11" x14ac:dyDescent="0.3">
      <c r="A6" s="68"/>
      <c r="B6" s="67"/>
      <c r="C6" s="67"/>
      <c r="D6" s="67"/>
      <c r="E6" s="99"/>
    </row>
    <row r="7" spans="1:11" x14ac:dyDescent="0.3">
      <c r="A7" s="106"/>
      <c r="B7" s="111"/>
      <c r="C7" s="112"/>
      <c r="D7" s="112"/>
      <c r="E7" s="96"/>
    </row>
    <row r="8" spans="1:11" ht="45" x14ac:dyDescent="0.3">
      <c r="A8" s="113" t="s">
        <v>113</v>
      </c>
      <c r="B8" s="113" t="s">
        <v>190</v>
      </c>
      <c r="C8" s="113" t="s">
        <v>303</v>
      </c>
      <c r="D8" s="113" t="s">
        <v>257</v>
      </c>
      <c r="E8" s="96"/>
    </row>
    <row r="9" spans="1:11" x14ac:dyDescent="0.3">
      <c r="A9" s="39"/>
      <c r="B9" s="40"/>
      <c r="C9" s="146"/>
      <c r="D9" s="146"/>
      <c r="E9" s="96"/>
    </row>
    <row r="10" spans="1:11" x14ac:dyDescent="0.3">
      <c r="A10" s="41" t="s">
        <v>191</v>
      </c>
      <c r="B10" s="42"/>
      <c r="C10" s="567">
        <f>SUM(C11,C34)</f>
        <v>16531.509999999998</v>
      </c>
      <c r="D10" s="567">
        <f>SUM(D11,D34)</f>
        <v>5541.93</v>
      </c>
      <c r="E10" s="96"/>
      <c r="J10" s="561"/>
    </row>
    <row r="11" spans="1:11" x14ac:dyDescent="0.3">
      <c r="A11" s="43" t="s">
        <v>192</v>
      </c>
      <c r="B11" s="44"/>
      <c r="C11" s="551">
        <f>SUM(C12:C32)</f>
        <v>10835.939999999999</v>
      </c>
      <c r="D11" s="551">
        <f>SUM(D12:D32)</f>
        <v>1651.7999999999997</v>
      </c>
      <c r="E11" s="96"/>
      <c r="J11" s="561"/>
    </row>
    <row r="12" spans="1:11" x14ac:dyDescent="0.3">
      <c r="A12" s="47">
        <v>1110</v>
      </c>
      <c r="B12" s="46" t="s">
        <v>142</v>
      </c>
      <c r="C12" s="552">
        <v>2122.9499999999998</v>
      </c>
      <c r="D12" s="552">
        <v>940.65</v>
      </c>
      <c r="E12" s="96"/>
      <c r="J12" s="561"/>
      <c r="K12" s="561"/>
    </row>
    <row r="13" spans="1:11" x14ac:dyDescent="0.3">
      <c r="A13" s="47">
        <v>1120</v>
      </c>
      <c r="B13" s="46" t="s">
        <v>143</v>
      </c>
      <c r="C13" s="552"/>
      <c r="D13" s="552"/>
      <c r="E13" s="96"/>
      <c r="G13" s="561"/>
      <c r="K13" s="561"/>
    </row>
    <row r="14" spans="1:11" x14ac:dyDescent="0.3">
      <c r="A14" s="47">
        <v>1211</v>
      </c>
      <c r="B14" s="46" t="s">
        <v>144</v>
      </c>
      <c r="C14" s="552">
        <v>3425.85</v>
      </c>
      <c r="D14" s="552">
        <v>147.72</v>
      </c>
      <c r="E14" s="96"/>
      <c r="K14" s="561"/>
    </row>
    <row r="15" spans="1:11" x14ac:dyDescent="0.3">
      <c r="A15" s="47">
        <v>1212</v>
      </c>
      <c r="B15" s="46" t="s">
        <v>145</v>
      </c>
      <c r="C15" s="552"/>
      <c r="D15" s="552"/>
      <c r="E15" s="96"/>
      <c r="K15" s="561"/>
    </row>
    <row r="16" spans="1:11" x14ac:dyDescent="0.3">
      <c r="A16" s="47">
        <v>1213</v>
      </c>
      <c r="B16" s="46" t="s">
        <v>146</v>
      </c>
      <c r="C16" s="552"/>
      <c r="D16" s="552"/>
      <c r="E16" s="96"/>
      <c r="K16" s="2" t="s">
        <v>1314</v>
      </c>
    </row>
    <row r="17" spans="1:5" x14ac:dyDescent="0.3">
      <c r="A17" s="47">
        <v>1214</v>
      </c>
      <c r="B17" s="46" t="s">
        <v>147</v>
      </c>
      <c r="C17" s="552"/>
      <c r="D17" s="552"/>
      <c r="E17" s="96"/>
    </row>
    <row r="18" spans="1:5" x14ac:dyDescent="0.3">
      <c r="A18" s="47">
        <v>1215</v>
      </c>
      <c r="B18" s="46" t="s">
        <v>148</v>
      </c>
      <c r="C18" s="552"/>
      <c r="D18" s="552"/>
      <c r="E18" s="96"/>
    </row>
    <row r="19" spans="1:5" x14ac:dyDescent="0.3">
      <c r="A19" s="47">
        <v>1300</v>
      </c>
      <c r="B19" s="46" t="s">
        <v>149</v>
      </c>
      <c r="C19" s="552"/>
      <c r="D19" s="552"/>
      <c r="E19" s="96"/>
    </row>
    <row r="20" spans="1:5" x14ac:dyDescent="0.3">
      <c r="A20" s="47">
        <v>1410</v>
      </c>
      <c r="B20" s="46" t="s">
        <v>150</v>
      </c>
      <c r="C20" s="552"/>
      <c r="D20" s="552"/>
      <c r="E20" s="96"/>
    </row>
    <row r="21" spans="1:5" x14ac:dyDescent="0.3">
      <c r="A21" s="47">
        <v>1421</v>
      </c>
      <c r="B21" s="46" t="s">
        <v>151</v>
      </c>
      <c r="C21" s="552"/>
      <c r="D21" s="552"/>
      <c r="E21" s="96"/>
    </row>
    <row r="22" spans="1:5" x14ac:dyDescent="0.3">
      <c r="A22" s="47">
        <v>1422</v>
      </c>
      <c r="B22" s="46" t="s">
        <v>152</v>
      </c>
      <c r="C22" s="552"/>
      <c r="D22" s="552"/>
      <c r="E22" s="96"/>
    </row>
    <row r="23" spans="1:5" x14ac:dyDescent="0.3">
      <c r="A23" s="47">
        <v>1423</v>
      </c>
      <c r="B23" s="46" t="s">
        <v>153</v>
      </c>
      <c r="C23" s="552"/>
      <c r="D23" s="552"/>
      <c r="E23" s="96"/>
    </row>
    <row r="24" spans="1:5" x14ac:dyDescent="0.3">
      <c r="A24" s="47">
        <v>1431</v>
      </c>
      <c r="B24" s="46" t="s">
        <v>154</v>
      </c>
      <c r="C24" s="552"/>
      <c r="D24" s="552"/>
      <c r="E24" s="96"/>
    </row>
    <row r="25" spans="1:5" x14ac:dyDescent="0.3">
      <c r="A25" s="47">
        <v>1432</v>
      </c>
      <c r="B25" s="46" t="s">
        <v>155</v>
      </c>
      <c r="C25" s="552"/>
      <c r="D25" s="552"/>
      <c r="E25" s="96"/>
    </row>
    <row r="26" spans="1:5" x14ac:dyDescent="0.3">
      <c r="A26" s="47">
        <v>1433</v>
      </c>
      <c r="B26" s="46" t="s">
        <v>156</v>
      </c>
      <c r="C26" s="552">
        <v>787.14</v>
      </c>
      <c r="D26" s="552">
        <v>563.42999999999995</v>
      </c>
      <c r="E26" s="96"/>
    </row>
    <row r="27" spans="1:5" x14ac:dyDescent="0.3">
      <c r="A27" s="47">
        <v>1441</v>
      </c>
      <c r="B27" s="46" t="s">
        <v>157</v>
      </c>
      <c r="C27" s="552">
        <v>4500</v>
      </c>
      <c r="D27" s="552"/>
      <c r="E27" s="96"/>
    </row>
    <row r="28" spans="1:5" x14ac:dyDescent="0.3">
      <c r="A28" s="47">
        <v>1442</v>
      </c>
      <c r="B28" s="46" t="s">
        <v>158</v>
      </c>
      <c r="C28" s="552"/>
      <c r="D28" s="552"/>
      <c r="E28" s="96"/>
    </row>
    <row r="29" spans="1:5" x14ac:dyDescent="0.3">
      <c r="A29" s="47">
        <v>1443</v>
      </c>
      <c r="B29" s="46" t="s">
        <v>159</v>
      </c>
      <c r="C29" s="552"/>
      <c r="D29" s="552"/>
      <c r="E29" s="96"/>
    </row>
    <row r="30" spans="1:5" x14ac:dyDescent="0.3">
      <c r="A30" s="47">
        <v>1444</v>
      </c>
      <c r="B30" s="46" t="s">
        <v>160</v>
      </c>
      <c r="C30" s="552"/>
      <c r="D30" s="552"/>
      <c r="E30" s="96"/>
    </row>
    <row r="31" spans="1:5" x14ac:dyDescent="0.3">
      <c r="A31" s="47">
        <v>1445</v>
      </c>
      <c r="B31" s="46" t="s">
        <v>161</v>
      </c>
      <c r="C31" s="552"/>
      <c r="D31" s="552"/>
      <c r="E31" s="96"/>
    </row>
    <row r="32" spans="1:5" x14ac:dyDescent="0.3">
      <c r="A32" s="47">
        <v>1446</v>
      </c>
      <c r="B32" s="46" t="s">
        <v>162</v>
      </c>
      <c r="C32" s="552"/>
      <c r="D32" s="552"/>
      <c r="E32" s="96"/>
    </row>
    <row r="33" spans="1:5" x14ac:dyDescent="0.3">
      <c r="A33" s="30"/>
      <c r="C33" s="561"/>
      <c r="D33" s="561"/>
      <c r="E33" s="96"/>
    </row>
    <row r="34" spans="1:5" x14ac:dyDescent="0.3">
      <c r="A34" s="48" t="s">
        <v>193</v>
      </c>
      <c r="B34" s="46"/>
      <c r="C34" s="551">
        <f>SUM(C35:C42)</f>
        <v>5695.57</v>
      </c>
      <c r="D34" s="551">
        <f>SUM(D35:D42)</f>
        <v>3890.13</v>
      </c>
      <c r="E34" s="96"/>
    </row>
    <row r="35" spans="1:5" x14ac:dyDescent="0.3">
      <c r="A35" s="47">
        <v>2110</v>
      </c>
      <c r="B35" s="46" t="s">
        <v>100</v>
      </c>
      <c r="C35" s="552"/>
      <c r="D35" s="552"/>
      <c r="E35" s="96"/>
    </row>
    <row r="36" spans="1:5" x14ac:dyDescent="0.3">
      <c r="A36" s="47">
        <v>2120</v>
      </c>
      <c r="B36" s="46" t="s">
        <v>163</v>
      </c>
      <c r="C36" s="552">
        <v>3526.78</v>
      </c>
      <c r="D36" s="552">
        <v>3503.83</v>
      </c>
      <c r="E36" s="96"/>
    </row>
    <row r="37" spans="1:5" x14ac:dyDescent="0.3">
      <c r="A37" s="47">
        <v>2130</v>
      </c>
      <c r="B37" s="46" t="s">
        <v>101</v>
      </c>
      <c r="C37" s="552">
        <v>454.47</v>
      </c>
      <c r="D37" s="552">
        <v>386.3</v>
      </c>
      <c r="E37" s="96"/>
    </row>
    <row r="38" spans="1:5" x14ac:dyDescent="0.3">
      <c r="A38" s="47">
        <v>2140</v>
      </c>
      <c r="B38" s="46" t="s">
        <v>412</v>
      </c>
      <c r="C38" s="552"/>
      <c r="D38" s="552"/>
      <c r="E38" s="96"/>
    </row>
    <row r="39" spans="1:5" x14ac:dyDescent="0.3">
      <c r="A39" s="47">
        <v>2150</v>
      </c>
      <c r="B39" s="46" t="s">
        <v>416</v>
      </c>
      <c r="C39" s="552"/>
      <c r="D39" s="552"/>
      <c r="E39" s="96"/>
    </row>
    <row r="40" spans="1:5" x14ac:dyDescent="0.3">
      <c r="A40" s="47">
        <v>2220</v>
      </c>
      <c r="B40" s="46" t="s">
        <v>102</v>
      </c>
      <c r="C40" s="552">
        <v>1714.32</v>
      </c>
      <c r="D40" s="552">
        <v>0</v>
      </c>
      <c r="E40" s="96"/>
    </row>
    <row r="41" spans="1:5" x14ac:dyDescent="0.3">
      <c r="A41" s="47">
        <v>2300</v>
      </c>
      <c r="B41" s="46" t="s">
        <v>164</v>
      </c>
      <c r="C41" s="552"/>
      <c r="D41" s="552"/>
      <c r="E41" s="96"/>
    </row>
    <row r="42" spans="1:5" x14ac:dyDescent="0.3">
      <c r="A42" s="47">
        <v>2400</v>
      </c>
      <c r="B42" s="46" t="s">
        <v>165</v>
      </c>
      <c r="C42" s="552"/>
      <c r="D42" s="552"/>
      <c r="E42" s="96"/>
    </row>
    <row r="43" spans="1:5" x14ac:dyDescent="0.3">
      <c r="A43" s="31"/>
      <c r="C43" s="561"/>
      <c r="D43" s="561"/>
      <c r="E43" s="96"/>
    </row>
    <row r="44" spans="1:5" x14ac:dyDescent="0.3">
      <c r="A44" s="45" t="s">
        <v>197</v>
      </c>
      <c r="B44" s="46"/>
      <c r="C44" s="551">
        <f>SUM(C45,C64)</f>
        <v>16531.510000000009</v>
      </c>
      <c r="D44" s="551">
        <f>SUM(D45,D64)</f>
        <v>5541.929999999993</v>
      </c>
      <c r="E44" s="96"/>
    </row>
    <row r="45" spans="1:5" x14ac:dyDescent="0.3">
      <c r="A45" s="48" t="s">
        <v>194</v>
      </c>
      <c r="B45" s="46"/>
      <c r="C45" s="551">
        <f>SUM(C46:C61)</f>
        <v>149477.87</v>
      </c>
      <c r="D45" s="551">
        <f>SUM(D46:D61)</f>
        <v>151193.87</v>
      </c>
      <c r="E45" s="96"/>
    </row>
    <row r="46" spans="1:5" x14ac:dyDescent="0.3">
      <c r="A46" s="47">
        <v>3100</v>
      </c>
      <c r="B46" s="46" t="s">
        <v>166</v>
      </c>
      <c r="C46" s="552"/>
      <c r="D46" s="552"/>
      <c r="E46" s="96"/>
    </row>
    <row r="47" spans="1:5" x14ac:dyDescent="0.3">
      <c r="A47" s="47">
        <v>3210</v>
      </c>
      <c r="B47" s="46" t="s">
        <v>167</v>
      </c>
      <c r="C47" s="552">
        <v>149477.87</v>
      </c>
      <c r="D47" s="552">
        <f>149477.87+1375+250+91</f>
        <v>151193.87</v>
      </c>
      <c r="E47" s="96"/>
    </row>
    <row r="48" spans="1:5" x14ac:dyDescent="0.3">
      <c r="A48" s="47">
        <v>3221</v>
      </c>
      <c r="B48" s="46" t="s">
        <v>168</v>
      </c>
      <c r="C48" s="552"/>
      <c r="D48" s="552"/>
      <c r="E48" s="96"/>
    </row>
    <row r="49" spans="1:5" x14ac:dyDescent="0.3">
      <c r="A49" s="47">
        <v>3222</v>
      </c>
      <c r="B49" s="46" t="s">
        <v>169</v>
      </c>
      <c r="C49" s="552"/>
      <c r="D49" s="552"/>
      <c r="E49" s="96"/>
    </row>
    <row r="50" spans="1:5" x14ac:dyDescent="0.3">
      <c r="A50" s="47">
        <v>3223</v>
      </c>
      <c r="B50" s="46" t="s">
        <v>170</v>
      </c>
      <c r="C50" s="552"/>
      <c r="D50" s="552"/>
      <c r="E50" s="96"/>
    </row>
    <row r="51" spans="1:5" x14ac:dyDescent="0.3">
      <c r="A51" s="47">
        <v>3224</v>
      </c>
      <c r="B51" s="46" t="s">
        <v>171</v>
      </c>
      <c r="C51" s="552"/>
      <c r="D51" s="552"/>
      <c r="E51" s="96"/>
    </row>
    <row r="52" spans="1:5" x14ac:dyDescent="0.3">
      <c r="A52" s="47">
        <v>3231</v>
      </c>
      <c r="B52" s="46" t="s">
        <v>172</v>
      </c>
      <c r="C52" s="552"/>
      <c r="D52" s="552"/>
      <c r="E52" s="96"/>
    </row>
    <row r="53" spans="1:5" x14ac:dyDescent="0.3">
      <c r="A53" s="47">
        <v>3232</v>
      </c>
      <c r="B53" s="46" t="s">
        <v>173</v>
      </c>
      <c r="C53" s="552"/>
      <c r="D53" s="552"/>
      <c r="E53" s="96"/>
    </row>
    <row r="54" spans="1:5" x14ac:dyDescent="0.3">
      <c r="A54" s="47">
        <v>3234</v>
      </c>
      <c r="B54" s="46" t="s">
        <v>174</v>
      </c>
      <c r="C54" s="552"/>
      <c r="D54" s="552"/>
      <c r="E54" s="96"/>
    </row>
    <row r="55" spans="1:5" ht="30" x14ac:dyDescent="0.3">
      <c r="A55" s="47">
        <v>3236</v>
      </c>
      <c r="B55" s="46" t="s">
        <v>189</v>
      </c>
      <c r="C55" s="552"/>
      <c r="D55" s="552"/>
      <c r="E55" s="96"/>
    </row>
    <row r="56" spans="1:5" ht="45" x14ac:dyDescent="0.3">
      <c r="A56" s="47">
        <v>3237</v>
      </c>
      <c r="B56" s="46" t="s">
        <v>175</v>
      </c>
      <c r="C56" s="552"/>
      <c r="D56" s="552"/>
      <c r="E56" s="96"/>
    </row>
    <row r="57" spans="1:5" x14ac:dyDescent="0.3">
      <c r="A57" s="47">
        <v>3241</v>
      </c>
      <c r="B57" s="46" t="s">
        <v>176</v>
      </c>
      <c r="C57" s="552"/>
      <c r="D57" s="552"/>
      <c r="E57" s="96"/>
    </row>
    <row r="58" spans="1:5" x14ac:dyDescent="0.3">
      <c r="A58" s="47">
        <v>3242</v>
      </c>
      <c r="B58" s="46" t="s">
        <v>177</v>
      </c>
      <c r="C58" s="552"/>
      <c r="D58" s="552"/>
      <c r="E58" s="96"/>
    </row>
    <row r="59" spans="1:5" x14ac:dyDescent="0.3">
      <c r="A59" s="47">
        <v>3243</v>
      </c>
      <c r="B59" s="46" t="s">
        <v>178</v>
      </c>
      <c r="C59" s="552"/>
      <c r="D59" s="552"/>
      <c r="E59" s="96"/>
    </row>
    <row r="60" spans="1:5" x14ac:dyDescent="0.3">
      <c r="A60" s="47">
        <v>3245</v>
      </c>
      <c r="B60" s="46" t="s">
        <v>179</v>
      </c>
      <c r="C60" s="552"/>
      <c r="D60" s="552"/>
      <c r="E60" s="96"/>
    </row>
    <row r="61" spans="1:5" x14ac:dyDescent="0.3">
      <c r="A61" s="47">
        <v>3246</v>
      </c>
      <c r="B61" s="46" t="s">
        <v>180</v>
      </c>
      <c r="C61" s="552"/>
      <c r="D61" s="552"/>
      <c r="E61" s="96"/>
    </row>
    <row r="62" spans="1:5" x14ac:dyDescent="0.3">
      <c r="A62" s="31"/>
      <c r="C62" s="561"/>
      <c r="D62" s="561"/>
      <c r="E62" s="96"/>
    </row>
    <row r="63" spans="1:5" x14ac:dyDescent="0.3">
      <c r="A63" s="32"/>
      <c r="C63" s="561"/>
      <c r="D63" s="561"/>
      <c r="E63" s="96"/>
    </row>
    <row r="64" spans="1:5" x14ac:dyDescent="0.3">
      <c r="A64" s="48" t="s">
        <v>195</v>
      </c>
      <c r="B64" s="46"/>
      <c r="C64" s="551">
        <f>SUM(C65:C67)</f>
        <v>-132946.35999999999</v>
      </c>
      <c r="D64" s="551">
        <f>SUM(D65:D67)</f>
        <v>-145651.94</v>
      </c>
      <c r="E64" s="96"/>
    </row>
    <row r="65" spans="1:5" x14ac:dyDescent="0.3">
      <c r="A65" s="47">
        <v>5100</v>
      </c>
      <c r="B65" s="46" t="s">
        <v>255</v>
      </c>
      <c r="C65" s="552"/>
      <c r="D65" s="552"/>
      <c r="E65" s="96"/>
    </row>
    <row r="66" spans="1:5" x14ac:dyDescent="0.3">
      <c r="A66" s="47">
        <v>5220</v>
      </c>
      <c r="B66" s="46" t="s">
        <v>436</v>
      </c>
      <c r="C66" s="552"/>
      <c r="D66" s="552"/>
      <c r="E66" s="96"/>
    </row>
    <row r="67" spans="1:5" x14ac:dyDescent="0.3">
      <c r="A67" s="47">
        <v>5230</v>
      </c>
      <c r="B67" s="46" t="s">
        <v>437</v>
      </c>
      <c r="C67" s="552">
        <v>-132946.35999999999</v>
      </c>
      <c r="D67" s="552">
        <f>-145651.94</f>
        <v>-145651.94</v>
      </c>
      <c r="E67" s="96"/>
    </row>
    <row r="68" spans="1:5" x14ac:dyDescent="0.3">
      <c r="A68" s="31"/>
      <c r="C68" s="561"/>
      <c r="D68" s="561"/>
      <c r="E68" s="96"/>
    </row>
    <row r="69" spans="1:5" x14ac:dyDescent="0.3">
      <c r="A69" s="2"/>
      <c r="C69" s="561"/>
      <c r="D69" s="561"/>
      <c r="E69" s="96"/>
    </row>
    <row r="70" spans="1:5" x14ac:dyDescent="0.3">
      <c r="A70" s="45" t="s">
        <v>196</v>
      </c>
      <c r="B70" s="46"/>
      <c r="C70" s="552"/>
      <c r="D70" s="552"/>
      <c r="E70" s="96"/>
    </row>
    <row r="71" spans="1:5" ht="30" x14ac:dyDescent="0.3">
      <c r="A71" s="47">
        <v>1</v>
      </c>
      <c r="B71" s="46" t="s">
        <v>181</v>
      </c>
      <c r="C71" s="552"/>
      <c r="D71" s="552"/>
      <c r="E71" s="96"/>
    </row>
    <row r="72" spans="1:5" x14ac:dyDescent="0.3">
      <c r="A72" s="47">
        <v>2</v>
      </c>
      <c r="B72" s="46" t="s">
        <v>182</v>
      </c>
      <c r="C72" s="552"/>
      <c r="D72" s="552"/>
      <c r="E72" s="96"/>
    </row>
    <row r="73" spans="1:5" x14ac:dyDescent="0.3">
      <c r="A73" s="47">
        <v>3</v>
      </c>
      <c r="B73" s="46" t="s">
        <v>183</v>
      </c>
      <c r="C73" s="552"/>
      <c r="D73" s="552"/>
      <c r="E73" s="96"/>
    </row>
    <row r="74" spans="1:5" x14ac:dyDescent="0.3">
      <c r="A74" s="47">
        <v>4</v>
      </c>
      <c r="B74" s="46" t="s">
        <v>367</v>
      </c>
      <c r="C74" s="552"/>
      <c r="D74" s="552"/>
      <c r="E74" s="96"/>
    </row>
    <row r="75" spans="1:5" x14ac:dyDescent="0.3">
      <c r="A75" s="47">
        <v>5</v>
      </c>
      <c r="B75" s="46" t="s">
        <v>184</v>
      </c>
      <c r="C75" s="552"/>
      <c r="D75" s="552"/>
      <c r="E75" s="96"/>
    </row>
    <row r="76" spans="1:5" x14ac:dyDescent="0.3">
      <c r="A76" s="47">
        <v>6</v>
      </c>
      <c r="B76" s="46" t="s">
        <v>185</v>
      </c>
      <c r="C76" s="552"/>
      <c r="D76" s="552"/>
      <c r="E76" s="96"/>
    </row>
    <row r="77" spans="1:5" x14ac:dyDescent="0.3">
      <c r="A77" s="47">
        <v>7</v>
      </c>
      <c r="B77" s="46" t="s">
        <v>186</v>
      </c>
      <c r="C77" s="8"/>
      <c r="D77" s="8"/>
      <c r="E77" s="96"/>
    </row>
    <row r="78" spans="1:5" x14ac:dyDescent="0.3">
      <c r="A78" s="47">
        <v>8</v>
      </c>
      <c r="B78" s="46" t="s">
        <v>187</v>
      </c>
      <c r="C78" s="8"/>
      <c r="D78" s="8"/>
      <c r="E78" s="96"/>
    </row>
    <row r="79" spans="1:5" x14ac:dyDescent="0.3">
      <c r="A79" s="47">
        <v>9</v>
      </c>
      <c r="B79" s="46" t="s">
        <v>188</v>
      </c>
      <c r="C79" s="8"/>
      <c r="D79" s="8"/>
      <c r="E79" s="96"/>
    </row>
    <row r="83" spans="1:6" x14ac:dyDescent="0.3">
      <c r="A83" s="2"/>
      <c r="B83" s="2"/>
    </row>
    <row r="84" spans="1:6" x14ac:dyDescent="0.3">
      <c r="A84" s="60" t="s">
        <v>107</v>
      </c>
      <c r="B84" s="2"/>
      <c r="E84" s="5"/>
    </row>
    <row r="85" spans="1:6" x14ac:dyDescent="0.3">
      <c r="A85" s="2"/>
      <c r="B85" s="2"/>
      <c r="E85"/>
      <c r="F85"/>
    </row>
    <row r="86" spans="1:6" x14ac:dyDescent="0.3">
      <c r="A86" s="2"/>
      <c r="B86" s="2"/>
      <c r="D86" s="12"/>
      <c r="E86"/>
      <c r="F86"/>
    </row>
    <row r="87" spans="1:6" x14ac:dyDescent="0.3">
      <c r="A87"/>
      <c r="B87" s="60" t="s">
        <v>448</v>
      </c>
      <c r="D87" s="12"/>
      <c r="E87"/>
      <c r="F87"/>
    </row>
    <row r="88" spans="1:6" x14ac:dyDescent="0.3">
      <c r="A88"/>
      <c r="B88" s="2" t="s">
        <v>449</v>
      </c>
      <c r="D88" s="12"/>
      <c r="E88"/>
      <c r="F88"/>
    </row>
    <row r="89" spans="1:6" customFormat="1" ht="12.75" x14ac:dyDescent="0.2">
      <c r="B89" s="56" t="s">
        <v>139</v>
      </c>
    </row>
    <row r="90" spans="1:6" customFormat="1" ht="12.75" x14ac:dyDescent="0.2"/>
    <row r="91" spans="1:6" customFormat="1" ht="12.75" x14ac:dyDescent="0.2"/>
    <row r="92" spans="1:6" customFormat="1" ht="12.75" x14ac:dyDescent="0.2"/>
    <row r="93" spans="1:6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G10" sqref="G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5" t="s">
        <v>454</v>
      </c>
      <c r="B1" s="67"/>
      <c r="C1" s="67"/>
      <c r="D1" s="67"/>
      <c r="E1" s="67"/>
      <c r="F1" s="67"/>
      <c r="G1" s="67"/>
      <c r="H1" s="67"/>
      <c r="I1" s="638" t="s">
        <v>109</v>
      </c>
      <c r="J1" s="638"/>
      <c r="K1" s="96"/>
    </row>
    <row r="2" spans="1:11" x14ac:dyDescent="0.3">
      <c r="A2" s="67" t="s">
        <v>140</v>
      </c>
      <c r="B2" s="67"/>
      <c r="C2" s="67"/>
      <c r="D2" s="67"/>
      <c r="E2" s="67"/>
      <c r="F2" s="67"/>
      <c r="G2" s="67"/>
      <c r="H2" s="67"/>
      <c r="I2" s="628" t="s">
        <v>645</v>
      </c>
      <c r="J2" s="639"/>
      <c r="K2" s="639"/>
    </row>
    <row r="3" spans="1:11" x14ac:dyDescent="0.3">
      <c r="A3" s="67"/>
      <c r="B3" s="67"/>
      <c r="C3" s="67"/>
      <c r="D3" s="67"/>
      <c r="E3" s="67"/>
      <c r="F3" s="67"/>
      <c r="G3" s="67"/>
      <c r="H3" s="67"/>
      <c r="I3" s="66"/>
      <c r="J3" s="66"/>
      <c r="K3" s="96"/>
    </row>
    <row r="4" spans="1:11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114"/>
      <c r="G4" s="67"/>
      <c r="H4" s="67"/>
      <c r="I4" s="67"/>
      <c r="J4" s="67"/>
      <c r="K4" s="96"/>
    </row>
    <row r="5" spans="1:11" x14ac:dyDescent="0.3">
      <c r="A5" s="208" t="str">
        <f>'ფორმა N1'!D4</f>
        <v>მოქალაქეთა  პოლიტიკური გაერთიანება "ეროვნული ფორუმი"</v>
      </c>
      <c r="B5" s="363"/>
      <c r="C5" s="363"/>
      <c r="D5" s="363"/>
      <c r="E5" s="363"/>
      <c r="F5" s="364"/>
      <c r="G5" s="363"/>
      <c r="H5" s="363"/>
      <c r="I5" s="363"/>
      <c r="J5" s="363"/>
      <c r="K5" s="96"/>
    </row>
    <row r="6" spans="1:11" x14ac:dyDescent="0.3">
      <c r="A6" s="68"/>
      <c r="B6" s="68"/>
      <c r="C6" s="67"/>
      <c r="D6" s="67"/>
      <c r="E6" s="67"/>
      <c r="F6" s="114"/>
      <c r="G6" s="67"/>
      <c r="H6" s="67"/>
      <c r="I6" s="67"/>
      <c r="J6" s="67"/>
      <c r="K6" s="96"/>
    </row>
    <row r="7" spans="1:11" x14ac:dyDescent="0.3">
      <c r="A7" s="115"/>
      <c r="B7" s="112"/>
      <c r="C7" s="112"/>
      <c r="D7" s="112"/>
      <c r="E7" s="112"/>
      <c r="F7" s="112"/>
      <c r="G7" s="112"/>
      <c r="H7" s="112"/>
      <c r="I7" s="112"/>
      <c r="J7" s="112"/>
      <c r="K7" s="96"/>
    </row>
    <row r="8" spans="1:11" s="26" customFormat="1" ht="45" x14ac:dyDescent="0.3">
      <c r="A8" s="117" t="s">
        <v>64</v>
      </c>
      <c r="B8" s="117" t="s">
        <v>111</v>
      </c>
      <c r="C8" s="118" t="s">
        <v>113</v>
      </c>
      <c r="D8" s="118" t="s">
        <v>275</v>
      </c>
      <c r="E8" s="118" t="s">
        <v>112</v>
      </c>
      <c r="F8" s="116" t="s">
        <v>256</v>
      </c>
      <c r="G8" s="116" t="s">
        <v>294</v>
      </c>
      <c r="H8" s="116" t="s">
        <v>295</v>
      </c>
      <c r="I8" s="116" t="s">
        <v>257</v>
      </c>
      <c r="J8" s="119" t="s">
        <v>114</v>
      </c>
      <c r="K8" s="96"/>
    </row>
    <row r="9" spans="1:11" s="26" customFormat="1" x14ac:dyDescent="0.3">
      <c r="A9" s="147">
        <v>1</v>
      </c>
      <c r="B9" s="147">
        <v>2</v>
      </c>
      <c r="C9" s="148">
        <v>3</v>
      </c>
      <c r="D9" s="148">
        <v>4</v>
      </c>
      <c r="E9" s="148">
        <v>5</v>
      </c>
      <c r="F9" s="148">
        <v>6</v>
      </c>
      <c r="G9" s="148">
        <v>7</v>
      </c>
      <c r="H9" s="148">
        <v>8</v>
      </c>
      <c r="I9" s="148">
        <v>9</v>
      </c>
      <c r="J9" s="148">
        <v>10</v>
      </c>
      <c r="K9" s="96"/>
    </row>
    <row r="10" spans="1:11" s="26" customFormat="1" ht="39.75" customHeight="1" x14ac:dyDescent="0.3">
      <c r="A10" s="425">
        <v>1</v>
      </c>
      <c r="B10" s="420" t="s">
        <v>526</v>
      </c>
      <c r="C10" s="421" t="s">
        <v>657</v>
      </c>
      <c r="D10" s="422" t="s">
        <v>221</v>
      </c>
      <c r="E10" s="423" t="s">
        <v>658</v>
      </c>
      <c r="F10" s="424">
        <v>3425.85</v>
      </c>
      <c r="G10" s="424">
        <v>1175481.98</v>
      </c>
      <c r="H10" s="424">
        <v>1178760.1100000001</v>
      </c>
      <c r="I10" s="424">
        <f>F10+G10-H10</f>
        <v>147.71999999997206</v>
      </c>
      <c r="J10" s="424"/>
      <c r="K10" s="96"/>
    </row>
    <row r="11" spans="1:11" x14ac:dyDescent="0.3">
      <c r="A11" s="95"/>
      <c r="B11" s="95"/>
      <c r="C11" s="95"/>
      <c r="D11" s="95"/>
      <c r="E11" s="95"/>
      <c r="F11" s="95"/>
      <c r="G11" s="95"/>
      <c r="H11" s="95"/>
      <c r="I11" s="95"/>
      <c r="J11" s="95"/>
    </row>
    <row r="12" spans="1:1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spans="1:1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1" x14ac:dyDescent="0.3">
      <c r="A15" s="95"/>
      <c r="B15" s="219" t="s">
        <v>107</v>
      </c>
      <c r="C15" s="95"/>
      <c r="D15" s="95"/>
      <c r="E15" s="95"/>
      <c r="F15" s="220"/>
      <c r="G15" s="95"/>
      <c r="H15" s="95"/>
      <c r="I15" s="95"/>
      <c r="J15" s="95"/>
    </row>
    <row r="16" spans="1:11" x14ac:dyDescent="0.3">
      <c r="A16" s="95"/>
      <c r="B16" s="95"/>
      <c r="C16" s="95"/>
      <c r="D16" s="95"/>
      <c r="E16" s="95"/>
      <c r="F16" s="92"/>
      <c r="G16" s="92"/>
      <c r="H16" s="92"/>
      <c r="I16" s="92"/>
      <c r="J16" s="92"/>
    </row>
    <row r="17" spans="1:10" x14ac:dyDescent="0.3">
      <c r="A17" s="95"/>
      <c r="B17" s="95"/>
      <c r="C17" s="265"/>
      <c r="D17" s="95"/>
      <c r="E17" s="95"/>
      <c r="F17" s="265"/>
      <c r="G17" s="266"/>
      <c r="H17" s="266"/>
      <c r="I17" s="92"/>
      <c r="J17" s="92"/>
    </row>
    <row r="18" spans="1:10" x14ac:dyDescent="0.3">
      <c r="A18" s="92"/>
      <c r="B18" s="95"/>
      <c r="C18" s="221" t="s">
        <v>268</v>
      </c>
      <c r="D18" s="221"/>
      <c r="E18" s="95"/>
      <c r="F18" s="95" t="s">
        <v>273</v>
      </c>
      <c r="G18" s="92"/>
      <c r="H18" s="92"/>
      <c r="I18" s="92"/>
      <c r="J18" s="92"/>
    </row>
    <row r="19" spans="1:10" x14ac:dyDescent="0.3">
      <c r="A19" s="92"/>
      <c r="B19" s="95"/>
      <c r="C19" s="222" t="s">
        <v>139</v>
      </c>
      <c r="D19" s="95"/>
      <c r="E19" s="95"/>
      <c r="F19" s="95" t="s">
        <v>269</v>
      </c>
      <c r="G19" s="92"/>
      <c r="H19" s="92"/>
      <c r="I19" s="92"/>
      <c r="J19" s="92"/>
    </row>
    <row r="20" spans="1:10" customFormat="1" x14ac:dyDescent="0.3">
      <c r="A20" s="92"/>
      <c r="B20" s="95"/>
      <c r="C20" s="95"/>
      <c r="D20" s="222"/>
      <c r="E20" s="92"/>
      <c r="F20" s="92"/>
      <c r="G20" s="92"/>
      <c r="H20" s="92"/>
      <c r="I20" s="92"/>
      <c r="J20" s="92"/>
    </row>
    <row r="21" spans="1:10" customFormat="1" ht="12.75" x14ac:dyDescent="0.2">
      <c r="A21" s="92"/>
      <c r="B21" s="92"/>
      <c r="C21" s="92"/>
      <c r="D21" s="92"/>
      <c r="E21" s="92"/>
      <c r="F21" s="92"/>
      <c r="G21" s="92"/>
      <c r="H21" s="92"/>
      <c r="I21" s="92"/>
      <c r="J21" s="9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J19" sqref="J1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5" t="s">
        <v>301</v>
      </c>
      <c r="B1" s="67"/>
      <c r="C1" s="638" t="s">
        <v>109</v>
      </c>
      <c r="D1" s="638"/>
      <c r="E1" s="99"/>
    </row>
    <row r="2" spans="1:7" x14ac:dyDescent="0.3">
      <c r="A2" s="67" t="s">
        <v>140</v>
      </c>
      <c r="B2" s="67"/>
      <c r="C2" s="628" t="s">
        <v>645</v>
      </c>
      <c r="D2" s="639"/>
      <c r="E2" s="639"/>
    </row>
    <row r="3" spans="1:7" x14ac:dyDescent="0.3">
      <c r="A3" s="65"/>
      <c r="B3" s="67"/>
      <c r="C3" s="66"/>
      <c r="D3" s="66"/>
      <c r="E3" s="99"/>
    </row>
    <row r="4" spans="1:7" x14ac:dyDescent="0.3">
      <c r="A4" s="68" t="s">
        <v>274</v>
      </c>
      <c r="B4" s="93"/>
      <c r="C4" s="94"/>
      <c r="D4" s="67"/>
      <c r="E4" s="99"/>
    </row>
    <row r="5" spans="1:7" x14ac:dyDescent="0.3">
      <c r="A5" s="366" t="str">
        <f>'ფორმა N1'!D4</f>
        <v>მოქალაქეთა  პოლიტიკური გაერთიანება "ეროვნული ფორუმი"</v>
      </c>
      <c r="B5" s="12"/>
      <c r="C5" s="12"/>
      <c r="E5" s="99"/>
    </row>
    <row r="6" spans="1:7" x14ac:dyDescent="0.3">
      <c r="A6" s="95"/>
      <c r="B6" s="95"/>
      <c r="C6" s="95"/>
      <c r="D6" s="96"/>
      <c r="E6" s="99"/>
    </row>
    <row r="7" spans="1:7" x14ac:dyDescent="0.3">
      <c r="A7" s="67"/>
      <c r="B7" s="67"/>
      <c r="C7" s="67"/>
      <c r="D7" s="67"/>
      <c r="E7" s="99"/>
    </row>
    <row r="8" spans="1:7" s="6" customFormat="1" ht="39" customHeight="1" x14ac:dyDescent="0.3">
      <c r="A8" s="97" t="s">
        <v>64</v>
      </c>
      <c r="B8" s="70" t="s">
        <v>249</v>
      </c>
      <c r="C8" s="70" t="s">
        <v>66</v>
      </c>
      <c r="D8" s="70" t="s">
        <v>67</v>
      </c>
      <c r="E8" s="99"/>
    </row>
    <row r="9" spans="1:7" s="7" customFormat="1" ht="16.5" customHeight="1" x14ac:dyDescent="0.3">
      <c r="A9" s="226">
        <v>1</v>
      </c>
      <c r="B9" s="226" t="s">
        <v>65</v>
      </c>
      <c r="C9" s="76">
        <f>SUM(C10,C26)</f>
        <v>341804</v>
      </c>
      <c r="D9" s="76">
        <f>SUM(D10,D26)</f>
        <v>341804</v>
      </c>
      <c r="E9" s="99"/>
    </row>
    <row r="10" spans="1:7" s="7" customFormat="1" ht="16.5" customHeight="1" x14ac:dyDescent="0.3">
      <c r="A10" s="78">
        <v>1.1000000000000001</v>
      </c>
      <c r="B10" s="78" t="s">
        <v>80</v>
      </c>
      <c r="C10" s="76">
        <f>SUM(C11,C12,C16,C19,C25,C26)</f>
        <v>341804</v>
      </c>
      <c r="D10" s="76">
        <f>SUM(D11,D12,D16,D19,D24,D25)</f>
        <v>341804</v>
      </c>
      <c r="E10" s="99"/>
    </row>
    <row r="11" spans="1:7" s="9" customFormat="1" ht="16.5" customHeight="1" x14ac:dyDescent="0.3">
      <c r="A11" s="79" t="s">
        <v>30</v>
      </c>
      <c r="B11" s="79" t="s">
        <v>79</v>
      </c>
      <c r="C11" s="8"/>
      <c r="D11" s="8"/>
      <c r="E11" s="99"/>
    </row>
    <row r="12" spans="1:7" s="10" customFormat="1" ht="16.5" customHeight="1" x14ac:dyDescent="0.3">
      <c r="A12" s="79" t="s">
        <v>31</v>
      </c>
      <c r="B12" s="79" t="s">
        <v>308</v>
      </c>
      <c r="C12" s="8">
        <f>C13</f>
        <v>8850</v>
      </c>
      <c r="D12" s="8">
        <f>D13</f>
        <v>8850</v>
      </c>
      <c r="E12" s="99"/>
      <c r="G12" s="59"/>
    </row>
    <row r="13" spans="1:7" s="3" customFormat="1" ht="16.5" customHeight="1" x14ac:dyDescent="0.3">
      <c r="A13" s="88" t="s">
        <v>81</v>
      </c>
      <c r="B13" s="88" t="s">
        <v>311</v>
      </c>
      <c r="C13" s="8">
        <v>8850</v>
      </c>
      <c r="D13" s="8">
        <v>8850</v>
      </c>
      <c r="E13" s="99"/>
    </row>
    <row r="14" spans="1:7" s="3" customFormat="1" ht="16.5" customHeight="1" x14ac:dyDescent="0.3">
      <c r="A14" s="88" t="s">
        <v>507</v>
      </c>
      <c r="B14" s="88" t="s">
        <v>506</v>
      </c>
      <c r="C14" s="8"/>
      <c r="D14" s="8"/>
      <c r="E14" s="99"/>
    </row>
    <row r="15" spans="1:7" s="3" customFormat="1" ht="16.5" customHeight="1" x14ac:dyDescent="0.3">
      <c r="A15" s="88" t="s">
        <v>508</v>
      </c>
      <c r="B15" s="88" t="s">
        <v>97</v>
      </c>
      <c r="C15" s="8"/>
      <c r="D15" s="8"/>
      <c r="E15" s="99"/>
    </row>
    <row r="16" spans="1:7" s="3" customFormat="1" ht="16.5" customHeight="1" x14ac:dyDescent="0.3">
      <c r="A16" s="79" t="s">
        <v>82</v>
      </c>
      <c r="B16" s="79" t="s">
        <v>83</v>
      </c>
      <c r="C16" s="98">
        <f>SUM(C17:C18)</f>
        <v>332954</v>
      </c>
      <c r="D16" s="98">
        <f>SUM(D17:D18)</f>
        <v>332954</v>
      </c>
      <c r="E16" s="99"/>
    </row>
    <row r="17" spans="1:5" s="3" customFormat="1" ht="16.5" customHeight="1" x14ac:dyDescent="0.3">
      <c r="A17" s="88" t="s">
        <v>84</v>
      </c>
      <c r="B17" s="88" t="s">
        <v>86</v>
      </c>
      <c r="C17" s="8">
        <f>267685+25815</f>
        <v>293500</v>
      </c>
      <c r="D17" s="8">
        <f>267685+25815</f>
        <v>293500</v>
      </c>
      <c r="E17" s="99"/>
    </row>
    <row r="18" spans="1:5" s="3" customFormat="1" ht="30" x14ac:dyDescent="0.3">
      <c r="A18" s="88" t="s">
        <v>85</v>
      </c>
      <c r="B18" s="88" t="s">
        <v>110</v>
      </c>
      <c r="C18" s="563">
        <f>39454</f>
        <v>39454</v>
      </c>
      <c r="D18" s="563">
        <v>39454</v>
      </c>
      <c r="E18" s="99"/>
    </row>
    <row r="19" spans="1:5" s="3" customFormat="1" ht="16.5" customHeight="1" x14ac:dyDescent="0.3">
      <c r="A19" s="79" t="s">
        <v>87</v>
      </c>
      <c r="B19" s="79" t="s">
        <v>418</v>
      </c>
      <c r="C19" s="98">
        <f>SUM(C20:C23)</f>
        <v>0</v>
      </c>
      <c r="D19" s="98">
        <f>SUM(D20:D23)</f>
        <v>0</v>
      </c>
      <c r="E19" s="99"/>
    </row>
    <row r="20" spans="1:5" s="3" customFormat="1" ht="16.5" customHeight="1" x14ac:dyDescent="0.3">
      <c r="A20" s="88" t="s">
        <v>88</v>
      </c>
      <c r="B20" s="88" t="s">
        <v>89</v>
      </c>
      <c r="C20" s="8"/>
      <c r="D20" s="8"/>
      <c r="E20" s="99"/>
    </row>
    <row r="21" spans="1:5" s="3" customFormat="1" ht="30" x14ac:dyDescent="0.3">
      <c r="A21" s="88" t="s">
        <v>92</v>
      </c>
      <c r="B21" s="88" t="s">
        <v>90</v>
      </c>
      <c r="C21" s="8"/>
      <c r="D21" s="8"/>
      <c r="E21" s="99"/>
    </row>
    <row r="22" spans="1:5" s="3" customFormat="1" ht="16.5" customHeight="1" x14ac:dyDescent="0.3">
      <c r="A22" s="88" t="s">
        <v>93</v>
      </c>
      <c r="B22" s="88" t="s">
        <v>91</v>
      </c>
      <c r="C22" s="8"/>
      <c r="D22" s="8"/>
      <c r="E22" s="99"/>
    </row>
    <row r="23" spans="1:5" s="3" customFormat="1" ht="16.5" customHeight="1" x14ac:dyDescent="0.3">
      <c r="A23" s="88" t="s">
        <v>94</v>
      </c>
      <c r="B23" s="88" t="s">
        <v>446</v>
      </c>
      <c r="C23" s="8"/>
      <c r="D23" s="8"/>
      <c r="E23" s="99"/>
    </row>
    <row r="24" spans="1:5" s="3" customFormat="1" ht="16.5" customHeight="1" x14ac:dyDescent="0.3">
      <c r="A24" s="79" t="s">
        <v>95</v>
      </c>
      <c r="B24" s="79" t="s">
        <v>447</v>
      </c>
      <c r="C24" s="260"/>
      <c r="D24" s="8"/>
      <c r="E24" s="99"/>
    </row>
    <row r="25" spans="1:5" s="3" customFormat="1" x14ac:dyDescent="0.3">
      <c r="A25" s="79" t="s">
        <v>251</v>
      </c>
      <c r="B25" s="79" t="s">
        <v>453</v>
      </c>
      <c r="C25" s="8"/>
      <c r="D25" s="8"/>
      <c r="E25" s="99"/>
    </row>
    <row r="26" spans="1:5" ht="16.5" customHeight="1" x14ac:dyDescent="0.3">
      <c r="A26" s="78">
        <v>1.2</v>
      </c>
      <c r="B26" s="78" t="s">
        <v>96</v>
      </c>
      <c r="C26" s="76">
        <f>SUM(C27,C35)</f>
        <v>0</v>
      </c>
      <c r="D26" s="76">
        <f>SUM(D27,D35)</f>
        <v>0</v>
      </c>
      <c r="E26" s="99"/>
    </row>
    <row r="27" spans="1:5" ht="16.5" customHeight="1" x14ac:dyDescent="0.3">
      <c r="A27" s="79" t="s">
        <v>32</v>
      </c>
      <c r="B27" s="79" t="s">
        <v>311</v>
      </c>
      <c r="C27" s="98">
        <f>SUM(C28:C30)</f>
        <v>0</v>
      </c>
      <c r="D27" s="98">
        <f>SUM(D28:D30)</f>
        <v>0</v>
      </c>
      <c r="E27" s="99"/>
    </row>
    <row r="28" spans="1:5" x14ac:dyDescent="0.3">
      <c r="A28" s="232" t="s">
        <v>98</v>
      </c>
      <c r="B28" s="232" t="s">
        <v>309</v>
      </c>
      <c r="C28" s="8"/>
      <c r="D28" s="8"/>
      <c r="E28" s="99"/>
    </row>
    <row r="29" spans="1:5" x14ac:dyDescent="0.3">
      <c r="A29" s="232" t="s">
        <v>99</v>
      </c>
      <c r="B29" s="232" t="s">
        <v>312</v>
      </c>
      <c r="C29" s="8"/>
      <c r="D29" s="8"/>
      <c r="E29" s="99"/>
    </row>
    <row r="30" spans="1:5" x14ac:dyDescent="0.3">
      <c r="A30" s="232" t="s">
        <v>455</v>
      </c>
      <c r="B30" s="232" t="s">
        <v>310</v>
      </c>
      <c r="C30" s="8"/>
      <c r="D30" s="8"/>
      <c r="E30" s="99"/>
    </row>
    <row r="31" spans="1:5" x14ac:dyDescent="0.3">
      <c r="A31" s="79" t="s">
        <v>33</v>
      </c>
      <c r="B31" s="79" t="s">
        <v>506</v>
      </c>
      <c r="C31" s="98">
        <f>SUM(C32:C34)</f>
        <v>0</v>
      </c>
      <c r="D31" s="98">
        <f>SUM(D32:D34)</f>
        <v>0</v>
      </c>
      <c r="E31" s="99"/>
    </row>
    <row r="32" spans="1:5" x14ac:dyDescent="0.3">
      <c r="A32" s="232" t="s">
        <v>12</v>
      </c>
      <c r="B32" s="232" t="s">
        <v>509</v>
      </c>
      <c r="C32" s="8"/>
      <c r="D32" s="8"/>
      <c r="E32" s="99"/>
    </row>
    <row r="33" spans="1:9" x14ac:dyDescent="0.3">
      <c r="A33" s="232" t="s">
        <v>13</v>
      </c>
      <c r="B33" s="232" t="s">
        <v>510</v>
      </c>
      <c r="C33" s="8"/>
      <c r="D33" s="8"/>
      <c r="E33" s="99"/>
    </row>
    <row r="34" spans="1:9" x14ac:dyDescent="0.3">
      <c r="A34" s="232" t="s">
        <v>281</v>
      </c>
      <c r="B34" s="232" t="s">
        <v>511</v>
      </c>
      <c r="C34" s="8"/>
      <c r="D34" s="8"/>
      <c r="E34" s="99"/>
    </row>
    <row r="35" spans="1:9" x14ac:dyDescent="0.3">
      <c r="A35" s="79" t="s">
        <v>34</v>
      </c>
      <c r="B35" s="246" t="s">
        <v>452</v>
      </c>
      <c r="C35" s="8"/>
      <c r="D35" s="8"/>
      <c r="E35" s="99"/>
    </row>
    <row r="36" spans="1:9" x14ac:dyDescent="0.3">
      <c r="D36" s="26"/>
      <c r="E36" s="100"/>
      <c r="F36" s="26"/>
    </row>
    <row r="37" spans="1:9" x14ac:dyDescent="0.3">
      <c r="A37" s="1"/>
      <c r="D37" s="26"/>
      <c r="E37" s="100"/>
      <c r="F37" s="26"/>
    </row>
    <row r="38" spans="1:9" x14ac:dyDescent="0.3">
      <c r="D38" s="26"/>
      <c r="E38" s="100"/>
      <c r="F38" s="26"/>
    </row>
    <row r="39" spans="1:9" x14ac:dyDescent="0.3">
      <c r="D39" s="26"/>
      <c r="E39" s="100"/>
      <c r="F39" s="26"/>
    </row>
    <row r="40" spans="1:9" x14ac:dyDescent="0.3">
      <c r="A40" s="60" t="s">
        <v>107</v>
      </c>
      <c r="D40" s="26"/>
      <c r="E40" s="100"/>
      <c r="F40" s="26"/>
    </row>
    <row r="41" spans="1:9" x14ac:dyDescent="0.3">
      <c r="D41" s="26"/>
      <c r="E41" s="101"/>
      <c r="F41" s="101"/>
      <c r="G41"/>
      <c r="H41"/>
      <c r="I41"/>
    </row>
    <row r="42" spans="1:9" x14ac:dyDescent="0.3">
      <c r="D42" s="102"/>
      <c r="E42" s="101"/>
      <c r="F42" s="101"/>
      <c r="G42"/>
      <c r="H42"/>
      <c r="I42"/>
    </row>
    <row r="43" spans="1:9" x14ac:dyDescent="0.3">
      <c r="A43"/>
      <c r="B43" s="60" t="s">
        <v>271</v>
      </c>
      <c r="D43" s="102"/>
      <c r="E43" s="101"/>
      <c r="F43" s="101"/>
      <c r="G43"/>
      <c r="H43"/>
      <c r="I43"/>
    </row>
    <row r="44" spans="1:9" x14ac:dyDescent="0.3">
      <c r="A44"/>
      <c r="B44" s="2" t="s">
        <v>270</v>
      </c>
      <c r="D44" s="102"/>
      <c r="E44" s="101"/>
      <c r="F44" s="101"/>
      <c r="G44"/>
      <c r="H44"/>
      <c r="I44"/>
    </row>
    <row r="45" spans="1:9" customFormat="1" ht="12.75" x14ac:dyDescent="0.2">
      <c r="B45" s="56" t="s">
        <v>139</v>
      </c>
      <c r="D45" s="101"/>
      <c r="E45" s="101"/>
      <c r="F45" s="101"/>
    </row>
    <row r="46" spans="1:9" x14ac:dyDescent="0.3">
      <c r="D46" s="26"/>
      <c r="E46" s="100"/>
      <c r="F46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9"/>
  <sheetViews>
    <sheetView view="pageBreakPreview" topLeftCell="A199" zoomScale="80" zoomScaleNormal="100" zoomScaleSheetLayoutView="80" workbookViewId="0">
      <selection activeCell="F245" sqref="F245"/>
    </sheetView>
  </sheetViews>
  <sheetFormatPr defaultRowHeight="15" x14ac:dyDescent="0.3"/>
  <cols>
    <col min="1" max="1" width="12" style="170" customWidth="1"/>
    <col min="2" max="2" width="13.28515625" style="170" customWidth="1"/>
    <col min="3" max="3" width="21.42578125" style="170" customWidth="1"/>
    <col min="4" max="4" width="17.85546875" style="170" customWidth="1"/>
    <col min="5" max="5" width="12.7109375" style="170" customWidth="1"/>
    <col min="6" max="6" width="36.85546875" style="170" customWidth="1"/>
    <col min="7" max="7" width="22.28515625" style="170" customWidth="1"/>
    <col min="8" max="8" width="0.5703125" style="170" customWidth="1"/>
    <col min="9" max="16384" width="9.140625" style="170"/>
  </cols>
  <sheetData>
    <row r="1" spans="1:9" x14ac:dyDescent="0.3">
      <c r="A1" s="65" t="s">
        <v>370</v>
      </c>
      <c r="B1" s="67"/>
      <c r="C1" s="67"/>
      <c r="D1" s="67"/>
      <c r="E1" s="67"/>
      <c r="F1" s="67"/>
      <c r="G1" s="153" t="s">
        <v>109</v>
      </c>
      <c r="H1" s="154"/>
    </row>
    <row r="2" spans="1:9" x14ac:dyDescent="0.3">
      <c r="A2" s="67" t="s">
        <v>140</v>
      </c>
      <c r="B2" s="67"/>
      <c r="C2" s="67"/>
      <c r="D2" s="67"/>
      <c r="E2" s="67"/>
      <c r="F2" s="67"/>
      <c r="G2" s="628" t="s">
        <v>645</v>
      </c>
      <c r="H2" s="639"/>
      <c r="I2" s="639"/>
    </row>
    <row r="3" spans="1:9" x14ac:dyDescent="0.3">
      <c r="A3" s="67"/>
      <c r="B3" s="67"/>
      <c r="C3" s="67"/>
      <c r="D3" s="67"/>
      <c r="E3" s="67"/>
      <c r="F3" s="67"/>
      <c r="G3" s="93"/>
      <c r="H3" s="154"/>
    </row>
    <row r="4" spans="1:9" x14ac:dyDescent="0.3">
      <c r="A4" s="68" t="str">
        <f>'[3]ფორმა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95"/>
    </row>
    <row r="5" spans="1:9" x14ac:dyDescent="0.3">
      <c r="A5" s="208" t="str">
        <f>'ფორმა N1'!D4</f>
        <v>მოქალაქეთა  პოლიტიკური გაერთიანება "ეროვნული ფორუმი"</v>
      </c>
      <c r="B5" s="208"/>
      <c r="C5" s="208"/>
      <c r="D5" s="208"/>
      <c r="E5" s="208"/>
      <c r="F5" s="208"/>
      <c r="G5" s="208"/>
      <c r="H5" s="95"/>
    </row>
    <row r="6" spans="1:9" x14ac:dyDescent="0.3">
      <c r="A6" s="68"/>
      <c r="B6" s="67"/>
      <c r="C6" s="67"/>
      <c r="D6" s="67"/>
      <c r="E6" s="67"/>
      <c r="F6" s="67"/>
      <c r="G6" s="67"/>
      <c r="H6" s="95"/>
    </row>
    <row r="7" spans="1:9" x14ac:dyDescent="0.3">
      <c r="A7" s="67"/>
      <c r="B7" s="67"/>
      <c r="C7" s="67"/>
      <c r="D7" s="67"/>
      <c r="E7" s="67"/>
      <c r="F7" s="67"/>
      <c r="G7" s="67"/>
      <c r="H7" s="96"/>
    </row>
    <row r="8" spans="1:9" ht="45.75" customHeight="1" x14ac:dyDescent="0.3">
      <c r="A8" s="155" t="s">
        <v>313</v>
      </c>
      <c r="B8" s="155" t="s">
        <v>141</v>
      </c>
      <c r="C8" s="156" t="s">
        <v>368</v>
      </c>
      <c r="D8" s="156" t="s">
        <v>369</v>
      </c>
      <c r="E8" s="156" t="s">
        <v>275</v>
      </c>
      <c r="F8" s="155" t="s">
        <v>320</v>
      </c>
      <c r="G8" s="156" t="s">
        <v>314</v>
      </c>
      <c r="H8" s="96"/>
    </row>
    <row r="9" spans="1:9" x14ac:dyDescent="0.3">
      <c r="A9" s="157" t="s">
        <v>315</v>
      </c>
      <c r="B9" s="478"/>
      <c r="C9" s="479"/>
      <c r="D9" s="479"/>
      <c r="E9" s="159"/>
      <c r="F9" s="159"/>
      <c r="G9" s="480">
        <v>2122.9499999999998</v>
      </c>
      <c r="H9" s="96"/>
    </row>
    <row r="10" spans="1:9" x14ac:dyDescent="0.3">
      <c r="A10" s="158">
        <v>1</v>
      </c>
      <c r="B10" s="481">
        <v>42380</v>
      </c>
      <c r="C10" s="482"/>
      <c r="D10" s="482">
        <v>272</v>
      </c>
      <c r="E10" s="161" t="s">
        <v>221</v>
      </c>
      <c r="F10" s="160" t="s">
        <v>975</v>
      </c>
      <c r="G10" s="483">
        <f>G9+C10-D10</f>
        <v>1850.9499999999998</v>
      </c>
      <c r="H10" s="96"/>
    </row>
    <row r="11" spans="1:9" x14ac:dyDescent="0.3">
      <c r="A11" s="158">
        <v>2</v>
      </c>
      <c r="B11" s="481">
        <v>42384</v>
      </c>
      <c r="C11" s="482">
        <v>2000</v>
      </c>
      <c r="D11" s="482"/>
      <c r="E11" s="161" t="s">
        <v>221</v>
      </c>
      <c r="F11" s="160" t="s">
        <v>976</v>
      </c>
      <c r="G11" s="483">
        <f t="shared" ref="G11:G41" si="0">G10+C11-D11</f>
        <v>3850.95</v>
      </c>
      <c r="H11" s="96"/>
    </row>
    <row r="12" spans="1:9" x14ac:dyDescent="0.3">
      <c r="A12" s="158">
        <v>3</v>
      </c>
      <c r="B12" s="481">
        <v>42384</v>
      </c>
      <c r="C12" s="482"/>
      <c r="D12" s="482">
        <v>1280</v>
      </c>
      <c r="E12" s="161" t="s">
        <v>221</v>
      </c>
      <c r="F12" s="160" t="s">
        <v>348</v>
      </c>
      <c r="G12" s="483">
        <f t="shared" si="0"/>
        <v>2570.9499999999998</v>
      </c>
      <c r="H12" s="96"/>
    </row>
    <row r="13" spans="1:9" x14ac:dyDescent="0.3">
      <c r="A13" s="158">
        <v>4</v>
      </c>
      <c r="B13" s="481">
        <v>42384</v>
      </c>
      <c r="C13" s="482"/>
      <c r="D13" s="482">
        <v>720</v>
      </c>
      <c r="E13" s="161" t="s">
        <v>221</v>
      </c>
      <c r="F13" s="160" t="s">
        <v>348</v>
      </c>
      <c r="G13" s="483">
        <f t="shared" si="0"/>
        <v>1850.9499999999998</v>
      </c>
      <c r="H13" s="96"/>
    </row>
    <row r="14" spans="1:9" x14ac:dyDescent="0.3">
      <c r="A14" s="158">
        <v>5</v>
      </c>
      <c r="B14" s="481">
        <v>42389</v>
      </c>
      <c r="C14" s="482">
        <v>1960</v>
      </c>
      <c r="D14" s="482"/>
      <c r="E14" s="161" t="s">
        <v>221</v>
      </c>
      <c r="F14" s="160" t="s">
        <v>976</v>
      </c>
      <c r="G14" s="483">
        <f t="shared" si="0"/>
        <v>3810.95</v>
      </c>
      <c r="H14" s="96"/>
    </row>
    <row r="15" spans="1:9" x14ac:dyDescent="0.3">
      <c r="A15" s="158">
        <v>6</v>
      </c>
      <c r="B15" s="481">
        <v>42390</v>
      </c>
      <c r="C15" s="482"/>
      <c r="D15" s="482">
        <v>1960</v>
      </c>
      <c r="E15" s="161" t="s">
        <v>221</v>
      </c>
      <c r="F15" s="160" t="s">
        <v>977</v>
      </c>
      <c r="G15" s="483">
        <f t="shared" si="0"/>
        <v>1850.9499999999998</v>
      </c>
      <c r="H15" s="96"/>
    </row>
    <row r="16" spans="1:9" x14ac:dyDescent="0.3">
      <c r="A16" s="158">
        <v>7</v>
      </c>
      <c r="B16" s="481">
        <v>42399</v>
      </c>
      <c r="C16" s="482">
        <v>4220</v>
      </c>
      <c r="D16" s="482"/>
      <c r="E16" s="161" t="s">
        <v>221</v>
      </c>
      <c r="F16" s="160" t="s">
        <v>976</v>
      </c>
      <c r="G16" s="483">
        <f t="shared" si="0"/>
        <v>6070.95</v>
      </c>
      <c r="H16" s="96"/>
    </row>
    <row r="17" spans="1:8" x14ac:dyDescent="0.3">
      <c r="A17" s="158">
        <v>8</v>
      </c>
      <c r="B17" s="481">
        <v>42399</v>
      </c>
      <c r="C17" s="482"/>
      <c r="D17" s="482">
        <v>119</v>
      </c>
      <c r="E17" s="161" t="s">
        <v>221</v>
      </c>
      <c r="F17" s="160" t="s">
        <v>975</v>
      </c>
      <c r="G17" s="483">
        <f t="shared" si="0"/>
        <v>5951.95</v>
      </c>
      <c r="H17" s="96"/>
    </row>
    <row r="18" spans="1:8" x14ac:dyDescent="0.3">
      <c r="A18" s="158">
        <v>9</v>
      </c>
      <c r="B18" s="481">
        <v>42402</v>
      </c>
      <c r="C18" s="482"/>
      <c r="D18" s="482">
        <v>1280</v>
      </c>
      <c r="E18" s="161" t="s">
        <v>221</v>
      </c>
      <c r="F18" s="160" t="s">
        <v>348</v>
      </c>
      <c r="G18" s="483">
        <f t="shared" si="0"/>
        <v>4671.95</v>
      </c>
      <c r="H18" s="96"/>
    </row>
    <row r="19" spans="1:8" x14ac:dyDescent="0.3">
      <c r="A19" s="158">
        <v>10</v>
      </c>
      <c r="B19" s="481">
        <v>42403</v>
      </c>
      <c r="C19" s="482"/>
      <c r="D19" s="482">
        <v>183.4</v>
      </c>
      <c r="E19" s="161" t="s">
        <v>221</v>
      </c>
      <c r="F19" s="160" t="s">
        <v>975</v>
      </c>
      <c r="G19" s="483">
        <f t="shared" si="0"/>
        <v>4488.55</v>
      </c>
      <c r="H19" s="96"/>
    </row>
    <row r="20" spans="1:8" x14ac:dyDescent="0.3">
      <c r="A20" s="158">
        <v>11</v>
      </c>
      <c r="B20" s="481">
        <v>42404</v>
      </c>
      <c r="C20" s="482"/>
      <c r="D20" s="482">
        <v>2940</v>
      </c>
      <c r="E20" s="161" t="s">
        <v>221</v>
      </c>
      <c r="F20" s="160" t="s">
        <v>977</v>
      </c>
      <c r="G20" s="483">
        <f t="shared" si="0"/>
        <v>1548.5500000000002</v>
      </c>
      <c r="H20" s="96"/>
    </row>
    <row r="21" spans="1:8" x14ac:dyDescent="0.3">
      <c r="A21" s="158">
        <v>12</v>
      </c>
      <c r="B21" s="481">
        <v>42415</v>
      </c>
      <c r="C21" s="482">
        <v>1700</v>
      </c>
      <c r="D21" s="482"/>
      <c r="E21" s="161" t="s">
        <v>221</v>
      </c>
      <c r="F21" s="160" t="s">
        <v>976</v>
      </c>
      <c r="G21" s="483">
        <f t="shared" si="0"/>
        <v>3248.55</v>
      </c>
      <c r="H21" s="96"/>
    </row>
    <row r="22" spans="1:8" x14ac:dyDescent="0.3">
      <c r="A22" s="158">
        <v>13</v>
      </c>
      <c r="B22" s="481">
        <v>42415</v>
      </c>
      <c r="C22" s="482"/>
      <c r="D22" s="482">
        <v>420</v>
      </c>
      <c r="E22" s="161" t="s">
        <v>221</v>
      </c>
      <c r="F22" s="160" t="s">
        <v>977</v>
      </c>
      <c r="G22" s="483">
        <f t="shared" si="0"/>
        <v>2828.55</v>
      </c>
      <c r="H22" s="96"/>
    </row>
    <row r="23" spans="1:8" x14ac:dyDescent="0.3">
      <c r="A23" s="158">
        <v>14</v>
      </c>
      <c r="B23" s="481">
        <v>42415</v>
      </c>
      <c r="C23" s="482"/>
      <c r="D23" s="482">
        <v>280</v>
      </c>
      <c r="E23" s="161" t="s">
        <v>221</v>
      </c>
      <c r="F23" s="160" t="s">
        <v>977</v>
      </c>
      <c r="G23" s="483">
        <f t="shared" si="0"/>
        <v>2548.5500000000002</v>
      </c>
      <c r="H23" s="96"/>
    </row>
    <row r="24" spans="1:8" x14ac:dyDescent="0.3">
      <c r="A24" s="158">
        <v>15</v>
      </c>
      <c r="B24" s="481">
        <v>42415</v>
      </c>
      <c r="C24" s="482"/>
      <c r="D24" s="482">
        <v>280</v>
      </c>
      <c r="E24" s="161" t="s">
        <v>221</v>
      </c>
      <c r="F24" s="160" t="s">
        <v>977</v>
      </c>
      <c r="G24" s="483">
        <f t="shared" si="0"/>
        <v>2268.5500000000002</v>
      </c>
      <c r="H24" s="96"/>
    </row>
    <row r="25" spans="1:8" x14ac:dyDescent="0.3">
      <c r="A25" s="158">
        <v>16</v>
      </c>
      <c r="B25" s="481">
        <v>42416</v>
      </c>
      <c r="C25" s="482"/>
      <c r="D25" s="482">
        <v>100</v>
      </c>
      <c r="E25" s="161" t="s">
        <v>221</v>
      </c>
      <c r="F25" s="160" t="s">
        <v>975</v>
      </c>
      <c r="G25" s="483">
        <f t="shared" si="0"/>
        <v>2168.5500000000002</v>
      </c>
      <c r="H25" s="96"/>
    </row>
    <row r="26" spans="1:8" x14ac:dyDescent="0.3">
      <c r="A26" s="158">
        <v>17</v>
      </c>
      <c r="B26" s="481">
        <v>42422</v>
      </c>
      <c r="C26" s="482">
        <v>1190</v>
      </c>
      <c r="D26" s="482"/>
      <c r="E26" s="161" t="s">
        <v>221</v>
      </c>
      <c r="F26" s="160" t="s">
        <v>976</v>
      </c>
      <c r="G26" s="483">
        <f t="shared" si="0"/>
        <v>3358.55</v>
      </c>
      <c r="H26" s="96"/>
    </row>
    <row r="27" spans="1:8" x14ac:dyDescent="0.3">
      <c r="A27" s="158">
        <v>18</v>
      </c>
      <c r="B27" s="481">
        <v>42422</v>
      </c>
      <c r="C27" s="482"/>
      <c r="D27" s="482">
        <v>140</v>
      </c>
      <c r="E27" s="161" t="s">
        <v>221</v>
      </c>
      <c r="F27" s="160" t="s">
        <v>977</v>
      </c>
      <c r="G27" s="483">
        <f t="shared" si="0"/>
        <v>3218.55</v>
      </c>
      <c r="H27" s="96"/>
    </row>
    <row r="28" spans="1:8" x14ac:dyDescent="0.3">
      <c r="A28" s="158">
        <v>19</v>
      </c>
      <c r="B28" s="481">
        <v>42422</v>
      </c>
      <c r="C28" s="482"/>
      <c r="D28" s="482">
        <v>1050</v>
      </c>
      <c r="E28" s="161" t="s">
        <v>221</v>
      </c>
      <c r="F28" s="160" t="s">
        <v>977</v>
      </c>
      <c r="G28" s="483">
        <f t="shared" si="0"/>
        <v>2168.5500000000002</v>
      </c>
      <c r="H28" s="96"/>
    </row>
    <row r="29" spans="1:8" x14ac:dyDescent="0.3">
      <c r="A29" s="158">
        <v>20</v>
      </c>
      <c r="B29" s="481">
        <v>42425</v>
      </c>
      <c r="C29" s="482">
        <v>140</v>
      </c>
      <c r="D29" s="482"/>
      <c r="E29" s="161" t="s">
        <v>221</v>
      </c>
      <c r="F29" s="160" t="s">
        <v>976</v>
      </c>
      <c r="G29" s="483">
        <f t="shared" si="0"/>
        <v>2308.5500000000002</v>
      </c>
      <c r="H29" s="96"/>
    </row>
    <row r="30" spans="1:8" x14ac:dyDescent="0.3">
      <c r="A30" s="158">
        <v>21</v>
      </c>
      <c r="B30" s="481">
        <v>42427</v>
      </c>
      <c r="C30" s="482"/>
      <c r="D30" s="482">
        <v>140</v>
      </c>
      <c r="E30" s="161" t="s">
        <v>221</v>
      </c>
      <c r="F30" s="160" t="s">
        <v>977</v>
      </c>
      <c r="G30" s="483">
        <f t="shared" si="0"/>
        <v>2168.5500000000002</v>
      </c>
      <c r="H30" s="96"/>
    </row>
    <row r="31" spans="1:8" x14ac:dyDescent="0.3">
      <c r="A31" s="158">
        <v>22</v>
      </c>
      <c r="B31" s="481">
        <v>42428</v>
      </c>
      <c r="C31" s="482"/>
      <c r="D31" s="482">
        <v>59</v>
      </c>
      <c r="E31" s="161" t="s">
        <v>221</v>
      </c>
      <c r="F31" s="160" t="s">
        <v>975</v>
      </c>
      <c r="G31" s="483">
        <f t="shared" si="0"/>
        <v>2109.5500000000002</v>
      </c>
      <c r="H31" s="96"/>
    </row>
    <row r="32" spans="1:8" x14ac:dyDescent="0.3">
      <c r="A32" s="158">
        <v>23</v>
      </c>
      <c r="B32" s="481">
        <v>42431</v>
      </c>
      <c r="C32" s="482">
        <v>1280</v>
      </c>
      <c r="D32" s="482"/>
      <c r="E32" s="161" t="s">
        <v>221</v>
      </c>
      <c r="F32" s="160" t="s">
        <v>976</v>
      </c>
      <c r="G32" s="483">
        <f t="shared" si="0"/>
        <v>3389.55</v>
      </c>
      <c r="H32" s="96"/>
    </row>
    <row r="33" spans="1:8" x14ac:dyDescent="0.3">
      <c r="A33" s="158">
        <v>24</v>
      </c>
      <c r="B33" s="481">
        <v>42431</v>
      </c>
      <c r="C33" s="482"/>
      <c r="D33" s="482">
        <v>1280</v>
      </c>
      <c r="E33" s="161" t="s">
        <v>221</v>
      </c>
      <c r="F33" s="160" t="s">
        <v>348</v>
      </c>
      <c r="G33" s="483">
        <f t="shared" si="0"/>
        <v>2109.5500000000002</v>
      </c>
      <c r="H33" s="96"/>
    </row>
    <row r="34" spans="1:8" x14ac:dyDescent="0.3">
      <c r="A34" s="158">
        <v>25</v>
      </c>
      <c r="B34" s="481">
        <v>42436</v>
      </c>
      <c r="C34" s="482">
        <v>700</v>
      </c>
      <c r="D34" s="482"/>
      <c r="E34" s="161" t="s">
        <v>221</v>
      </c>
      <c r="F34" s="160" t="s">
        <v>976</v>
      </c>
      <c r="G34" s="483">
        <f t="shared" si="0"/>
        <v>2809.55</v>
      </c>
      <c r="H34" s="96"/>
    </row>
    <row r="35" spans="1:8" x14ac:dyDescent="0.3">
      <c r="A35" s="158">
        <v>26</v>
      </c>
      <c r="B35" s="481">
        <v>42438</v>
      </c>
      <c r="C35" s="482"/>
      <c r="D35" s="482">
        <v>700</v>
      </c>
      <c r="E35" s="161" t="s">
        <v>221</v>
      </c>
      <c r="F35" s="160" t="s">
        <v>977</v>
      </c>
      <c r="G35" s="483">
        <f t="shared" si="0"/>
        <v>2109.5500000000002</v>
      </c>
      <c r="H35" s="96"/>
    </row>
    <row r="36" spans="1:8" x14ac:dyDescent="0.3">
      <c r="A36" s="158">
        <v>27</v>
      </c>
      <c r="B36" s="481">
        <v>42439</v>
      </c>
      <c r="C36" s="482"/>
      <c r="D36" s="482">
        <v>113</v>
      </c>
      <c r="E36" s="161" t="s">
        <v>221</v>
      </c>
      <c r="F36" s="160" t="s">
        <v>975</v>
      </c>
      <c r="G36" s="483">
        <f t="shared" si="0"/>
        <v>1996.5500000000002</v>
      </c>
      <c r="H36" s="96"/>
    </row>
    <row r="37" spans="1:8" x14ac:dyDescent="0.3">
      <c r="A37" s="158">
        <v>28</v>
      </c>
      <c r="B37" s="481">
        <v>42439</v>
      </c>
      <c r="C37" s="482"/>
      <c r="D37" s="482">
        <v>37.5</v>
      </c>
      <c r="E37" s="161" t="s">
        <v>221</v>
      </c>
      <c r="F37" s="160" t="s">
        <v>975</v>
      </c>
      <c r="G37" s="483">
        <f t="shared" si="0"/>
        <v>1959.0500000000002</v>
      </c>
      <c r="H37" s="96"/>
    </row>
    <row r="38" spans="1:8" x14ac:dyDescent="0.3">
      <c r="A38" s="158">
        <v>29</v>
      </c>
      <c r="B38" s="481">
        <v>42453</v>
      </c>
      <c r="C38" s="482">
        <v>2520</v>
      </c>
      <c r="D38" s="482"/>
      <c r="E38" s="161" t="s">
        <v>221</v>
      </c>
      <c r="F38" s="160" t="s">
        <v>976</v>
      </c>
      <c r="G38" s="483">
        <f t="shared" si="0"/>
        <v>4479.05</v>
      </c>
      <c r="H38" s="96"/>
    </row>
    <row r="39" spans="1:8" x14ac:dyDescent="0.3">
      <c r="A39" s="158">
        <v>30</v>
      </c>
      <c r="B39" s="481">
        <v>42454</v>
      </c>
      <c r="C39" s="482"/>
      <c r="D39" s="482">
        <v>2520</v>
      </c>
      <c r="E39" s="161" t="s">
        <v>221</v>
      </c>
      <c r="F39" s="160" t="s">
        <v>977</v>
      </c>
      <c r="G39" s="483">
        <f t="shared" si="0"/>
        <v>1959.0500000000002</v>
      </c>
      <c r="H39" s="96"/>
    </row>
    <row r="40" spans="1:8" x14ac:dyDescent="0.3">
      <c r="A40" s="158">
        <v>31</v>
      </c>
      <c r="B40" s="481">
        <v>42459</v>
      </c>
      <c r="C40" s="482">
        <v>210</v>
      </c>
      <c r="D40" s="482"/>
      <c r="E40" s="161" t="s">
        <v>221</v>
      </c>
      <c r="F40" s="160" t="s">
        <v>976</v>
      </c>
      <c r="G40" s="483">
        <f t="shared" si="0"/>
        <v>2169.0500000000002</v>
      </c>
      <c r="H40" s="96"/>
    </row>
    <row r="41" spans="1:8" x14ac:dyDescent="0.3">
      <c r="A41" s="158">
        <v>32</v>
      </c>
      <c r="B41" s="481">
        <v>42459</v>
      </c>
      <c r="C41" s="482"/>
      <c r="D41" s="482">
        <v>210</v>
      </c>
      <c r="E41" s="161" t="s">
        <v>221</v>
      </c>
      <c r="F41" s="160" t="s">
        <v>977</v>
      </c>
      <c r="G41" s="483">
        <f t="shared" si="0"/>
        <v>1959.0500000000002</v>
      </c>
      <c r="H41" s="96"/>
    </row>
    <row r="42" spans="1:8" x14ac:dyDescent="0.3">
      <c r="A42" s="158">
        <v>33</v>
      </c>
      <c r="B42" s="481">
        <v>42461</v>
      </c>
      <c r="C42" s="482">
        <v>1280</v>
      </c>
      <c r="D42" s="482"/>
      <c r="E42" s="161" t="s">
        <v>221</v>
      </c>
      <c r="F42" s="160" t="s">
        <v>976</v>
      </c>
      <c r="G42" s="483">
        <f>G41+C42-D42</f>
        <v>3239.05</v>
      </c>
      <c r="H42" s="96"/>
    </row>
    <row r="43" spans="1:8" x14ac:dyDescent="0.3">
      <c r="A43" s="158">
        <v>34</v>
      </c>
      <c r="B43" s="481">
        <v>42462</v>
      </c>
      <c r="C43" s="482"/>
      <c r="D43" s="482">
        <v>22</v>
      </c>
      <c r="E43" s="161" t="s">
        <v>221</v>
      </c>
      <c r="F43" s="160" t="s">
        <v>975</v>
      </c>
      <c r="G43" s="483">
        <f t="shared" ref="G43:G70" si="1">G42+C43-D43</f>
        <v>3217.05</v>
      </c>
      <c r="H43" s="96"/>
    </row>
    <row r="44" spans="1:8" x14ac:dyDescent="0.3">
      <c r="A44" s="158">
        <v>35</v>
      </c>
      <c r="B44" s="481">
        <v>42462</v>
      </c>
      <c r="C44" s="482"/>
      <c r="D44" s="482">
        <v>53.3</v>
      </c>
      <c r="E44" s="161" t="s">
        <v>221</v>
      </c>
      <c r="F44" s="160" t="s">
        <v>975</v>
      </c>
      <c r="G44" s="483">
        <f t="shared" si="1"/>
        <v>3163.75</v>
      </c>
      <c r="H44" s="96"/>
    </row>
    <row r="45" spans="1:8" x14ac:dyDescent="0.3">
      <c r="A45" s="158">
        <v>36</v>
      </c>
      <c r="B45" s="481">
        <v>42464</v>
      </c>
      <c r="C45" s="482"/>
      <c r="D45" s="482">
        <v>1280</v>
      </c>
      <c r="E45" s="161" t="s">
        <v>221</v>
      </c>
      <c r="F45" s="160" t="s">
        <v>348</v>
      </c>
      <c r="G45" s="483">
        <f t="shared" si="1"/>
        <v>1883.75</v>
      </c>
      <c r="H45" s="96"/>
    </row>
    <row r="46" spans="1:8" x14ac:dyDescent="0.3">
      <c r="A46" s="158">
        <v>37</v>
      </c>
      <c r="B46" s="481">
        <v>42467</v>
      </c>
      <c r="C46" s="482"/>
      <c r="D46" s="482">
        <v>84</v>
      </c>
      <c r="E46" s="161" t="s">
        <v>221</v>
      </c>
      <c r="F46" s="160" t="s">
        <v>975</v>
      </c>
      <c r="G46" s="483">
        <f t="shared" si="1"/>
        <v>1799.75</v>
      </c>
      <c r="H46" s="96"/>
    </row>
    <row r="47" spans="1:8" x14ac:dyDescent="0.3">
      <c r="A47" s="158">
        <v>38</v>
      </c>
      <c r="B47" s="481">
        <v>42467</v>
      </c>
      <c r="C47" s="482">
        <v>1440</v>
      </c>
      <c r="D47" s="482"/>
      <c r="E47" s="161" t="s">
        <v>221</v>
      </c>
      <c r="F47" s="160" t="s">
        <v>976</v>
      </c>
      <c r="G47" s="483">
        <f t="shared" si="1"/>
        <v>3239.75</v>
      </c>
      <c r="H47" s="96"/>
    </row>
    <row r="48" spans="1:8" x14ac:dyDescent="0.3">
      <c r="A48" s="158">
        <v>39</v>
      </c>
      <c r="B48" s="481">
        <v>42474</v>
      </c>
      <c r="C48" s="482">
        <v>1960</v>
      </c>
      <c r="D48" s="482"/>
      <c r="E48" s="161" t="s">
        <v>221</v>
      </c>
      <c r="F48" s="160" t="s">
        <v>976</v>
      </c>
      <c r="G48" s="483">
        <f t="shared" si="1"/>
        <v>5199.75</v>
      </c>
      <c r="H48" s="96"/>
    </row>
    <row r="49" spans="1:8" x14ac:dyDescent="0.3">
      <c r="A49" s="158">
        <v>40</v>
      </c>
      <c r="B49" s="481">
        <v>42475</v>
      </c>
      <c r="C49" s="482"/>
      <c r="D49" s="482">
        <v>2160</v>
      </c>
      <c r="E49" s="161" t="s">
        <v>221</v>
      </c>
      <c r="F49" s="160" t="s">
        <v>348</v>
      </c>
      <c r="G49" s="483">
        <f t="shared" si="1"/>
        <v>3039.75</v>
      </c>
      <c r="H49" s="96"/>
    </row>
    <row r="50" spans="1:8" x14ac:dyDescent="0.3">
      <c r="A50" s="158">
        <v>41</v>
      </c>
      <c r="B50" s="481">
        <v>42478</v>
      </c>
      <c r="C50" s="482"/>
      <c r="D50" s="482">
        <v>1960</v>
      </c>
      <c r="E50" s="161" t="s">
        <v>221</v>
      </c>
      <c r="F50" s="160" t="s">
        <v>977</v>
      </c>
      <c r="G50" s="483">
        <f t="shared" si="1"/>
        <v>1079.75</v>
      </c>
      <c r="H50" s="96"/>
    </row>
    <row r="51" spans="1:8" x14ac:dyDescent="0.3">
      <c r="A51" s="158">
        <v>42</v>
      </c>
      <c r="B51" s="481">
        <v>42482</v>
      </c>
      <c r="C51" s="482">
        <v>2940</v>
      </c>
      <c r="D51" s="482"/>
      <c r="E51" s="161" t="s">
        <v>221</v>
      </c>
      <c r="F51" s="160" t="s">
        <v>976</v>
      </c>
      <c r="G51" s="483">
        <f t="shared" si="1"/>
        <v>4019.75</v>
      </c>
      <c r="H51" s="96"/>
    </row>
    <row r="52" spans="1:8" x14ac:dyDescent="0.3">
      <c r="A52" s="158">
        <v>43</v>
      </c>
      <c r="B52" s="481">
        <v>42482</v>
      </c>
      <c r="C52" s="482"/>
      <c r="D52" s="482">
        <v>2940</v>
      </c>
      <c r="E52" s="161" t="s">
        <v>221</v>
      </c>
      <c r="F52" s="160" t="s">
        <v>977</v>
      </c>
      <c r="G52" s="483">
        <f t="shared" si="1"/>
        <v>1079.75</v>
      </c>
      <c r="H52" s="96"/>
    </row>
    <row r="53" spans="1:8" ht="30" x14ac:dyDescent="0.3">
      <c r="A53" s="158">
        <v>44</v>
      </c>
      <c r="B53" s="481">
        <v>42486</v>
      </c>
      <c r="C53" s="482">
        <v>1000</v>
      </c>
      <c r="D53" s="482"/>
      <c r="E53" s="161" t="s">
        <v>221</v>
      </c>
      <c r="F53" s="160" t="s">
        <v>978</v>
      </c>
      <c r="G53" s="483">
        <f t="shared" si="1"/>
        <v>2079.75</v>
      </c>
      <c r="H53" s="96"/>
    </row>
    <row r="54" spans="1:8" x14ac:dyDescent="0.3">
      <c r="A54" s="158">
        <v>45</v>
      </c>
      <c r="B54" s="481">
        <v>42495</v>
      </c>
      <c r="C54" s="482">
        <v>2000</v>
      </c>
      <c r="D54" s="482"/>
      <c r="E54" s="161" t="s">
        <v>221</v>
      </c>
      <c r="F54" s="160" t="s">
        <v>976</v>
      </c>
      <c r="G54" s="483">
        <f t="shared" si="1"/>
        <v>4079.75</v>
      </c>
      <c r="H54" s="96"/>
    </row>
    <row r="55" spans="1:8" x14ac:dyDescent="0.3">
      <c r="A55" s="158">
        <v>46</v>
      </c>
      <c r="B55" s="481">
        <v>42495</v>
      </c>
      <c r="C55" s="482"/>
      <c r="D55" s="482">
        <v>1280</v>
      </c>
      <c r="E55" s="161" t="s">
        <v>221</v>
      </c>
      <c r="F55" s="160" t="s">
        <v>348</v>
      </c>
      <c r="G55" s="483">
        <f t="shared" si="1"/>
        <v>2799.75</v>
      </c>
      <c r="H55" s="96"/>
    </row>
    <row r="56" spans="1:8" x14ac:dyDescent="0.3">
      <c r="A56" s="158">
        <v>47</v>
      </c>
      <c r="B56" s="481">
        <v>42495</v>
      </c>
      <c r="C56" s="482"/>
      <c r="D56" s="482">
        <v>720</v>
      </c>
      <c r="E56" s="161" t="s">
        <v>221</v>
      </c>
      <c r="F56" s="160" t="s">
        <v>348</v>
      </c>
      <c r="G56" s="483">
        <f t="shared" si="1"/>
        <v>2079.75</v>
      </c>
      <c r="H56" s="96"/>
    </row>
    <row r="57" spans="1:8" x14ac:dyDescent="0.3">
      <c r="A57" s="158">
        <v>48</v>
      </c>
      <c r="B57" s="481">
        <v>42501</v>
      </c>
      <c r="C57" s="482">
        <v>2240</v>
      </c>
      <c r="D57" s="482"/>
      <c r="E57" s="161" t="s">
        <v>221</v>
      </c>
      <c r="F57" s="160" t="s">
        <v>976</v>
      </c>
      <c r="G57" s="483">
        <f t="shared" si="1"/>
        <v>4319.75</v>
      </c>
      <c r="H57" s="96"/>
    </row>
    <row r="58" spans="1:8" x14ac:dyDescent="0.3">
      <c r="A58" s="158">
        <v>49</v>
      </c>
      <c r="B58" s="481">
        <v>42502</v>
      </c>
      <c r="C58" s="482"/>
      <c r="D58" s="482">
        <v>1890</v>
      </c>
      <c r="E58" s="161" t="s">
        <v>221</v>
      </c>
      <c r="F58" s="160" t="s">
        <v>977</v>
      </c>
      <c r="G58" s="483">
        <f t="shared" si="1"/>
        <v>2429.75</v>
      </c>
      <c r="H58" s="96"/>
    </row>
    <row r="59" spans="1:8" x14ac:dyDescent="0.3">
      <c r="A59" s="158">
        <v>50</v>
      </c>
      <c r="B59" s="481">
        <v>42502</v>
      </c>
      <c r="C59" s="482"/>
      <c r="D59" s="482">
        <v>350</v>
      </c>
      <c r="E59" s="161" t="s">
        <v>221</v>
      </c>
      <c r="F59" s="160" t="s">
        <v>977</v>
      </c>
      <c r="G59" s="483">
        <f t="shared" si="1"/>
        <v>2079.75</v>
      </c>
      <c r="H59" s="96"/>
    </row>
    <row r="60" spans="1:8" x14ac:dyDescent="0.3">
      <c r="A60" s="158">
        <v>51</v>
      </c>
      <c r="B60" s="481">
        <v>42504</v>
      </c>
      <c r="C60" s="482"/>
      <c r="D60" s="482">
        <v>280</v>
      </c>
      <c r="E60" s="161" t="s">
        <v>221</v>
      </c>
      <c r="F60" s="160" t="s">
        <v>977</v>
      </c>
      <c r="G60" s="483">
        <f t="shared" si="1"/>
        <v>1799.75</v>
      </c>
      <c r="H60" s="96"/>
    </row>
    <row r="61" spans="1:8" x14ac:dyDescent="0.3">
      <c r="A61" s="158">
        <v>52</v>
      </c>
      <c r="B61" s="481">
        <v>42513</v>
      </c>
      <c r="C61" s="482">
        <v>280</v>
      </c>
      <c r="D61" s="482"/>
      <c r="E61" s="161" t="s">
        <v>221</v>
      </c>
      <c r="F61" s="160" t="s">
        <v>976</v>
      </c>
      <c r="G61" s="483">
        <f t="shared" si="1"/>
        <v>2079.75</v>
      </c>
      <c r="H61" s="96"/>
    </row>
    <row r="62" spans="1:8" x14ac:dyDescent="0.3">
      <c r="A62" s="158">
        <v>53</v>
      </c>
      <c r="B62" s="481">
        <v>42520</v>
      </c>
      <c r="C62" s="482">
        <v>420</v>
      </c>
      <c r="D62" s="482"/>
      <c r="E62" s="161" t="s">
        <v>221</v>
      </c>
      <c r="F62" s="160" t="s">
        <v>976</v>
      </c>
      <c r="G62" s="483">
        <f t="shared" si="1"/>
        <v>2499.75</v>
      </c>
      <c r="H62" s="96"/>
    </row>
    <row r="63" spans="1:8" x14ac:dyDescent="0.3">
      <c r="A63" s="158">
        <v>54</v>
      </c>
      <c r="B63" s="481">
        <v>42520</v>
      </c>
      <c r="C63" s="482"/>
      <c r="D63" s="482">
        <v>210</v>
      </c>
      <c r="E63" s="161" t="s">
        <v>221</v>
      </c>
      <c r="F63" s="160" t="s">
        <v>977</v>
      </c>
      <c r="G63" s="483">
        <f t="shared" si="1"/>
        <v>2289.75</v>
      </c>
      <c r="H63" s="96"/>
    </row>
    <row r="64" spans="1:8" x14ac:dyDescent="0.3">
      <c r="A64" s="158">
        <v>55</v>
      </c>
      <c r="B64" s="481">
        <v>42520</v>
      </c>
      <c r="C64" s="482"/>
      <c r="D64" s="482">
        <v>210</v>
      </c>
      <c r="E64" s="161" t="s">
        <v>221</v>
      </c>
      <c r="F64" s="160" t="s">
        <v>977</v>
      </c>
      <c r="G64" s="483">
        <f t="shared" si="1"/>
        <v>2079.75</v>
      </c>
      <c r="H64" s="96"/>
    </row>
    <row r="65" spans="1:8" x14ac:dyDescent="0.3">
      <c r="A65" s="158">
        <v>56</v>
      </c>
      <c r="B65" s="481">
        <v>42522</v>
      </c>
      <c r="C65" s="482"/>
      <c r="D65" s="482">
        <v>66</v>
      </c>
      <c r="E65" s="161" t="s">
        <v>221</v>
      </c>
      <c r="F65" s="160" t="s">
        <v>975</v>
      </c>
      <c r="G65" s="483">
        <f t="shared" si="1"/>
        <v>2013.75</v>
      </c>
      <c r="H65" s="96"/>
    </row>
    <row r="66" spans="1:8" x14ac:dyDescent="0.3">
      <c r="A66" s="158">
        <v>57</v>
      </c>
      <c r="B66" s="481">
        <v>42522</v>
      </c>
      <c r="C66" s="482">
        <v>2205</v>
      </c>
      <c r="D66" s="482"/>
      <c r="E66" s="161" t="s">
        <v>221</v>
      </c>
      <c r="F66" s="160" t="s">
        <v>976</v>
      </c>
      <c r="G66" s="483">
        <f t="shared" si="1"/>
        <v>4218.75</v>
      </c>
      <c r="H66" s="96"/>
    </row>
    <row r="67" spans="1:8" x14ac:dyDescent="0.3">
      <c r="A67" s="158">
        <v>58</v>
      </c>
      <c r="B67" s="481">
        <v>42522</v>
      </c>
      <c r="C67" s="482">
        <v>2000</v>
      </c>
      <c r="D67" s="482"/>
      <c r="E67" s="161" t="s">
        <v>221</v>
      </c>
      <c r="F67" s="160" t="s">
        <v>976</v>
      </c>
      <c r="G67" s="483">
        <f t="shared" si="1"/>
        <v>6218.75</v>
      </c>
      <c r="H67" s="96"/>
    </row>
    <row r="68" spans="1:8" x14ac:dyDescent="0.3">
      <c r="A68" s="158">
        <v>59</v>
      </c>
      <c r="B68" s="481">
        <v>42522</v>
      </c>
      <c r="C68" s="482"/>
      <c r="D68" s="482">
        <v>2205</v>
      </c>
      <c r="E68" s="161" t="s">
        <v>221</v>
      </c>
      <c r="F68" s="160" t="s">
        <v>348</v>
      </c>
      <c r="G68" s="483">
        <f t="shared" si="1"/>
        <v>4013.75</v>
      </c>
      <c r="H68" s="96"/>
    </row>
    <row r="69" spans="1:8" x14ac:dyDescent="0.3">
      <c r="A69" s="158">
        <v>60</v>
      </c>
      <c r="B69" s="481">
        <v>42522</v>
      </c>
      <c r="C69" s="482"/>
      <c r="D69" s="482">
        <v>720</v>
      </c>
      <c r="E69" s="161" t="s">
        <v>221</v>
      </c>
      <c r="F69" s="160" t="s">
        <v>348</v>
      </c>
      <c r="G69" s="483">
        <f t="shared" si="1"/>
        <v>3293.75</v>
      </c>
      <c r="H69" s="96"/>
    </row>
    <row r="70" spans="1:8" x14ac:dyDescent="0.3">
      <c r="A70" s="158">
        <v>61</v>
      </c>
      <c r="B70" s="481">
        <v>42522</v>
      </c>
      <c r="C70" s="482"/>
      <c r="D70" s="482">
        <v>1280</v>
      </c>
      <c r="E70" s="161" t="s">
        <v>221</v>
      </c>
      <c r="F70" s="160" t="s">
        <v>348</v>
      </c>
      <c r="G70" s="483">
        <f t="shared" si="1"/>
        <v>2013.75</v>
      </c>
      <c r="H70" s="96"/>
    </row>
    <row r="71" spans="1:8" ht="15.75" x14ac:dyDescent="0.3">
      <c r="A71" s="158">
        <v>62</v>
      </c>
      <c r="B71" s="484" t="s">
        <v>979</v>
      </c>
      <c r="C71" s="160">
        <v>280</v>
      </c>
      <c r="D71" s="161"/>
      <c r="E71" s="161" t="s">
        <v>221</v>
      </c>
      <c r="F71" s="160" t="s">
        <v>976</v>
      </c>
      <c r="G71" s="27">
        <f>IF(ISBLANK(B71),"",G70+C71-D71)</f>
        <v>2293.75</v>
      </c>
      <c r="H71" s="96"/>
    </row>
    <row r="72" spans="1:8" ht="15.75" x14ac:dyDescent="0.3">
      <c r="A72" s="158">
        <v>63</v>
      </c>
      <c r="B72" s="484" t="s">
        <v>979</v>
      </c>
      <c r="C72" s="160"/>
      <c r="D72" s="161">
        <v>280</v>
      </c>
      <c r="E72" s="161" t="s">
        <v>221</v>
      </c>
      <c r="F72" s="160" t="s">
        <v>977</v>
      </c>
      <c r="G72" s="27">
        <f t="shared" ref="G72:G73" si="2">IF(ISBLANK(B72),"",G71+C72-D72)</f>
        <v>2013.75</v>
      </c>
      <c r="H72" s="96"/>
    </row>
    <row r="73" spans="1:8" ht="15.75" x14ac:dyDescent="0.3">
      <c r="A73" s="158">
        <v>64</v>
      </c>
      <c r="B73" s="484" t="s">
        <v>979</v>
      </c>
      <c r="C73" s="160">
        <v>2450</v>
      </c>
      <c r="D73" s="161"/>
      <c r="E73" s="161" t="s">
        <v>221</v>
      </c>
      <c r="F73" s="160" t="s">
        <v>976</v>
      </c>
      <c r="G73" s="27">
        <f t="shared" si="2"/>
        <v>4463.75</v>
      </c>
      <c r="H73" s="96"/>
    </row>
    <row r="74" spans="1:8" ht="15.75" x14ac:dyDescent="0.3">
      <c r="A74" s="158">
        <v>65</v>
      </c>
      <c r="B74" s="484" t="s">
        <v>980</v>
      </c>
      <c r="C74" s="160"/>
      <c r="D74" s="485">
        <v>43.5</v>
      </c>
      <c r="E74" s="161" t="s">
        <v>221</v>
      </c>
      <c r="F74" s="160" t="s">
        <v>975</v>
      </c>
      <c r="G74" s="27">
        <f>IF(ISBLANK(B74),"",G73+C74-D74)</f>
        <v>4420.25</v>
      </c>
      <c r="H74" s="96"/>
    </row>
    <row r="75" spans="1:8" ht="15.75" x14ac:dyDescent="0.3">
      <c r="A75" s="158">
        <v>66</v>
      </c>
      <c r="B75" s="484" t="s">
        <v>980</v>
      </c>
      <c r="C75" s="160"/>
      <c r="D75" s="485">
        <v>42</v>
      </c>
      <c r="E75" s="161" t="s">
        <v>221</v>
      </c>
      <c r="F75" s="160" t="s">
        <v>975</v>
      </c>
      <c r="G75" s="27">
        <f t="shared" ref="G75:G138" si="3">IF(ISBLANK(B75),"",G74+C75-D75)</f>
        <v>4378.25</v>
      </c>
      <c r="H75" s="96"/>
    </row>
    <row r="76" spans="1:8" ht="15.75" x14ac:dyDescent="0.3">
      <c r="A76" s="158">
        <v>67</v>
      </c>
      <c r="B76" s="484" t="s">
        <v>981</v>
      </c>
      <c r="C76" s="160"/>
      <c r="D76" s="485">
        <v>2450</v>
      </c>
      <c r="E76" s="161" t="s">
        <v>221</v>
      </c>
      <c r="F76" s="160" t="s">
        <v>977</v>
      </c>
      <c r="G76" s="27">
        <f t="shared" si="3"/>
        <v>1928.25</v>
      </c>
      <c r="H76" s="96"/>
    </row>
    <row r="77" spans="1:8" ht="15.75" x14ac:dyDescent="0.3">
      <c r="A77" s="158">
        <v>68</v>
      </c>
      <c r="B77" s="484" t="s">
        <v>982</v>
      </c>
      <c r="C77" s="160">
        <v>1280</v>
      </c>
      <c r="D77" s="485"/>
      <c r="E77" s="161" t="s">
        <v>221</v>
      </c>
      <c r="F77" s="160" t="s">
        <v>976</v>
      </c>
      <c r="G77" s="27">
        <f t="shared" si="3"/>
        <v>3208.25</v>
      </c>
      <c r="H77" s="96"/>
    </row>
    <row r="78" spans="1:8" ht="15.75" x14ac:dyDescent="0.3">
      <c r="A78" s="158">
        <v>69</v>
      </c>
      <c r="B78" s="484" t="s">
        <v>982</v>
      </c>
      <c r="C78" s="160"/>
      <c r="D78" s="485">
        <v>1280</v>
      </c>
      <c r="E78" s="161" t="s">
        <v>221</v>
      </c>
      <c r="F78" s="160" t="s">
        <v>348</v>
      </c>
      <c r="G78" s="27">
        <f t="shared" si="3"/>
        <v>1928.25</v>
      </c>
      <c r="H78" s="96"/>
    </row>
    <row r="79" spans="1:8" ht="15.75" x14ac:dyDescent="0.3">
      <c r="A79" s="158">
        <v>70</v>
      </c>
      <c r="B79" s="484" t="s">
        <v>983</v>
      </c>
      <c r="C79" s="160">
        <v>720</v>
      </c>
      <c r="D79" s="485"/>
      <c r="E79" s="161" t="s">
        <v>221</v>
      </c>
      <c r="F79" s="160" t="s">
        <v>976</v>
      </c>
      <c r="G79" s="27">
        <f t="shared" si="3"/>
        <v>2648.25</v>
      </c>
      <c r="H79" s="96"/>
    </row>
    <row r="80" spans="1:8" ht="15.75" x14ac:dyDescent="0.3">
      <c r="A80" s="158">
        <v>71</v>
      </c>
      <c r="B80" s="484" t="s">
        <v>983</v>
      </c>
      <c r="C80" s="160"/>
      <c r="D80" s="485">
        <v>720</v>
      </c>
      <c r="E80" s="161" t="s">
        <v>221</v>
      </c>
      <c r="F80" s="160" t="s">
        <v>348</v>
      </c>
      <c r="G80" s="27">
        <f t="shared" si="3"/>
        <v>1928.25</v>
      </c>
      <c r="H80" s="96"/>
    </row>
    <row r="81" spans="1:8" ht="15.75" x14ac:dyDescent="0.3">
      <c r="A81" s="158">
        <v>72</v>
      </c>
      <c r="B81" s="484" t="s">
        <v>984</v>
      </c>
      <c r="C81" s="160">
        <v>280</v>
      </c>
      <c r="D81" s="485"/>
      <c r="E81" s="161" t="s">
        <v>221</v>
      </c>
      <c r="F81" s="160" t="s">
        <v>976</v>
      </c>
      <c r="G81" s="27">
        <f t="shared" si="3"/>
        <v>2208.25</v>
      </c>
      <c r="H81" s="96"/>
    </row>
    <row r="82" spans="1:8" ht="15.75" x14ac:dyDescent="0.3">
      <c r="A82" s="158">
        <v>73</v>
      </c>
      <c r="B82" s="484" t="s">
        <v>984</v>
      </c>
      <c r="C82" s="160"/>
      <c r="D82" s="485">
        <v>280</v>
      </c>
      <c r="E82" s="161" t="s">
        <v>221</v>
      </c>
      <c r="F82" s="160" t="s">
        <v>977</v>
      </c>
      <c r="G82" s="27">
        <f t="shared" si="3"/>
        <v>1928.25</v>
      </c>
      <c r="H82" s="96"/>
    </row>
    <row r="83" spans="1:8" ht="15.75" x14ac:dyDescent="0.3">
      <c r="A83" s="158">
        <v>74</v>
      </c>
      <c r="B83" s="484" t="s">
        <v>985</v>
      </c>
      <c r="C83" s="160">
        <v>1920</v>
      </c>
      <c r="D83" s="485"/>
      <c r="E83" s="161" t="s">
        <v>221</v>
      </c>
      <c r="F83" s="160" t="s">
        <v>976</v>
      </c>
      <c r="G83" s="27">
        <f t="shared" si="3"/>
        <v>3848.25</v>
      </c>
      <c r="H83" s="96"/>
    </row>
    <row r="84" spans="1:8" ht="15.75" x14ac:dyDescent="0.3">
      <c r="A84" s="158">
        <v>75</v>
      </c>
      <c r="B84" s="484" t="s">
        <v>986</v>
      </c>
      <c r="C84" s="160"/>
      <c r="D84" s="485">
        <v>1920</v>
      </c>
      <c r="E84" s="161" t="s">
        <v>221</v>
      </c>
      <c r="F84" s="160" t="s">
        <v>977</v>
      </c>
      <c r="G84" s="27">
        <f t="shared" si="3"/>
        <v>1928.25</v>
      </c>
      <c r="H84" s="96"/>
    </row>
    <row r="85" spans="1:8" ht="15.75" x14ac:dyDescent="0.3">
      <c r="A85" s="158">
        <v>76</v>
      </c>
      <c r="B85" s="484" t="s">
        <v>987</v>
      </c>
      <c r="C85" s="160"/>
      <c r="D85" s="485">
        <v>144</v>
      </c>
      <c r="E85" s="161" t="s">
        <v>221</v>
      </c>
      <c r="F85" s="160" t="s">
        <v>975</v>
      </c>
      <c r="G85" s="27">
        <f t="shared" si="3"/>
        <v>1784.25</v>
      </c>
      <c r="H85" s="96"/>
    </row>
    <row r="86" spans="1:8" ht="15.75" x14ac:dyDescent="0.3">
      <c r="A86" s="158">
        <v>77</v>
      </c>
      <c r="B86" s="484" t="s">
        <v>988</v>
      </c>
      <c r="C86" s="160">
        <v>80</v>
      </c>
      <c r="D86" s="485"/>
      <c r="E86" s="161" t="s">
        <v>221</v>
      </c>
      <c r="F86" s="160" t="s">
        <v>976</v>
      </c>
      <c r="G86" s="27">
        <f t="shared" si="3"/>
        <v>1864.25</v>
      </c>
      <c r="H86" s="96"/>
    </row>
    <row r="87" spans="1:8" ht="15.75" x14ac:dyDescent="0.3">
      <c r="A87" s="158">
        <v>78</v>
      </c>
      <c r="B87" s="484" t="s">
        <v>988</v>
      </c>
      <c r="C87" s="160"/>
      <c r="D87" s="485">
        <v>80</v>
      </c>
      <c r="E87" s="161" t="s">
        <v>221</v>
      </c>
      <c r="F87" s="160" t="s">
        <v>977</v>
      </c>
      <c r="G87" s="27">
        <f t="shared" si="3"/>
        <v>1784.25</v>
      </c>
      <c r="H87" s="96"/>
    </row>
    <row r="88" spans="1:8" ht="15.75" x14ac:dyDescent="0.3">
      <c r="A88" s="158">
        <v>79</v>
      </c>
      <c r="B88" s="484" t="s">
        <v>989</v>
      </c>
      <c r="C88" s="160"/>
      <c r="D88" s="485">
        <v>61.6</v>
      </c>
      <c r="E88" s="161" t="s">
        <v>221</v>
      </c>
      <c r="F88" s="160" t="s">
        <v>975</v>
      </c>
      <c r="G88" s="27">
        <f t="shared" si="3"/>
        <v>1722.65</v>
      </c>
      <c r="H88" s="96"/>
    </row>
    <row r="89" spans="1:8" ht="15.75" x14ac:dyDescent="0.3">
      <c r="A89" s="158">
        <v>80</v>
      </c>
      <c r="B89" s="484" t="s">
        <v>989</v>
      </c>
      <c r="C89" s="160">
        <v>3440</v>
      </c>
      <c r="D89" s="485"/>
      <c r="E89" s="161" t="s">
        <v>221</v>
      </c>
      <c r="F89" s="160" t="s">
        <v>976</v>
      </c>
      <c r="G89" s="27">
        <f t="shared" si="3"/>
        <v>5162.6499999999996</v>
      </c>
      <c r="H89" s="96"/>
    </row>
    <row r="90" spans="1:8" ht="15.75" x14ac:dyDescent="0.3">
      <c r="A90" s="158">
        <v>81</v>
      </c>
      <c r="B90" s="484" t="s">
        <v>990</v>
      </c>
      <c r="C90" s="160"/>
      <c r="D90" s="485">
        <v>1280</v>
      </c>
      <c r="E90" s="161" t="s">
        <v>221</v>
      </c>
      <c r="F90" s="160" t="s">
        <v>348</v>
      </c>
      <c r="G90" s="27">
        <f t="shared" si="3"/>
        <v>3882.6499999999996</v>
      </c>
      <c r="H90" s="96"/>
    </row>
    <row r="91" spans="1:8" ht="15.75" x14ac:dyDescent="0.3">
      <c r="A91" s="158">
        <v>82</v>
      </c>
      <c r="B91" s="484" t="s">
        <v>990</v>
      </c>
      <c r="C91" s="160"/>
      <c r="D91" s="485">
        <v>720</v>
      </c>
      <c r="E91" s="161" t="s">
        <v>221</v>
      </c>
      <c r="F91" s="160" t="s">
        <v>348</v>
      </c>
      <c r="G91" s="27">
        <f t="shared" si="3"/>
        <v>3162.6499999999996</v>
      </c>
      <c r="H91" s="96"/>
    </row>
    <row r="92" spans="1:8" ht="15.75" x14ac:dyDescent="0.3">
      <c r="A92" s="158">
        <v>83</v>
      </c>
      <c r="B92" s="484" t="s">
        <v>991</v>
      </c>
      <c r="C92" s="160"/>
      <c r="D92" s="485">
        <v>1440</v>
      </c>
      <c r="E92" s="161" t="s">
        <v>221</v>
      </c>
      <c r="F92" s="160" t="s">
        <v>977</v>
      </c>
      <c r="G92" s="27">
        <f t="shared" si="3"/>
        <v>1722.6499999999996</v>
      </c>
      <c r="H92" s="96"/>
    </row>
    <row r="93" spans="1:8" ht="15.75" x14ac:dyDescent="0.3">
      <c r="A93" s="158">
        <v>84</v>
      </c>
      <c r="B93" s="484" t="s">
        <v>992</v>
      </c>
      <c r="C93" s="160">
        <v>1680</v>
      </c>
      <c r="D93" s="485"/>
      <c r="E93" s="161" t="s">
        <v>221</v>
      </c>
      <c r="F93" s="160" t="s">
        <v>976</v>
      </c>
      <c r="G93" s="27">
        <f t="shared" si="3"/>
        <v>3402.6499999999996</v>
      </c>
      <c r="H93" s="96"/>
    </row>
    <row r="94" spans="1:8" ht="15.75" x14ac:dyDescent="0.3">
      <c r="A94" s="158">
        <v>85</v>
      </c>
      <c r="B94" s="484" t="s">
        <v>993</v>
      </c>
      <c r="C94" s="160"/>
      <c r="D94" s="485">
        <v>1680</v>
      </c>
      <c r="E94" s="161" t="s">
        <v>221</v>
      </c>
      <c r="F94" s="160" t="s">
        <v>977</v>
      </c>
      <c r="G94" s="27">
        <f t="shared" si="3"/>
        <v>1722.6499999999996</v>
      </c>
      <c r="H94" s="96"/>
    </row>
    <row r="95" spans="1:8" ht="15.75" x14ac:dyDescent="0.3">
      <c r="A95" s="158">
        <v>86</v>
      </c>
      <c r="B95" s="484" t="s">
        <v>994</v>
      </c>
      <c r="C95" s="160"/>
      <c r="D95" s="485">
        <v>72.5</v>
      </c>
      <c r="E95" s="161" t="s">
        <v>221</v>
      </c>
      <c r="F95" s="160" t="s">
        <v>975</v>
      </c>
      <c r="G95" s="27">
        <f t="shared" si="3"/>
        <v>1650.1499999999996</v>
      </c>
      <c r="H95" s="96"/>
    </row>
    <row r="96" spans="1:8" ht="15.75" x14ac:dyDescent="0.3">
      <c r="A96" s="158">
        <v>87</v>
      </c>
      <c r="B96" s="484" t="s">
        <v>995</v>
      </c>
      <c r="C96" s="160">
        <v>1020</v>
      </c>
      <c r="D96" s="485"/>
      <c r="E96" s="161" t="s">
        <v>221</v>
      </c>
      <c r="F96" s="160" t="s">
        <v>976</v>
      </c>
      <c r="G96" s="27">
        <f t="shared" si="3"/>
        <v>2670.1499999999996</v>
      </c>
      <c r="H96" s="96"/>
    </row>
    <row r="97" spans="1:8" ht="15.75" x14ac:dyDescent="0.3">
      <c r="A97" s="158">
        <v>88</v>
      </c>
      <c r="B97" s="484" t="s">
        <v>995</v>
      </c>
      <c r="C97" s="160"/>
      <c r="D97" s="485">
        <v>720</v>
      </c>
      <c r="E97" s="161" t="s">
        <v>221</v>
      </c>
      <c r="F97" s="160" t="s">
        <v>977</v>
      </c>
      <c r="G97" s="27">
        <f t="shared" si="3"/>
        <v>1950.1499999999996</v>
      </c>
      <c r="H97" s="96"/>
    </row>
    <row r="98" spans="1:8" ht="15.75" x14ac:dyDescent="0.3">
      <c r="A98" s="158">
        <v>89</v>
      </c>
      <c r="B98" s="484" t="s">
        <v>995</v>
      </c>
      <c r="C98" s="160"/>
      <c r="D98" s="485">
        <v>300</v>
      </c>
      <c r="E98" s="161" t="s">
        <v>221</v>
      </c>
      <c r="F98" s="160" t="s">
        <v>977</v>
      </c>
      <c r="G98" s="27">
        <f t="shared" si="3"/>
        <v>1650.1499999999996</v>
      </c>
      <c r="H98" s="96"/>
    </row>
    <row r="99" spans="1:8" ht="15.75" x14ac:dyDescent="0.3">
      <c r="A99" s="158">
        <v>90</v>
      </c>
      <c r="B99" s="484" t="s">
        <v>996</v>
      </c>
      <c r="C99" s="160">
        <v>2360</v>
      </c>
      <c r="D99" s="485"/>
      <c r="E99" s="161" t="s">
        <v>221</v>
      </c>
      <c r="F99" s="160" t="s">
        <v>976</v>
      </c>
      <c r="G99" s="27">
        <f t="shared" si="3"/>
        <v>4010.1499999999996</v>
      </c>
      <c r="H99" s="96"/>
    </row>
    <row r="100" spans="1:8" ht="15.75" x14ac:dyDescent="0.3">
      <c r="A100" s="158">
        <v>91</v>
      </c>
      <c r="B100" s="484" t="s">
        <v>996</v>
      </c>
      <c r="C100" s="160"/>
      <c r="D100" s="485">
        <v>360</v>
      </c>
      <c r="E100" s="161" t="s">
        <v>221</v>
      </c>
      <c r="F100" s="160" t="s">
        <v>977</v>
      </c>
      <c r="G100" s="27">
        <f t="shared" si="3"/>
        <v>3650.1499999999996</v>
      </c>
      <c r="H100" s="96"/>
    </row>
    <row r="101" spans="1:8" ht="15.75" x14ac:dyDescent="0.3">
      <c r="A101" s="158">
        <v>92</v>
      </c>
      <c r="B101" s="484" t="s">
        <v>996</v>
      </c>
      <c r="C101" s="160"/>
      <c r="D101" s="485">
        <v>1280</v>
      </c>
      <c r="E101" s="161" t="s">
        <v>221</v>
      </c>
      <c r="F101" s="160" t="s">
        <v>348</v>
      </c>
      <c r="G101" s="27">
        <f t="shared" si="3"/>
        <v>2370.1499999999996</v>
      </c>
      <c r="H101" s="96"/>
    </row>
    <row r="102" spans="1:8" ht="15.75" x14ac:dyDescent="0.3">
      <c r="A102" s="158">
        <v>93</v>
      </c>
      <c r="B102" s="484" t="s">
        <v>996</v>
      </c>
      <c r="C102" s="160"/>
      <c r="D102" s="485">
        <v>720</v>
      </c>
      <c r="E102" s="161" t="s">
        <v>221</v>
      </c>
      <c r="F102" s="160" t="s">
        <v>348</v>
      </c>
      <c r="G102" s="27">
        <f t="shared" si="3"/>
        <v>1650.1499999999996</v>
      </c>
      <c r="H102" s="96"/>
    </row>
    <row r="103" spans="1:8" ht="15.75" x14ac:dyDescent="0.3">
      <c r="A103" s="158">
        <v>94</v>
      </c>
      <c r="B103" s="484" t="s">
        <v>997</v>
      </c>
      <c r="C103" s="160"/>
      <c r="D103" s="485">
        <v>90</v>
      </c>
      <c r="E103" s="161" t="s">
        <v>221</v>
      </c>
      <c r="F103" s="160" t="s">
        <v>977</v>
      </c>
      <c r="G103" s="27">
        <f t="shared" si="3"/>
        <v>1560.1499999999996</v>
      </c>
      <c r="H103" s="96"/>
    </row>
    <row r="104" spans="1:8" ht="15.75" x14ac:dyDescent="0.3">
      <c r="A104" s="158">
        <v>95</v>
      </c>
      <c r="B104" s="484" t="s">
        <v>997</v>
      </c>
      <c r="C104" s="160"/>
      <c r="D104" s="485">
        <v>360</v>
      </c>
      <c r="E104" s="161" t="s">
        <v>221</v>
      </c>
      <c r="F104" s="160" t="s">
        <v>977</v>
      </c>
      <c r="G104" s="27">
        <f t="shared" si="3"/>
        <v>1200.1499999999996</v>
      </c>
      <c r="H104" s="96"/>
    </row>
    <row r="105" spans="1:8" ht="15.75" x14ac:dyDescent="0.3">
      <c r="A105" s="158">
        <v>96</v>
      </c>
      <c r="B105" s="484" t="s">
        <v>997</v>
      </c>
      <c r="C105" s="160"/>
      <c r="D105" s="485">
        <v>120</v>
      </c>
      <c r="E105" s="161" t="s">
        <v>221</v>
      </c>
      <c r="F105" s="160" t="s">
        <v>977</v>
      </c>
      <c r="G105" s="27">
        <f t="shared" si="3"/>
        <v>1080.1499999999996</v>
      </c>
      <c r="H105" s="96"/>
    </row>
    <row r="106" spans="1:8" ht="15.75" x14ac:dyDescent="0.3">
      <c r="A106" s="158">
        <v>97</v>
      </c>
      <c r="B106" s="484" t="s">
        <v>997</v>
      </c>
      <c r="C106" s="160">
        <v>4490</v>
      </c>
      <c r="D106" s="485"/>
      <c r="E106" s="161" t="s">
        <v>221</v>
      </c>
      <c r="F106" s="160" t="s">
        <v>976</v>
      </c>
      <c r="G106" s="27">
        <f t="shared" si="3"/>
        <v>5570.15</v>
      </c>
      <c r="H106" s="96"/>
    </row>
    <row r="107" spans="1:8" ht="15.75" x14ac:dyDescent="0.3">
      <c r="A107" s="158">
        <v>98</v>
      </c>
      <c r="B107" s="484" t="s">
        <v>997</v>
      </c>
      <c r="C107" s="160"/>
      <c r="D107" s="485">
        <v>3920</v>
      </c>
      <c r="E107" s="161" t="s">
        <v>221</v>
      </c>
      <c r="F107" s="160" t="s">
        <v>977</v>
      </c>
      <c r="G107" s="27">
        <f t="shared" si="3"/>
        <v>1650.1499999999996</v>
      </c>
      <c r="H107" s="96"/>
    </row>
    <row r="108" spans="1:8" ht="15.75" x14ac:dyDescent="0.3">
      <c r="A108" s="158">
        <v>99</v>
      </c>
      <c r="B108" s="484" t="s">
        <v>998</v>
      </c>
      <c r="C108" s="160"/>
      <c r="D108" s="485">
        <v>113.5</v>
      </c>
      <c r="E108" s="161" t="s">
        <v>221</v>
      </c>
      <c r="F108" s="160" t="s">
        <v>975</v>
      </c>
      <c r="G108" s="27">
        <f t="shared" si="3"/>
        <v>1536.6499999999996</v>
      </c>
      <c r="H108" s="96"/>
    </row>
    <row r="109" spans="1:8" ht="15.75" x14ac:dyDescent="0.3">
      <c r="A109" s="158">
        <v>100</v>
      </c>
      <c r="B109" s="484" t="s">
        <v>998</v>
      </c>
      <c r="C109" s="160"/>
      <c r="D109" s="161">
        <v>45</v>
      </c>
      <c r="E109" s="161" t="s">
        <v>221</v>
      </c>
      <c r="F109" s="160" t="s">
        <v>975</v>
      </c>
      <c r="G109" s="27">
        <f t="shared" si="3"/>
        <v>1491.6499999999996</v>
      </c>
      <c r="H109" s="96"/>
    </row>
    <row r="110" spans="1:8" ht="15.75" x14ac:dyDescent="0.3">
      <c r="A110" s="158">
        <v>101</v>
      </c>
      <c r="B110" s="484" t="s">
        <v>999</v>
      </c>
      <c r="C110" s="160"/>
      <c r="D110" s="485">
        <v>120</v>
      </c>
      <c r="E110" s="161" t="s">
        <v>221</v>
      </c>
      <c r="F110" s="160" t="s">
        <v>977</v>
      </c>
      <c r="G110" s="27">
        <f t="shared" si="3"/>
        <v>1371.6499999999996</v>
      </c>
      <c r="H110" s="96"/>
    </row>
    <row r="111" spans="1:8" ht="15.75" x14ac:dyDescent="0.3">
      <c r="A111" s="158">
        <v>102</v>
      </c>
      <c r="B111" s="484" t="s">
        <v>999</v>
      </c>
      <c r="C111" s="160">
        <v>1950</v>
      </c>
      <c r="D111" s="485"/>
      <c r="E111" s="161" t="s">
        <v>221</v>
      </c>
      <c r="F111" s="160" t="s">
        <v>976</v>
      </c>
      <c r="G111" s="27">
        <f t="shared" si="3"/>
        <v>3321.6499999999996</v>
      </c>
      <c r="H111" s="96"/>
    </row>
    <row r="112" spans="1:8" ht="15.75" x14ac:dyDescent="0.3">
      <c r="A112" s="158">
        <v>103</v>
      </c>
      <c r="B112" s="484" t="s">
        <v>1000</v>
      </c>
      <c r="C112" s="160"/>
      <c r="D112" s="485">
        <v>240</v>
      </c>
      <c r="E112" s="161" t="s">
        <v>221</v>
      </c>
      <c r="F112" s="160" t="s">
        <v>977</v>
      </c>
      <c r="G112" s="27">
        <f t="shared" si="3"/>
        <v>3081.6499999999996</v>
      </c>
      <c r="H112" s="96"/>
    </row>
    <row r="113" spans="1:8" ht="15.75" x14ac:dyDescent="0.3">
      <c r="A113" s="158">
        <v>104</v>
      </c>
      <c r="B113" s="484" t="s">
        <v>1000</v>
      </c>
      <c r="C113" s="160"/>
      <c r="D113" s="485">
        <v>749</v>
      </c>
      <c r="E113" s="161" t="s">
        <v>221</v>
      </c>
      <c r="F113" s="160" t="s">
        <v>975</v>
      </c>
      <c r="G113" s="27">
        <f t="shared" si="3"/>
        <v>2332.6499999999996</v>
      </c>
      <c r="H113" s="96"/>
    </row>
    <row r="114" spans="1:8" ht="15.75" x14ac:dyDescent="0.3">
      <c r="A114" s="158">
        <v>105</v>
      </c>
      <c r="B114" s="484" t="s">
        <v>1001</v>
      </c>
      <c r="C114" s="160"/>
      <c r="D114" s="485">
        <v>465</v>
      </c>
      <c r="E114" s="161" t="s">
        <v>221</v>
      </c>
      <c r="F114" s="160" t="s">
        <v>975</v>
      </c>
      <c r="G114" s="27">
        <f t="shared" si="3"/>
        <v>1867.6499999999996</v>
      </c>
      <c r="H114" s="96"/>
    </row>
    <row r="115" spans="1:8" ht="15.75" x14ac:dyDescent="0.3">
      <c r="A115" s="158">
        <v>106</v>
      </c>
      <c r="B115" s="484" t="s">
        <v>1002</v>
      </c>
      <c r="C115" s="160"/>
      <c r="D115" s="485">
        <v>240</v>
      </c>
      <c r="E115" s="161" t="s">
        <v>221</v>
      </c>
      <c r="F115" s="160" t="s">
        <v>977</v>
      </c>
      <c r="G115" s="27">
        <f t="shared" si="3"/>
        <v>1627.6499999999996</v>
      </c>
      <c r="H115" s="96"/>
    </row>
    <row r="116" spans="1:8" ht="15.75" x14ac:dyDescent="0.3">
      <c r="A116" s="158">
        <v>107</v>
      </c>
      <c r="B116" s="484" t="s">
        <v>1002</v>
      </c>
      <c r="C116" s="160"/>
      <c r="D116" s="485">
        <v>160</v>
      </c>
      <c r="E116" s="161" t="s">
        <v>221</v>
      </c>
      <c r="F116" s="160" t="s">
        <v>975</v>
      </c>
      <c r="G116" s="27">
        <f t="shared" si="3"/>
        <v>1467.6499999999996</v>
      </c>
      <c r="H116" s="96"/>
    </row>
    <row r="117" spans="1:8" ht="15.75" x14ac:dyDescent="0.3">
      <c r="A117" s="158">
        <v>108</v>
      </c>
      <c r="B117" s="484" t="s">
        <v>1003</v>
      </c>
      <c r="C117" s="160"/>
      <c r="D117" s="485">
        <v>1350</v>
      </c>
      <c r="E117" s="161" t="s">
        <v>221</v>
      </c>
      <c r="F117" s="160" t="s">
        <v>977</v>
      </c>
      <c r="G117" s="27">
        <f t="shared" si="3"/>
        <v>117.64999999999964</v>
      </c>
      <c r="H117" s="96"/>
    </row>
    <row r="118" spans="1:8" ht="15.75" x14ac:dyDescent="0.3">
      <c r="A118" s="158">
        <v>109</v>
      </c>
      <c r="B118" s="484" t="s">
        <v>1004</v>
      </c>
      <c r="C118" s="160">
        <v>3600</v>
      </c>
      <c r="D118" s="485"/>
      <c r="E118" s="161" t="s">
        <v>221</v>
      </c>
      <c r="F118" s="160" t="s">
        <v>976</v>
      </c>
      <c r="G118" s="27">
        <f t="shared" si="3"/>
        <v>3717.6499999999996</v>
      </c>
      <c r="H118" s="96"/>
    </row>
    <row r="119" spans="1:8" ht="15.75" x14ac:dyDescent="0.3">
      <c r="A119" s="158">
        <v>110</v>
      </c>
      <c r="B119" s="484" t="s">
        <v>1004</v>
      </c>
      <c r="C119" s="160"/>
      <c r="D119" s="485">
        <v>320</v>
      </c>
      <c r="E119" s="161" t="s">
        <v>221</v>
      </c>
      <c r="F119" s="160" t="s">
        <v>348</v>
      </c>
      <c r="G119" s="27">
        <f t="shared" si="3"/>
        <v>3397.6499999999996</v>
      </c>
      <c r="H119" s="96"/>
    </row>
    <row r="120" spans="1:8" ht="15.75" x14ac:dyDescent="0.3">
      <c r="A120" s="158">
        <v>111</v>
      </c>
      <c r="B120" s="484" t="s">
        <v>1004</v>
      </c>
      <c r="C120" s="160"/>
      <c r="D120" s="161">
        <v>1280</v>
      </c>
      <c r="E120" s="161" t="s">
        <v>221</v>
      </c>
      <c r="F120" s="160" t="s">
        <v>348</v>
      </c>
      <c r="G120" s="27">
        <f t="shared" si="3"/>
        <v>2117.6499999999996</v>
      </c>
      <c r="H120" s="96"/>
    </row>
    <row r="121" spans="1:8" ht="15.75" x14ac:dyDescent="0.3">
      <c r="A121" s="158">
        <v>112</v>
      </c>
      <c r="B121" s="484" t="s">
        <v>1004</v>
      </c>
      <c r="C121" s="160"/>
      <c r="D121" s="161">
        <v>1280</v>
      </c>
      <c r="E121" s="161" t="s">
        <v>221</v>
      </c>
      <c r="F121" s="160" t="s">
        <v>348</v>
      </c>
      <c r="G121" s="27">
        <f t="shared" si="3"/>
        <v>837.64999999999964</v>
      </c>
      <c r="H121" s="96"/>
    </row>
    <row r="122" spans="1:8" ht="15.75" x14ac:dyDescent="0.3">
      <c r="A122" s="158">
        <v>113</v>
      </c>
      <c r="B122" s="484" t="s">
        <v>1004</v>
      </c>
      <c r="C122" s="160"/>
      <c r="D122" s="161">
        <v>720</v>
      </c>
      <c r="E122" s="161" t="s">
        <v>221</v>
      </c>
      <c r="F122" s="160" t="s">
        <v>348</v>
      </c>
      <c r="G122" s="27">
        <f t="shared" si="3"/>
        <v>117.64999999999964</v>
      </c>
      <c r="H122" s="96"/>
    </row>
    <row r="123" spans="1:8" ht="15.75" x14ac:dyDescent="0.3">
      <c r="A123" s="158">
        <v>114</v>
      </c>
      <c r="B123" s="484" t="s">
        <v>1005</v>
      </c>
      <c r="C123" s="160">
        <v>7720</v>
      </c>
      <c r="D123" s="161"/>
      <c r="E123" s="161" t="s">
        <v>221</v>
      </c>
      <c r="F123" s="160" t="s">
        <v>976</v>
      </c>
      <c r="G123" s="27">
        <f t="shared" si="3"/>
        <v>7837.65</v>
      </c>
      <c r="H123" s="96"/>
    </row>
    <row r="124" spans="1:8" ht="15.75" x14ac:dyDescent="0.3">
      <c r="A124" s="158">
        <v>115</v>
      </c>
      <c r="B124" s="484" t="s">
        <v>1005</v>
      </c>
      <c r="C124" s="160">
        <v>30000</v>
      </c>
      <c r="D124" s="161"/>
      <c r="E124" s="161" t="s">
        <v>221</v>
      </c>
      <c r="F124" s="160" t="s">
        <v>976</v>
      </c>
      <c r="G124" s="27">
        <f t="shared" si="3"/>
        <v>37837.65</v>
      </c>
      <c r="H124" s="96"/>
    </row>
    <row r="125" spans="1:8" ht="15.75" x14ac:dyDescent="0.3">
      <c r="A125" s="158">
        <v>116</v>
      </c>
      <c r="B125" s="484" t="s">
        <v>1005</v>
      </c>
      <c r="C125" s="160"/>
      <c r="D125" s="161">
        <v>360</v>
      </c>
      <c r="E125" s="161" t="s">
        <v>221</v>
      </c>
      <c r="F125" s="160" t="s">
        <v>977</v>
      </c>
      <c r="G125" s="27">
        <f t="shared" si="3"/>
        <v>37477.65</v>
      </c>
      <c r="H125" s="96"/>
    </row>
    <row r="126" spans="1:8" ht="15.75" x14ac:dyDescent="0.3">
      <c r="A126" s="158">
        <v>117</v>
      </c>
      <c r="B126" s="484" t="s">
        <v>1005</v>
      </c>
      <c r="C126" s="160"/>
      <c r="D126" s="161">
        <v>360</v>
      </c>
      <c r="E126" s="161" t="s">
        <v>221</v>
      </c>
      <c r="F126" s="160" t="s">
        <v>977</v>
      </c>
      <c r="G126" s="27">
        <f t="shared" si="3"/>
        <v>37117.65</v>
      </c>
      <c r="H126" s="96"/>
    </row>
    <row r="127" spans="1:8" ht="15.75" x14ac:dyDescent="0.3">
      <c r="A127" s="158">
        <v>118</v>
      </c>
      <c r="B127" s="484" t="s">
        <v>1006</v>
      </c>
      <c r="C127" s="160">
        <v>100000</v>
      </c>
      <c r="D127" s="161"/>
      <c r="E127" s="161" t="s">
        <v>221</v>
      </c>
      <c r="F127" s="160" t="s">
        <v>976</v>
      </c>
      <c r="G127" s="27">
        <f t="shared" si="3"/>
        <v>137117.65</v>
      </c>
      <c r="H127" s="96"/>
    </row>
    <row r="128" spans="1:8" ht="15.75" x14ac:dyDescent="0.3">
      <c r="A128" s="158">
        <v>119</v>
      </c>
      <c r="B128" s="484" t="s">
        <v>1006</v>
      </c>
      <c r="C128" s="160"/>
      <c r="D128" s="161">
        <v>500</v>
      </c>
      <c r="E128" s="161" t="s">
        <v>221</v>
      </c>
      <c r="F128" s="160" t="s">
        <v>348</v>
      </c>
      <c r="G128" s="27">
        <f t="shared" si="3"/>
        <v>136617.65</v>
      </c>
      <c r="H128" s="96"/>
    </row>
    <row r="129" spans="1:8" ht="15.75" x14ac:dyDescent="0.3">
      <c r="A129" s="158">
        <v>120</v>
      </c>
      <c r="B129" s="484" t="s">
        <v>1006</v>
      </c>
      <c r="C129" s="160"/>
      <c r="D129" s="161">
        <v>500</v>
      </c>
      <c r="E129" s="161" t="s">
        <v>221</v>
      </c>
      <c r="F129" s="160" t="s">
        <v>348</v>
      </c>
      <c r="G129" s="27">
        <f t="shared" si="3"/>
        <v>136117.65</v>
      </c>
      <c r="H129" s="96"/>
    </row>
    <row r="130" spans="1:8" ht="15.75" x14ac:dyDescent="0.3">
      <c r="A130" s="158">
        <v>121</v>
      </c>
      <c r="B130" s="484" t="s">
        <v>1006</v>
      </c>
      <c r="C130" s="160"/>
      <c r="D130" s="161">
        <v>500</v>
      </c>
      <c r="E130" s="161" t="s">
        <v>221</v>
      </c>
      <c r="F130" s="160" t="s">
        <v>348</v>
      </c>
      <c r="G130" s="27">
        <f t="shared" si="3"/>
        <v>135617.65</v>
      </c>
      <c r="H130" s="96"/>
    </row>
    <row r="131" spans="1:8" ht="15.75" x14ac:dyDescent="0.3">
      <c r="A131" s="158">
        <v>122</v>
      </c>
      <c r="B131" s="484" t="s">
        <v>1006</v>
      </c>
      <c r="C131" s="160"/>
      <c r="D131" s="161">
        <v>500</v>
      </c>
      <c r="E131" s="161" t="s">
        <v>221</v>
      </c>
      <c r="F131" s="160" t="s">
        <v>348</v>
      </c>
      <c r="G131" s="27">
        <f t="shared" si="3"/>
        <v>135117.65</v>
      </c>
      <c r="H131" s="96"/>
    </row>
    <row r="132" spans="1:8" ht="15.75" x14ac:dyDescent="0.3">
      <c r="A132" s="158">
        <v>123</v>
      </c>
      <c r="B132" s="484" t="s">
        <v>1006</v>
      </c>
      <c r="C132" s="160"/>
      <c r="D132" s="161">
        <v>500</v>
      </c>
      <c r="E132" s="161" t="s">
        <v>221</v>
      </c>
      <c r="F132" s="160" t="s">
        <v>348</v>
      </c>
      <c r="G132" s="27">
        <f t="shared" si="3"/>
        <v>134617.65</v>
      </c>
      <c r="H132" s="96"/>
    </row>
    <row r="133" spans="1:8" ht="15.75" x14ac:dyDescent="0.3">
      <c r="A133" s="158">
        <v>124</v>
      </c>
      <c r="B133" s="484" t="s">
        <v>1006</v>
      </c>
      <c r="C133" s="160"/>
      <c r="D133" s="161">
        <v>500</v>
      </c>
      <c r="E133" s="161" t="s">
        <v>221</v>
      </c>
      <c r="F133" s="160" t="s">
        <v>348</v>
      </c>
      <c r="G133" s="27">
        <f t="shared" si="3"/>
        <v>134117.65</v>
      </c>
      <c r="H133" s="96"/>
    </row>
    <row r="134" spans="1:8" ht="15.75" x14ac:dyDescent="0.3">
      <c r="A134" s="158">
        <v>125</v>
      </c>
      <c r="B134" s="484" t="s">
        <v>1006</v>
      </c>
      <c r="C134" s="160"/>
      <c r="D134" s="161">
        <v>500</v>
      </c>
      <c r="E134" s="161" t="s">
        <v>221</v>
      </c>
      <c r="F134" s="160" t="s">
        <v>348</v>
      </c>
      <c r="G134" s="27">
        <f t="shared" si="3"/>
        <v>133617.65</v>
      </c>
      <c r="H134" s="96"/>
    </row>
    <row r="135" spans="1:8" ht="15.75" x14ac:dyDescent="0.3">
      <c r="A135" s="158">
        <v>126</v>
      </c>
      <c r="B135" s="484" t="s">
        <v>1006</v>
      </c>
      <c r="C135" s="160"/>
      <c r="D135" s="161">
        <v>500</v>
      </c>
      <c r="E135" s="161" t="s">
        <v>221</v>
      </c>
      <c r="F135" s="160" t="s">
        <v>348</v>
      </c>
      <c r="G135" s="27">
        <f t="shared" si="3"/>
        <v>133117.65</v>
      </c>
      <c r="H135" s="96"/>
    </row>
    <row r="136" spans="1:8" ht="15.75" x14ac:dyDescent="0.3">
      <c r="A136" s="158">
        <v>127</v>
      </c>
      <c r="B136" s="484" t="s">
        <v>1006</v>
      </c>
      <c r="C136" s="160"/>
      <c r="D136" s="161">
        <v>500</v>
      </c>
      <c r="E136" s="161" t="s">
        <v>221</v>
      </c>
      <c r="F136" s="160" t="s">
        <v>348</v>
      </c>
      <c r="G136" s="27">
        <f t="shared" si="3"/>
        <v>132617.65</v>
      </c>
      <c r="H136" s="96"/>
    </row>
    <row r="137" spans="1:8" ht="15.75" x14ac:dyDescent="0.3">
      <c r="A137" s="158">
        <v>128</v>
      </c>
      <c r="B137" s="484" t="s">
        <v>1006</v>
      </c>
      <c r="C137" s="160"/>
      <c r="D137" s="161">
        <v>500</v>
      </c>
      <c r="E137" s="161" t="s">
        <v>221</v>
      </c>
      <c r="F137" s="160" t="s">
        <v>348</v>
      </c>
      <c r="G137" s="27">
        <f t="shared" si="3"/>
        <v>132117.65</v>
      </c>
      <c r="H137" s="96"/>
    </row>
    <row r="138" spans="1:8" ht="15.75" x14ac:dyDescent="0.3">
      <c r="A138" s="158">
        <v>129</v>
      </c>
      <c r="B138" s="484" t="s">
        <v>1006</v>
      </c>
      <c r="C138" s="160"/>
      <c r="D138" s="161">
        <v>500</v>
      </c>
      <c r="E138" s="161" t="s">
        <v>221</v>
      </c>
      <c r="F138" s="160" t="s">
        <v>348</v>
      </c>
      <c r="G138" s="27">
        <f t="shared" si="3"/>
        <v>131617.65</v>
      </c>
      <c r="H138" s="96"/>
    </row>
    <row r="139" spans="1:8" ht="15.75" x14ac:dyDescent="0.3">
      <c r="A139" s="158">
        <v>130</v>
      </c>
      <c r="B139" s="484" t="s">
        <v>1006</v>
      </c>
      <c r="C139" s="160"/>
      <c r="D139" s="161">
        <v>500</v>
      </c>
      <c r="E139" s="161" t="s">
        <v>221</v>
      </c>
      <c r="F139" s="160" t="s">
        <v>348</v>
      </c>
      <c r="G139" s="27">
        <f t="shared" ref="G139:G202" si="4">IF(ISBLANK(B139),"",G138+C139-D139)</f>
        <v>131117.65</v>
      </c>
      <c r="H139" s="96"/>
    </row>
    <row r="140" spans="1:8" ht="15.75" x14ac:dyDescent="0.3">
      <c r="A140" s="158">
        <v>131</v>
      </c>
      <c r="B140" s="484" t="s">
        <v>1006</v>
      </c>
      <c r="C140" s="160"/>
      <c r="D140" s="486">
        <v>500</v>
      </c>
      <c r="E140" s="161" t="s">
        <v>221</v>
      </c>
      <c r="F140" s="160" t="s">
        <v>348</v>
      </c>
      <c r="G140" s="27">
        <f t="shared" si="4"/>
        <v>130617.65</v>
      </c>
      <c r="H140" s="96"/>
    </row>
    <row r="141" spans="1:8" ht="15.75" x14ac:dyDescent="0.3">
      <c r="A141" s="158">
        <v>132</v>
      </c>
      <c r="B141" s="484" t="s">
        <v>1006</v>
      </c>
      <c r="C141" s="160"/>
      <c r="D141" s="486">
        <v>500</v>
      </c>
      <c r="E141" s="161" t="s">
        <v>221</v>
      </c>
      <c r="F141" s="160" t="s">
        <v>348</v>
      </c>
      <c r="G141" s="27">
        <f t="shared" si="4"/>
        <v>130117.65</v>
      </c>
      <c r="H141" s="96"/>
    </row>
    <row r="142" spans="1:8" ht="15.75" x14ac:dyDescent="0.3">
      <c r="A142" s="158">
        <v>133</v>
      </c>
      <c r="B142" s="484" t="s">
        <v>1007</v>
      </c>
      <c r="C142" s="160"/>
      <c r="D142" s="258">
        <v>3520</v>
      </c>
      <c r="E142" s="161" t="s">
        <v>221</v>
      </c>
      <c r="F142" s="160" t="s">
        <v>348</v>
      </c>
      <c r="G142" s="27">
        <f t="shared" si="4"/>
        <v>126597.65</v>
      </c>
      <c r="H142" s="96"/>
    </row>
    <row r="143" spans="1:8" ht="15.75" x14ac:dyDescent="0.3">
      <c r="A143" s="158">
        <v>134</v>
      </c>
      <c r="B143" s="484" t="s">
        <v>1007</v>
      </c>
      <c r="C143" s="160"/>
      <c r="D143" s="258">
        <v>4080</v>
      </c>
      <c r="E143" s="161" t="s">
        <v>221</v>
      </c>
      <c r="F143" s="160" t="s">
        <v>348</v>
      </c>
      <c r="G143" s="27">
        <f t="shared" si="4"/>
        <v>122517.65</v>
      </c>
      <c r="H143" s="96"/>
    </row>
    <row r="144" spans="1:8" ht="15.75" x14ac:dyDescent="0.3">
      <c r="A144" s="158">
        <v>135</v>
      </c>
      <c r="B144" s="484" t="s">
        <v>1007</v>
      </c>
      <c r="C144" s="160"/>
      <c r="D144" s="258">
        <v>3760</v>
      </c>
      <c r="E144" s="161" t="s">
        <v>221</v>
      </c>
      <c r="F144" s="160" t="s">
        <v>348</v>
      </c>
      <c r="G144" s="27">
        <f t="shared" si="4"/>
        <v>118757.65</v>
      </c>
      <c r="H144" s="96"/>
    </row>
    <row r="145" spans="1:8" ht="15.75" x14ac:dyDescent="0.3">
      <c r="A145" s="158">
        <v>136</v>
      </c>
      <c r="B145" s="484" t="s">
        <v>1007</v>
      </c>
      <c r="C145" s="160"/>
      <c r="D145" s="258">
        <v>2400</v>
      </c>
      <c r="E145" s="161" t="s">
        <v>221</v>
      </c>
      <c r="F145" s="160" t="s">
        <v>348</v>
      </c>
      <c r="G145" s="27">
        <f t="shared" si="4"/>
        <v>116357.65</v>
      </c>
      <c r="H145" s="96"/>
    </row>
    <row r="146" spans="1:8" ht="15.75" x14ac:dyDescent="0.3">
      <c r="A146" s="158">
        <v>137</v>
      </c>
      <c r="B146" s="484" t="s">
        <v>1007</v>
      </c>
      <c r="C146" s="160"/>
      <c r="D146" s="258">
        <v>240</v>
      </c>
      <c r="E146" s="161" t="s">
        <v>221</v>
      </c>
      <c r="F146" s="160" t="s">
        <v>348</v>
      </c>
      <c r="G146" s="27">
        <f t="shared" si="4"/>
        <v>116117.65</v>
      </c>
      <c r="H146" s="96"/>
    </row>
    <row r="147" spans="1:8" ht="15.75" x14ac:dyDescent="0.3">
      <c r="A147" s="158">
        <v>138</v>
      </c>
      <c r="B147" s="484" t="s">
        <v>1007</v>
      </c>
      <c r="C147" s="160"/>
      <c r="D147" s="258">
        <v>2080</v>
      </c>
      <c r="E147" s="161" t="s">
        <v>221</v>
      </c>
      <c r="F147" s="160" t="s">
        <v>348</v>
      </c>
      <c r="G147" s="27">
        <f t="shared" si="4"/>
        <v>114037.65</v>
      </c>
      <c r="H147" s="96"/>
    </row>
    <row r="148" spans="1:8" ht="15.75" x14ac:dyDescent="0.3">
      <c r="A148" s="158">
        <v>139</v>
      </c>
      <c r="B148" s="484" t="s">
        <v>1007</v>
      </c>
      <c r="C148" s="160"/>
      <c r="D148" s="258">
        <v>1360</v>
      </c>
      <c r="E148" s="161" t="s">
        <v>221</v>
      </c>
      <c r="F148" s="160" t="s">
        <v>348</v>
      </c>
      <c r="G148" s="27">
        <f t="shared" si="4"/>
        <v>112677.65</v>
      </c>
      <c r="H148" s="96"/>
    </row>
    <row r="149" spans="1:8" ht="15.75" x14ac:dyDescent="0.3">
      <c r="A149" s="158">
        <v>140</v>
      </c>
      <c r="B149" s="484" t="s">
        <v>1007</v>
      </c>
      <c r="C149" s="160"/>
      <c r="D149" s="486">
        <v>1200</v>
      </c>
      <c r="E149" s="161" t="s">
        <v>221</v>
      </c>
      <c r="F149" s="160" t="s">
        <v>348</v>
      </c>
      <c r="G149" s="27">
        <f t="shared" si="4"/>
        <v>111477.65</v>
      </c>
      <c r="H149" s="96"/>
    </row>
    <row r="150" spans="1:8" ht="15.75" x14ac:dyDescent="0.3">
      <c r="A150" s="158">
        <v>141</v>
      </c>
      <c r="B150" s="484" t="s">
        <v>1008</v>
      </c>
      <c r="C150" s="160"/>
      <c r="D150" s="486">
        <v>4760</v>
      </c>
      <c r="E150" s="161" t="s">
        <v>221</v>
      </c>
      <c r="F150" s="160" t="s">
        <v>348</v>
      </c>
      <c r="G150" s="27">
        <f t="shared" si="4"/>
        <v>106717.65</v>
      </c>
      <c r="H150" s="96"/>
    </row>
    <row r="151" spans="1:8" ht="15.75" x14ac:dyDescent="0.3">
      <c r="A151" s="158">
        <v>142</v>
      </c>
      <c r="B151" s="484" t="s">
        <v>1008</v>
      </c>
      <c r="C151" s="160"/>
      <c r="D151" s="486">
        <v>720</v>
      </c>
      <c r="E151" s="161" t="s">
        <v>221</v>
      </c>
      <c r="F151" s="160" t="s">
        <v>348</v>
      </c>
      <c r="G151" s="27">
        <f t="shared" si="4"/>
        <v>105997.65</v>
      </c>
      <c r="H151" s="96"/>
    </row>
    <row r="152" spans="1:8" ht="15.75" x14ac:dyDescent="0.3">
      <c r="A152" s="158">
        <v>143</v>
      </c>
      <c r="B152" s="484" t="s">
        <v>1008</v>
      </c>
      <c r="C152" s="160"/>
      <c r="D152" s="486">
        <v>4280</v>
      </c>
      <c r="E152" s="161" t="s">
        <v>221</v>
      </c>
      <c r="F152" s="160" t="s">
        <v>348</v>
      </c>
      <c r="G152" s="27">
        <f t="shared" si="4"/>
        <v>101717.65</v>
      </c>
      <c r="H152" s="96"/>
    </row>
    <row r="153" spans="1:8" ht="15.75" x14ac:dyDescent="0.3">
      <c r="A153" s="158">
        <v>144</v>
      </c>
      <c r="B153" s="484" t="s">
        <v>1008</v>
      </c>
      <c r="C153" s="160"/>
      <c r="D153" s="486">
        <v>6960</v>
      </c>
      <c r="E153" s="161" t="s">
        <v>221</v>
      </c>
      <c r="F153" s="160" t="s">
        <v>348</v>
      </c>
      <c r="G153" s="27">
        <f t="shared" si="4"/>
        <v>94757.65</v>
      </c>
      <c r="H153" s="96"/>
    </row>
    <row r="154" spans="1:8" ht="15.75" x14ac:dyDescent="0.3">
      <c r="A154" s="158">
        <v>145</v>
      </c>
      <c r="B154" s="484" t="s">
        <v>1008</v>
      </c>
      <c r="C154" s="160"/>
      <c r="D154" s="486">
        <v>5640</v>
      </c>
      <c r="E154" s="161" t="s">
        <v>221</v>
      </c>
      <c r="F154" s="160" t="s">
        <v>348</v>
      </c>
      <c r="G154" s="27">
        <f t="shared" si="4"/>
        <v>89117.65</v>
      </c>
      <c r="H154" s="96"/>
    </row>
    <row r="155" spans="1:8" ht="15.75" x14ac:dyDescent="0.3">
      <c r="A155" s="158">
        <v>146</v>
      </c>
      <c r="B155" s="484" t="s">
        <v>1008</v>
      </c>
      <c r="C155" s="160"/>
      <c r="D155" s="486">
        <v>6000</v>
      </c>
      <c r="E155" s="161" t="s">
        <v>221</v>
      </c>
      <c r="F155" s="160" t="s">
        <v>348</v>
      </c>
      <c r="G155" s="27">
        <f t="shared" si="4"/>
        <v>83117.649999999994</v>
      </c>
      <c r="H155" s="96"/>
    </row>
    <row r="156" spans="1:8" ht="15.75" x14ac:dyDescent="0.3">
      <c r="A156" s="158">
        <v>147</v>
      </c>
      <c r="B156" s="484" t="s">
        <v>1008</v>
      </c>
      <c r="C156" s="160"/>
      <c r="D156" s="486">
        <v>960</v>
      </c>
      <c r="E156" s="161" t="s">
        <v>221</v>
      </c>
      <c r="F156" s="160" t="s">
        <v>348</v>
      </c>
      <c r="G156" s="27">
        <f t="shared" si="4"/>
        <v>82157.649999999994</v>
      </c>
      <c r="H156" s="96"/>
    </row>
    <row r="157" spans="1:8" ht="15.75" x14ac:dyDescent="0.3">
      <c r="A157" s="158">
        <v>148</v>
      </c>
      <c r="B157" s="484" t="s">
        <v>1008</v>
      </c>
      <c r="C157" s="160"/>
      <c r="D157" s="486">
        <v>7800</v>
      </c>
      <c r="E157" s="161" t="s">
        <v>221</v>
      </c>
      <c r="F157" s="160" t="s">
        <v>348</v>
      </c>
      <c r="G157" s="27">
        <f t="shared" si="4"/>
        <v>74357.649999999994</v>
      </c>
      <c r="H157" s="96"/>
    </row>
    <row r="158" spans="1:8" ht="15.75" x14ac:dyDescent="0.3">
      <c r="A158" s="158">
        <v>149</v>
      </c>
      <c r="B158" s="484" t="s">
        <v>1008</v>
      </c>
      <c r="C158" s="160"/>
      <c r="D158" s="486">
        <v>4880</v>
      </c>
      <c r="E158" s="161" t="s">
        <v>221</v>
      </c>
      <c r="F158" s="160" t="s">
        <v>348</v>
      </c>
      <c r="G158" s="27">
        <f t="shared" si="4"/>
        <v>69477.649999999994</v>
      </c>
      <c r="H158" s="96"/>
    </row>
    <row r="159" spans="1:8" ht="15.75" x14ac:dyDescent="0.3">
      <c r="A159" s="158">
        <v>150</v>
      </c>
      <c r="B159" s="484" t="s">
        <v>1008</v>
      </c>
      <c r="C159" s="160"/>
      <c r="D159" s="486">
        <v>4120</v>
      </c>
      <c r="E159" s="161" t="s">
        <v>221</v>
      </c>
      <c r="F159" s="160" t="s">
        <v>348</v>
      </c>
      <c r="G159" s="27">
        <f t="shared" si="4"/>
        <v>65357.649999999994</v>
      </c>
      <c r="H159" s="96"/>
    </row>
    <row r="160" spans="1:8" ht="15.75" x14ac:dyDescent="0.3">
      <c r="A160" s="158">
        <v>151</v>
      </c>
      <c r="B160" s="484" t="s">
        <v>1008</v>
      </c>
      <c r="C160" s="160"/>
      <c r="D160" s="486">
        <v>4120</v>
      </c>
      <c r="E160" s="161" t="s">
        <v>221</v>
      </c>
      <c r="F160" s="160" t="s">
        <v>348</v>
      </c>
      <c r="G160" s="27">
        <f t="shared" si="4"/>
        <v>61237.649999999994</v>
      </c>
      <c r="H160" s="96"/>
    </row>
    <row r="161" spans="1:8" ht="15.75" x14ac:dyDescent="0.3">
      <c r="A161" s="158">
        <v>152</v>
      </c>
      <c r="B161" s="484" t="s">
        <v>1008</v>
      </c>
      <c r="C161" s="160"/>
      <c r="D161" s="486">
        <v>4360</v>
      </c>
      <c r="E161" s="161" t="s">
        <v>221</v>
      </c>
      <c r="F161" s="160" t="s">
        <v>348</v>
      </c>
      <c r="G161" s="27">
        <f t="shared" si="4"/>
        <v>56877.649999999994</v>
      </c>
      <c r="H161" s="96"/>
    </row>
    <row r="162" spans="1:8" ht="15.75" x14ac:dyDescent="0.3">
      <c r="A162" s="158">
        <v>153</v>
      </c>
      <c r="B162" s="484" t="s">
        <v>1009</v>
      </c>
      <c r="C162" s="160"/>
      <c r="D162" s="486">
        <v>5480</v>
      </c>
      <c r="E162" s="161" t="s">
        <v>221</v>
      </c>
      <c r="F162" s="160" t="s">
        <v>348</v>
      </c>
      <c r="G162" s="27">
        <f t="shared" si="4"/>
        <v>51397.649999999994</v>
      </c>
      <c r="H162" s="96"/>
    </row>
    <row r="163" spans="1:8" ht="15.75" x14ac:dyDescent="0.3">
      <c r="A163" s="158">
        <v>154</v>
      </c>
      <c r="B163" s="484" t="s">
        <v>1009</v>
      </c>
      <c r="C163" s="160"/>
      <c r="D163" s="486">
        <v>8760</v>
      </c>
      <c r="E163" s="161" t="s">
        <v>221</v>
      </c>
      <c r="F163" s="160" t="s">
        <v>348</v>
      </c>
      <c r="G163" s="27">
        <f t="shared" si="4"/>
        <v>42637.649999999994</v>
      </c>
      <c r="H163" s="96"/>
    </row>
    <row r="164" spans="1:8" ht="15.75" x14ac:dyDescent="0.3">
      <c r="A164" s="158">
        <v>155</v>
      </c>
      <c r="B164" s="484" t="s">
        <v>1009</v>
      </c>
      <c r="C164" s="160"/>
      <c r="D164" s="486">
        <v>120</v>
      </c>
      <c r="E164" s="161" t="s">
        <v>221</v>
      </c>
      <c r="F164" s="160" t="s">
        <v>348</v>
      </c>
      <c r="G164" s="27">
        <f t="shared" si="4"/>
        <v>42517.649999999994</v>
      </c>
      <c r="H164" s="96"/>
    </row>
    <row r="165" spans="1:8" ht="15.75" x14ac:dyDescent="0.3">
      <c r="A165" s="158">
        <v>156</v>
      </c>
      <c r="B165" s="484" t="s">
        <v>1009</v>
      </c>
      <c r="C165" s="160"/>
      <c r="D165" s="486">
        <v>8840</v>
      </c>
      <c r="E165" s="161" t="s">
        <v>221</v>
      </c>
      <c r="F165" s="160" t="s">
        <v>348</v>
      </c>
      <c r="G165" s="27">
        <f t="shared" si="4"/>
        <v>33677.649999999994</v>
      </c>
      <c r="H165" s="96"/>
    </row>
    <row r="166" spans="1:8" ht="15.75" x14ac:dyDescent="0.3">
      <c r="A166" s="158">
        <v>157</v>
      </c>
      <c r="B166" s="484" t="s">
        <v>1009</v>
      </c>
      <c r="C166" s="160"/>
      <c r="D166" s="486">
        <v>4120</v>
      </c>
      <c r="E166" s="161" t="s">
        <v>221</v>
      </c>
      <c r="F166" s="160" t="s">
        <v>348</v>
      </c>
      <c r="G166" s="27">
        <f t="shared" si="4"/>
        <v>29557.649999999994</v>
      </c>
      <c r="H166" s="96"/>
    </row>
    <row r="167" spans="1:8" ht="15.75" x14ac:dyDescent="0.3">
      <c r="A167" s="158">
        <v>158</v>
      </c>
      <c r="B167" s="484" t="s">
        <v>1009</v>
      </c>
      <c r="C167" s="160"/>
      <c r="D167" s="486">
        <v>3800</v>
      </c>
      <c r="E167" s="161" t="s">
        <v>221</v>
      </c>
      <c r="F167" s="160" t="s">
        <v>348</v>
      </c>
      <c r="G167" s="27">
        <f t="shared" si="4"/>
        <v>25757.649999999994</v>
      </c>
      <c r="H167" s="96"/>
    </row>
    <row r="168" spans="1:8" ht="15.75" x14ac:dyDescent="0.3">
      <c r="A168" s="158">
        <v>159</v>
      </c>
      <c r="B168" s="484" t="s">
        <v>1010</v>
      </c>
      <c r="C168" s="160">
        <v>20000</v>
      </c>
      <c r="D168" s="486"/>
      <c r="E168" s="161" t="s">
        <v>221</v>
      </c>
      <c r="F168" s="160" t="s">
        <v>976</v>
      </c>
      <c r="G168" s="27">
        <f t="shared" si="4"/>
        <v>45757.649999999994</v>
      </c>
      <c r="H168" s="96"/>
    </row>
    <row r="169" spans="1:8" ht="15.75" x14ac:dyDescent="0.3">
      <c r="A169" s="158">
        <v>160</v>
      </c>
      <c r="B169" s="484" t="s">
        <v>1010</v>
      </c>
      <c r="C169" s="160"/>
      <c r="D169" s="486">
        <v>3560</v>
      </c>
      <c r="E169" s="161" t="s">
        <v>221</v>
      </c>
      <c r="F169" s="160" t="s">
        <v>348</v>
      </c>
      <c r="G169" s="27">
        <f t="shared" si="4"/>
        <v>42197.649999999994</v>
      </c>
      <c r="H169" s="96"/>
    </row>
    <row r="170" spans="1:8" ht="15.75" x14ac:dyDescent="0.3">
      <c r="A170" s="158">
        <v>161</v>
      </c>
      <c r="B170" s="484" t="s">
        <v>1010</v>
      </c>
      <c r="C170" s="160"/>
      <c r="D170" s="486">
        <v>3880</v>
      </c>
      <c r="E170" s="161" t="s">
        <v>221</v>
      </c>
      <c r="F170" s="160" t="s">
        <v>348</v>
      </c>
      <c r="G170" s="27">
        <f t="shared" si="4"/>
        <v>38317.649999999994</v>
      </c>
      <c r="H170" s="96"/>
    </row>
    <row r="171" spans="1:8" ht="15.75" x14ac:dyDescent="0.3">
      <c r="A171" s="158">
        <v>162</v>
      </c>
      <c r="B171" s="484" t="s">
        <v>1010</v>
      </c>
      <c r="C171" s="160"/>
      <c r="D171" s="486">
        <v>2840</v>
      </c>
      <c r="E171" s="161" t="s">
        <v>221</v>
      </c>
      <c r="F171" s="160" t="s">
        <v>348</v>
      </c>
      <c r="G171" s="27">
        <f t="shared" si="4"/>
        <v>35477.649999999994</v>
      </c>
      <c r="H171" s="96"/>
    </row>
    <row r="172" spans="1:8" ht="15.75" x14ac:dyDescent="0.3">
      <c r="A172" s="158">
        <v>163</v>
      </c>
      <c r="B172" s="484" t="s">
        <v>1010</v>
      </c>
      <c r="C172" s="160"/>
      <c r="D172" s="486">
        <v>4120</v>
      </c>
      <c r="E172" s="161" t="s">
        <v>221</v>
      </c>
      <c r="F172" s="160" t="s">
        <v>348</v>
      </c>
      <c r="G172" s="27">
        <f t="shared" si="4"/>
        <v>31357.649999999994</v>
      </c>
      <c r="H172" s="96"/>
    </row>
    <row r="173" spans="1:8" ht="15.75" x14ac:dyDescent="0.3">
      <c r="A173" s="158">
        <v>164</v>
      </c>
      <c r="B173" s="484" t="s">
        <v>1010</v>
      </c>
      <c r="C173" s="160"/>
      <c r="D173" s="486">
        <v>3880</v>
      </c>
      <c r="E173" s="161" t="s">
        <v>221</v>
      </c>
      <c r="F173" s="160" t="s">
        <v>348</v>
      </c>
      <c r="G173" s="27">
        <f t="shared" si="4"/>
        <v>27477.649999999994</v>
      </c>
      <c r="H173" s="96"/>
    </row>
    <row r="174" spans="1:8" ht="15.75" x14ac:dyDescent="0.3">
      <c r="A174" s="158">
        <v>165</v>
      </c>
      <c r="B174" s="484" t="s">
        <v>1010</v>
      </c>
      <c r="C174" s="160"/>
      <c r="D174" s="486">
        <v>1600</v>
      </c>
      <c r="E174" s="161" t="s">
        <v>221</v>
      </c>
      <c r="F174" s="160" t="s">
        <v>348</v>
      </c>
      <c r="G174" s="27">
        <f t="shared" si="4"/>
        <v>25877.649999999994</v>
      </c>
      <c r="H174" s="96"/>
    </row>
    <row r="175" spans="1:8" ht="15.75" x14ac:dyDescent="0.3">
      <c r="A175" s="158">
        <v>166</v>
      </c>
      <c r="B175" s="484" t="s">
        <v>1010</v>
      </c>
      <c r="C175" s="160"/>
      <c r="D175" s="486">
        <v>4160</v>
      </c>
      <c r="E175" s="161" t="s">
        <v>221</v>
      </c>
      <c r="F175" s="160" t="s">
        <v>348</v>
      </c>
      <c r="G175" s="27">
        <f t="shared" si="4"/>
        <v>21717.649999999994</v>
      </c>
      <c r="H175" s="96"/>
    </row>
    <row r="176" spans="1:8" ht="15.75" x14ac:dyDescent="0.3">
      <c r="A176" s="158">
        <v>167</v>
      </c>
      <c r="B176" s="484" t="s">
        <v>1010</v>
      </c>
      <c r="C176" s="160"/>
      <c r="D176" s="486">
        <v>6560</v>
      </c>
      <c r="E176" s="161" t="s">
        <v>221</v>
      </c>
      <c r="F176" s="160" t="s">
        <v>348</v>
      </c>
      <c r="G176" s="27">
        <f t="shared" si="4"/>
        <v>15157.649999999994</v>
      </c>
      <c r="H176" s="96"/>
    </row>
    <row r="177" spans="1:8" ht="15.75" x14ac:dyDescent="0.3">
      <c r="A177" s="158">
        <v>168</v>
      </c>
      <c r="B177" s="484" t="s">
        <v>1010</v>
      </c>
      <c r="C177" s="160"/>
      <c r="D177" s="486">
        <v>3720</v>
      </c>
      <c r="E177" s="161" t="s">
        <v>221</v>
      </c>
      <c r="F177" s="160" t="s">
        <v>348</v>
      </c>
      <c r="G177" s="27">
        <f t="shared" si="4"/>
        <v>11437.649999999994</v>
      </c>
      <c r="H177" s="96"/>
    </row>
    <row r="178" spans="1:8" ht="15.75" x14ac:dyDescent="0.3">
      <c r="A178" s="158">
        <v>169</v>
      </c>
      <c r="B178" s="484" t="s">
        <v>1011</v>
      </c>
      <c r="C178" s="160">
        <v>20000</v>
      </c>
      <c r="D178" s="486"/>
      <c r="E178" s="161" t="s">
        <v>221</v>
      </c>
      <c r="F178" s="160" t="s">
        <v>976</v>
      </c>
      <c r="G178" s="27">
        <f t="shared" si="4"/>
        <v>31437.649999999994</v>
      </c>
      <c r="H178" s="96"/>
    </row>
    <row r="179" spans="1:8" ht="15.75" x14ac:dyDescent="0.3">
      <c r="A179" s="158">
        <v>170</v>
      </c>
      <c r="B179" s="484" t="s">
        <v>1011</v>
      </c>
      <c r="C179" s="160">
        <v>30000</v>
      </c>
      <c r="D179" s="486"/>
      <c r="E179" s="161" t="s">
        <v>221</v>
      </c>
      <c r="F179" s="160" t="s">
        <v>976</v>
      </c>
      <c r="G179" s="27">
        <f t="shared" si="4"/>
        <v>61437.649999999994</v>
      </c>
      <c r="H179" s="96"/>
    </row>
    <row r="180" spans="1:8" ht="15.75" x14ac:dyDescent="0.3">
      <c r="A180" s="158">
        <v>171</v>
      </c>
      <c r="B180" s="484" t="s">
        <v>1011</v>
      </c>
      <c r="C180" s="160"/>
      <c r="D180" s="486">
        <v>10440</v>
      </c>
      <c r="E180" s="161" t="s">
        <v>221</v>
      </c>
      <c r="F180" s="160" t="s">
        <v>348</v>
      </c>
      <c r="G180" s="27">
        <f t="shared" si="4"/>
        <v>50997.649999999994</v>
      </c>
      <c r="H180" s="96"/>
    </row>
    <row r="181" spans="1:8" ht="15.75" x14ac:dyDescent="0.3">
      <c r="A181" s="158">
        <v>172</v>
      </c>
      <c r="B181" s="484" t="s">
        <v>1011</v>
      </c>
      <c r="C181" s="160"/>
      <c r="D181" s="486">
        <v>680</v>
      </c>
      <c r="E181" s="161" t="s">
        <v>221</v>
      </c>
      <c r="F181" s="160" t="s">
        <v>348</v>
      </c>
      <c r="G181" s="27">
        <f t="shared" si="4"/>
        <v>50317.649999999994</v>
      </c>
      <c r="H181" s="96"/>
    </row>
    <row r="182" spans="1:8" ht="15.75" x14ac:dyDescent="0.3">
      <c r="A182" s="158">
        <v>173</v>
      </c>
      <c r="B182" s="484" t="s">
        <v>1011</v>
      </c>
      <c r="C182" s="160"/>
      <c r="D182" s="486">
        <v>1440</v>
      </c>
      <c r="E182" s="161" t="s">
        <v>221</v>
      </c>
      <c r="F182" s="160" t="s">
        <v>348</v>
      </c>
      <c r="G182" s="27">
        <f t="shared" si="4"/>
        <v>48877.649999999994</v>
      </c>
      <c r="H182" s="96"/>
    </row>
    <row r="183" spans="1:8" ht="15.75" x14ac:dyDescent="0.3">
      <c r="A183" s="158">
        <v>174</v>
      </c>
      <c r="B183" s="484" t="s">
        <v>1011</v>
      </c>
      <c r="C183" s="160"/>
      <c r="D183" s="486">
        <v>120</v>
      </c>
      <c r="E183" s="161" t="s">
        <v>221</v>
      </c>
      <c r="F183" s="160" t="s">
        <v>348</v>
      </c>
      <c r="G183" s="27">
        <f t="shared" si="4"/>
        <v>48757.649999999994</v>
      </c>
      <c r="H183" s="96"/>
    </row>
    <row r="184" spans="1:8" ht="15.75" x14ac:dyDescent="0.3">
      <c r="A184" s="158">
        <v>175</v>
      </c>
      <c r="B184" s="484" t="s">
        <v>1011</v>
      </c>
      <c r="C184" s="160"/>
      <c r="D184" s="486">
        <v>1310</v>
      </c>
      <c r="E184" s="161" t="s">
        <v>221</v>
      </c>
      <c r="F184" s="160" t="s">
        <v>348</v>
      </c>
      <c r="G184" s="27">
        <f t="shared" si="4"/>
        <v>47447.649999999994</v>
      </c>
      <c r="H184" s="96"/>
    </row>
    <row r="185" spans="1:8" ht="15.75" x14ac:dyDescent="0.3">
      <c r="A185" s="158">
        <v>176</v>
      </c>
      <c r="B185" s="484" t="s">
        <v>1011</v>
      </c>
      <c r="C185" s="160"/>
      <c r="D185" s="486">
        <v>400</v>
      </c>
      <c r="E185" s="161" t="s">
        <v>221</v>
      </c>
      <c r="F185" s="160" t="s">
        <v>348</v>
      </c>
      <c r="G185" s="27">
        <f t="shared" si="4"/>
        <v>47047.649999999994</v>
      </c>
      <c r="H185" s="96"/>
    </row>
    <row r="186" spans="1:8" ht="15.75" x14ac:dyDescent="0.3">
      <c r="A186" s="158">
        <v>177</v>
      </c>
      <c r="B186" s="484" t="s">
        <v>1012</v>
      </c>
      <c r="C186" s="160"/>
      <c r="D186" s="486">
        <v>1520</v>
      </c>
      <c r="E186" s="161" t="s">
        <v>221</v>
      </c>
      <c r="F186" s="160" t="s">
        <v>348</v>
      </c>
      <c r="G186" s="27">
        <f t="shared" si="4"/>
        <v>45527.649999999994</v>
      </c>
      <c r="H186" s="96"/>
    </row>
    <row r="187" spans="1:8" ht="15.75" x14ac:dyDescent="0.3">
      <c r="A187" s="158">
        <v>178</v>
      </c>
      <c r="B187" s="484" t="s">
        <v>1012</v>
      </c>
      <c r="C187" s="160"/>
      <c r="D187" s="486">
        <v>5440</v>
      </c>
      <c r="E187" s="161" t="s">
        <v>221</v>
      </c>
      <c r="F187" s="160" t="s">
        <v>348</v>
      </c>
      <c r="G187" s="27">
        <f t="shared" si="4"/>
        <v>40087.649999999994</v>
      </c>
      <c r="H187" s="96"/>
    </row>
    <row r="188" spans="1:8" ht="15.75" x14ac:dyDescent="0.3">
      <c r="A188" s="158">
        <v>179</v>
      </c>
      <c r="B188" s="484" t="s">
        <v>1012</v>
      </c>
      <c r="C188" s="160"/>
      <c r="D188" s="486">
        <v>2880</v>
      </c>
      <c r="E188" s="161" t="s">
        <v>221</v>
      </c>
      <c r="F188" s="160" t="s">
        <v>348</v>
      </c>
      <c r="G188" s="27">
        <f t="shared" si="4"/>
        <v>37207.649999999994</v>
      </c>
      <c r="H188" s="96"/>
    </row>
    <row r="189" spans="1:8" ht="15.75" x14ac:dyDescent="0.3">
      <c r="A189" s="158">
        <v>180</v>
      </c>
      <c r="B189" s="484" t="s">
        <v>1012</v>
      </c>
      <c r="C189" s="160"/>
      <c r="D189" s="486">
        <v>640</v>
      </c>
      <c r="E189" s="161" t="s">
        <v>221</v>
      </c>
      <c r="F189" s="160" t="s">
        <v>348</v>
      </c>
      <c r="G189" s="27">
        <f t="shared" si="4"/>
        <v>36567.649999999994</v>
      </c>
      <c r="H189" s="96"/>
    </row>
    <row r="190" spans="1:8" ht="15.75" x14ac:dyDescent="0.3">
      <c r="A190" s="158">
        <v>181</v>
      </c>
      <c r="B190" s="484" t="s">
        <v>1012</v>
      </c>
      <c r="C190" s="160"/>
      <c r="D190" s="486">
        <v>3000</v>
      </c>
      <c r="E190" s="161" t="s">
        <v>221</v>
      </c>
      <c r="F190" s="160" t="s">
        <v>348</v>
      </c>
      <c r="G190" s="27">
        <f t="shared" si="4"/>
        <v>33567.649999999994</v>
      </c>
      <c r="H190" s="96"/>
    </row>
    <row r="191" spans="1:8" ht="15.75" x14ac:dyDescent="0.3">
      <c r="A191" s="158">
        <v>182</v>
      </c>
      <c r="B191" s="484" t="s">
        <v>1012</v>
      </c>
      <c r="C191" s="160"/>
      <c r="D191" s="486">
        <v>6160</v>
      </c>
      <c r="E191" s="161" t="s">
        <v>221</v>
      </c>
      <c r="F191" s="160" t="s">
        <v>348</v>
      </c>
      <c r="G191" s="27">
        <f t="shared" si="4"/>
        <v>27407.649999999994</v>
      </c>
      <c r="H191" s="96"/>
    </row>
    <row r="192" spans="1:8" ht="15.75" x14ac:dyDescent="0.3">
      <c r="A192" s="158">
        <v>183</v>
      </c>
      <c r="B192" s="484" t="s">
        <v>1012</v>
      </c>
      <c r="C192" s="160"/>
      <c r="D192" s="486">
        <v>120</v>
      </c>
      <c r="E192" s="161" t="s">
        <v>221</v>
      </c>
      <c r="F192" s="160" t="s">
        <v>348</v>
      </c>
      <c r="G192" s="27">
        <f t="shared" si="4"/>
        <v>27287.649999999994</v>
      </c>
      <c r="H192" s="96"/>
    </row>
    <row r="193" spans="1:8" ht="15.75" x14ac:dyDescent="0.3">
      <c r="A193" s="158">
        <v>184</v>
      </c>
      <c r="B193" s="484" t="s">
        <v>1012</v>
      </c>
      <c r="C193" s="160"/>
      <c r="D193" s="486">
        <v>1920</v>
      </c>
      <c r="E193" s="161" t="s">
        <v>221</v>
      </c>
      <c r="F193" s="160" t="s">
        <v>348</v>
      </c>
      <c r="G193" s="27">
        <f t="shared" si="4"/>
        <v>25367.649999999994</v>
      </c>
      <c r="H193" s="96"/>
    </row>
    <row r="194" spans="1:8" ht="15.75" x14ac:dyDescent="0.3">
      <c r="A194" s="158">
        <v>185</v>
      </c>
      <c r="B194" s="484" t="s">
        <v>1013</v>
      </c>
      <c r="C194" s="160"/>
      <c r="D194" s="486">
        <v>3000</v>
      </c>
      <c r="E194" s="161" t="s">
        <v>221</v>
      </c>
      <c r="F194" s="160" t="s">
        <v>348</v>
      </c>
      <c r="G194" s="27">
        <f t="shared" si="4"/>
        <v>22367.649999999994</v>
      </c>
      <c r="H194" s="96"/>
    </row>
    <row r="195" spans="1:8" ht="15.75" x14ac:dyDescent="0.3">
      <c r="A195" s="158">
        <v>186</v>
      </c>
      <c r="B195" s="484" t="s">
        <v>1013</v>
      </c>
      <c r="C195" s="160"/>
      <c r="D195" s="486">
        <v>2440</v>
      </c>
      <c r="E195" s="161" t="s">
        <v>221</v>
      </c>
      <c r="F195" s="160" t="s">
        <v>348</v>
      </c>
      <c r="G195" s="27">
        <f t="shared" si="4"/>
        <v>19927.649999999994</v>
      </c>
      <c r="H195" s="96"/>
    </row>
    <row r="196" spans="1:8" ht="15.75" x14ac:dyDescent="0.3">
      <c r="A196" s="158">
        <v>187</v>
      </c>
      <c r="B196" s="484" t="s">
        <v>1013</v>
      </c>
      <c r="C196" s="160"/>
      <c r="D196" s="486">
        <v>1440</v>
      </c>
      <c r="E196" s="161" t="s">
        <v>221</v>
      </c>
      <c r="F196" s="160" t="s">
        <v>348</v>
      </c>
      <c r="G196" s="27">
        <f t="shared" si="4"/>
        <v>18487.649999999994</v>
      </c>
      <c r="H196" s="96"/>
    </row>
    <row r="197" spans="1:8" ht="15.75" x14ac:dyDescent="0.3">
      <c r="A197" s="158">
        <v>188</v>
      </c>
      <c r="B197" s="484" t="s">
        <v>1013</v>
      </c>
      <c r="C197" s="160"/>
      <c r="D197" s="486">
        <v>7880</v>
      </c>
      <c r="E197" s="161" t="s">
        <v>221</v>
      </c>
      <c r="F197" s="160" t="s">
        <v>348</v>
      </c>
      <c r="G197" s="27">
        <f t="shared" si="4"/>
        <v>10607.649999999994</v>
      </c>
      <c r="H197" s="96"/>
    </row>
    <row r="198" spans="1:8" ht="15.75" x14ac:dyDescent="0.3">
      <c r="A198" s="158">
        <v>189</v>
      </c>
      <c r="B198" s="484" t="s">
        <v>1013</v>
      </c>
      <c r="C198" s="160"/>
      <c r="D198" s="486">
        <v>2640</v>
      </c>
      <c r="E198" s="161" t="s">
        <v>221</v>
      </c>
      <c r="F198" s="160" t="s">
        <v>348</v>
      </c>
      <c r="G198" s="27">
        <f t="shared" si="4"/>
        <v>7967.6499999999942</v>
      </c>
      <c r="H198" s="96"/>
    </row>
    <row r="199" spans="1:8" ht="15.75" x14ac:dyDescent="0.3">
      <c r="A199" s="158">
        <v>190</v>
      </c>
      <c r="B199" s="484" t="s">
        <v>1013</v>
      </c>
      <c r="C199" s="160"/>
      <c r="D199" s="486">
        <v>2280</v>
      </c>
      <c r="E199" s="161" t="s">
        <v>221</v>
      </c>
      <c r="F199" s="160" t="s">
        <v>348</v>
      </c>
      <c r="G199" s="27">
        <f t="shared" si="4"/>
        <v>5687.6499999999942</v>
      </c>
      <c r="H199" s="96"/>
    </row>
    <row r="200" spans="1:8" ht="15.75" x14ac:dyDescent="0.3">
      <c r="A200" s="158">
        <v>191</v>
      </c>
      <c r="B200" s="484" t="s">
        <v>1013</v>
      </c>
      <c r="C200" s="160"/>
      <c r="D200" s="486">
        <v>3400</v>
      </c>
      <c r="E200" s="161" t="s">
        <v>221</v>
      </c>
      <c r="F200" s="160" t="s">
        <v>348</v>
      </c>
      <c r="G200" s="27">
        <f t="shared" si="4"/>
        <v>2287.6499999999942</v>
      </c>
      <c r="H200" s="96"/>
    </row>
    <row r="201" spans="1:8" ht="15.75" x14ac:dyDescent="0.3">
      <c r="A201" s="158">
        <v>192</v>
      </c>
      <c r="B201" s="484" t="s">
        <v>1013</v>
      </c>
      <c r="C201" s="160"/>
      <c r="D201" s="486">
        <v>1520</v>
      </c>
      <c r="E201" s="161" t="s">
        <v>221</v>
      </c>
      <c r="F201" s="160" t="s">
        <v>348</v>
      </c>
      <c r="G201" s="27">
        <f t="shared" si="4"/>
        <v>767.64999999999418</v>
      </c>
      <c r="H201" s="96"/>
    </row>
    <row r="202" spans="1:8" ht="15.75" x14ac:dyDescent="0.3">
      <c r="A202" s="158">
        <v>193</v>
      </c>
      <c r="B202" s="484" t="s">
        <v>1014</v>
      </c>
      <c r="C202" s="160">
        <v>20000</v>
      </c>
      <c r="D202" s="486"/>
      <c r="E202" s="161" t="s">
        <v>221</v>
      </c>
      <c r="F202" s="160" t="s">
        <v>976</v>
      </c>
      <c r="G202" s="27">
        <f t="shared" si="4"/>
        <v>20767.649999999994</v>
      </c>
      <c r="H202" s="96"/>
    </row>
    <row r="203" spans="1:8" ht="15.75" x14ac:dyDescent="0.3">
      <c r="A203" s="158">
        <v>194</v>
      </c>
      <c r="B203" s="484" t="s">
        <v>1014</v>
      </c>
      <c r="C203" s="160"/>
      <c r="D203" s="486">
        <v>120</v>
      </c>
      <c r="E203" s="161" t="s">
        <v>221</v>
      </c>
      <c r="F203" s="160" t="s">
        <v>348</v>
      </c>
      <c r="G203" s="27">
        <f t="shared" ref="G203:G266" si="5">IF(ISBLANK(B203),"",G202+C203-D203)</f>
        <v>20647.649999999994</v>
      </c>
      <c r="H203" s="96"/>
    </row>
    <row r="204" spans="1:8" ht="15.75" x14ac:dyDescent="0.3">
      <c r="A204" s="158">
        <v>195</v>
      </c>
      <c r="B204" s="484" t="s">
        <v>1014</v>
      </c>
      <c r="C204" s="160"/>
      <c r="D204" s="486">
        <v>1600</v>
      </c>
      <c r="E204" s="161" t="s">
        <v>221</v>
      </c>
      <c r="F204" s="160" t="s">
        <v>348</v>
      </c>
      <c r="G204" s="27">
        <f t="shared" si="5"/>
        <v>19047.649999999994</v>
      </c>
      <c r="H204" s="96"/>
    </row>
    <row r="205" spans="1:8" ht="15.75" x14ac:dyDescent="0.3">
      <c r="A205" s="158">
        <v>196</v>
      </c>
      <c r="B205" s="484" t="s">
        <v>1014</v>
      </c>
      <c r="C205" s="160">
        <v>180</v>
      </c>
      <c r="D205" s="486"/>
      <c r="E205" s="161" t="s">
        <v>221</v>
      </c>
      <c r="F205" s="160" t="s">
        <v>976</v>
      </c>
      <c r="G205" s="27">
        <f t="shared" si="5"/>
        <v>19227.649999999994</v>
      </c>
      <c r="H205" s="96"/>
    </row>
    <row r="206" spans="1:8" ht="15.75" x14ac:dyDescent="0.3">
      <c r="A206" s="158">
        <v>197</v>
      </c>
      <c r="B206" s="484" t="s">
        <v>1014</v>
      </c>
      <c r="C206" s="160"/>
      <c r="D206" s="486">
        <v>1640</v>
      </c>
      <c r="E206" s="161"/>
      <c r="F206" s="160" t="s">
        <v>348</v>
      </c>
      <c r="G206" s="27">
        <f t="shared" si="5"/>
        <v>17587.649999999994</v>
      </c>
      <c r="H206" s="96"/>
    </row>
    <row r="207" spans="1:8" ht="15.75" x14ac:dyDescent="0.3">
      <c r="A207" s="158">
        <v>198</v>
      </c>
      <c r="B207" s="484" t="s">
        <v>1014</v>
      </c>
      <c r="C207" s="160"/>
      <c r="D207" s="486">
        <v>90</v>
      </c>
      <c r="E207" s="161" t="s">
        <v>221</v>
      </c>
      <c r="F207" s="160" t="s">
        <v>977</v>
      </c>
      <c r="G207" s="27">
        <f t="shared" si="5"/>
        <v>17497.649999999994</v>
      </c>
      <c r="H207" s="96"/>
    </row>
    <row r="208" spans="1:8" ht="15.75" x14ac:dyDescent="0.3">
      <c r="A208" s="158">
        <v>199</v>
      </c>
      <c r="B208" s="484" t="s">
        <v>1014</v>
      </c>
      <c r="C208" s="160"/>
      <c r="D208" s="486">
        <v>90</v>
      </c>
      <c r="E208" s="161" t="s">
        <v>221</v>
      </c>
      <c r="F208" s="160" t="s">
        <v>977</v>
      </c>
      <c r="G208" s="27">
        <f t="shared" si="5"/>
        <v>17407.649999999994</v>
      </c>
      <c r="H208" s="96"/>
    </row>
    <row r="209" spans="1:8" ht="15.75" x14ac:dyDescent="0.3">
      <c r="A209" s="158">
        <v>200</v>
      </c>
      <c r="B209" s="484" t="s">
        <v>1015</v>
      </c>
      <c r="C209" s="160"/>
      <c r="D209" s="486">
        <v>1840</v>
      </c>
      <c r="E209" s="161" t="s">
        <v>221</v>
      </c>
      <c r="F209" s="160" t="s">
        <v>348</v>
      </c>
      <c r="G209" s="27">
        <f t="shared" si="5"/>
        <v>15567.649999999994</v>
      </c>
      <c r="H209" s="96"/>
    </row>
    <row r="210" spans="1:8" ht="15.75" x14ac:dyDescent="0.3">
      <c r="A210" s="158">
        <v>201</v>
      </c>
      <c r="B210" s="484" t="s">
        <v>1015</v>
      </c>
      <c r="C210" s="160"/>
      <c r="D210" s="486">
        <v>3160</v>
      </c>
      <c r="E210" s="161" t="s">
        <v>221</v>
      </c>
      <c r="F210" s="160" t="s">
        <v>348</v>
      </c>
      <c r="G210" s="27">
        <f t="shared" si="5"/>
        <v>12407.649999999994</v>
      </c>
      <c r="H210" s="96"/>
    </row>
    <row r="211" spans="1:8" ht="15.75" x14ac:dyDescent="0.3">
      <c r="A211" s="158">
        <v>202</v>
      </c>
      <c r="B211" s="484" t="s">
        <v>1015</v>
      </c>
      <c r="C211" s="160"/>
      <c r="D211" s="486">
        <v>7820</v>
      </c>
      <c r="E211" s="161" t="s">
        <v>221</v>
      </c>
      <c r="F211" s="160" t="s">
        <v>348</v>
      </c>
      <c r="G211" s="27">
        <f t="shared" si="5"/>
        <v>4587.6499999999942</v>
      </c>
      <c r="H211" s="96"/>
    </row>
    <row r="212" spans="1:8" ht="15.75" x14ac:dyDescent="0.3">
      <c r="A212" s="158">
        <v>203</v>
      </c>
      <c r="B212" s="484" t="s">
        <v>1015</v>
      </c>
      <c r="C212" s="160"/>
      <c r="D212" s="486">
        <v>880</v>
      </c>
      <c r="E212" s="161" t="s">
        <v>221</v>
      </c>
      <c r="F212" s="160" t="s">
        <v>348</v>
      </c>
      <c r="G212" s="27">
        <f t="shared" si="5"/>
        <v>3707.6499999999942</v>
      </c>
      <c r="H212" s="96"/>
    </row>
    <row r="213" spans="1:8" ht="15.75" x14ac:dyDescent="0.3">
      <c r="A213" s="158">
        <v>204</v>
      </c>
      <c r="B213" s="484" t="s">
        <v>1015</v>
      </c>
      <c r="C213" s="160"/>
      <c r="D213" s="486">
        <v>80</v>
      </c>
      <c r="E213" s="161" t="s">
        <v>221</v>
      </c>
      <c r="F213" s="160" t="s">
        <v>348</v>
      </c>
      <c r="G213" s="27">
        <f t="shared" si="5"/>
        <v>3627.6499999999942</v>
      </c>
      <c r="H213" s="96"/>
    </row>
    <row r="214" spans="1:8" ht="15.75" x14ac:dyDescent="0.3">
      <c r="A214" s="158">
        <v>205</v>
      </c>
      <c r="B214" s="484" t="s">
        <v>1015</v>
      </c>
      <c r="C214" s="160"/>
      <c r="D214" s="486">
        <v>80</v>
      </c>
      <c r="E214" s="161" t="s">
        <v>221</v>
      </c>
      <c r="F214" s="160" t="s">
        <v>348</v>
      </c>
      <c r="G214" s="27">
        <f t="shared" si="5"/>
        <v>3547.6499999999942</v>
      </c>
      <c r="H214" s="96"/>
    </row>
    <row r="215" spans="1:8" ht="15.75" x14ac:dyDescent="0.3">
      <c r="A215" s="158">
        <v>206</v>
      </c>
      <c r="B215" s="484" t="s">
        <v>1016</v>
      </c>
      <c r="C215" s="160">
        <v>10000</v>
      </c>
      <c r="D215" s="486"/>
      <c r="E215" s="161" t="s">
        <v>221</v>
      </c>
      <c r="F215" s="160" t="s">
        <v>976</v>
      </c>
      <c r="G215" s="27">
        <f t="shared" si="5"/>
        <v>13547.649999999994</v>
      </c>
      <c r="H215" s="96"/>
    </row>
    <row r="216" spans="1:8" ht="15.75" x14ac:dyDescent="0.3">
      <c r="A216" s="158">
        <v>207</v>
      </c>
      <c r="B216" s="484" t="s">
        <v>1016</v>
      </c>
      <c r="C216" s="160"/>
      <c r="D216" s="486">
        <v>2770</v>
      </c>
      <c r="E216" s="161" t="s">
        <v>221</v>
      </c>
      <c r="F216" s="160" t="s">
        <v>348</v>
      </c>
      <c r="G216" s="27">
        <f t="shared" si="5"/>
        <v>10777.649999999994</v>
      </c>
      <c r="H216" s="96"/>
    </row>
    <row r="217" spans="1:8" ht="15.75" x14ac:dyDescent="0.3">
      <c r="A217" s="158">
        <v>208</v>
      </c>
      <c r="B217" s="484" t="s">
        <v>1016</v>
      </c>
      <c r="C217" s="160"/>
      <c r="D217" s="486">
        <v>3320</v>
      </c>
      <c r="E217" s="161" t="s">
        <v>221</v>
      </c>
      <c r="F217" s="160" t="s">
        <v>348</v>
      </c>
      <c r="G217" s="27">
        <f t="shared" si="5"/>
        <v>7457.6499999999942</v>
      </c>
      <c r="H217" s="96"/>
    </row>
    <row r="218" spans="1:8" ht="15.75" x14ac:dyDescent="0.3">
      <c r="A218" s="158">
        <v>209</v>
      </c>
      <c r="B218" s="484" t="s">
        <v>1016</v>
      </c>
      <c r="C218" s="160"/>
      <c r="D218" s="486">
        <v>3720</v>
      </c>
      <c r="E218" s="161" t="s">
        <v>221</v>
      </c>
      <c r="F218" s="160" t="s">
        <v>348</v>
      </c>
      <c r="G218" s="27">
        <f t="shared" si="5"/>
        <v>3737.6499999999942</v>
      </c>
      <c r="H218" s="96"/>
    </row>
    <row r="219" spans="1:8" ht="15.75" x14ac:dyDescent="0.3">
      <c r="A219" s="158">
        <v>210</v>
      </c>
      <c r="B219" s="484" t="s">
        <v>1016</v>
      </c>
      <c r="C219" s="160"/>
      <c r="D219" s="486">
        <v>3440</v>
      </c>
      <c r="E219" s="161" t="s">
        <v>221</v>
      </c>
      <c r="F219" s="160" t="s">
        <v>348</v>
      </c>
      <c r="G219" s="27">
        <f t="shared" si="5"/>
        <v>297.64999999999418</v>
      </c>
      <c r="H219" s="96"/>
    </row>
    <row r="220" spans="1:8" ht="15.75" x14ac:dyDescent="0.3">
      <c r="A220" s="158">
        <v>211</v>
      </c>
      <c r="B220" s="484" t="s">
        <v>1016</v>
      </c>
      <c r="C220" s="160"/>
      <c r="D220" s="486">
        <v>40</v>
      </c>
      <c r="E220" s="161" t="s">
        <v>221</v>
      </c>
      <c r="F220" s="160" t="s">
        <v>348</v>
      </c>
      <c r="G220" s="27">
        <f t="shared" si="5"/>
        <v>257.64999999999418</v>
      </c>
      <c r="H220" s="96"/>
    </row>
    <row r="221" spans="1:8" ht="15.75" x14ac:dyDescent="0.3">
      <c r="A221" s="158">
        <v>212</v>
      </c>
      <c r="B221" s="484" t="s">
        <v>1016</v>
      </c>
      <c r="C221" s="160"/>
      <c r="D221" s="486">
        <v>240</v>
      </c>
      <c r="E221" s="161" t="s">
        <v>221</v>
      </c>
      <c r="F221" s="160" t="s">
        <v>348</v>
      </c>
      <c r="G221" s="27">
        <f t="shared" si="5"/>
        <v>17.649999999994179</v>
      </c>
      <c r="H221" s="96"/>
    </row>
    <row r="222" spans="1:8" ht="15.75" x14ac:dyDescent="0.3">
      <c r="A222" s="158">
        <v>213</v>
      </c>
      <c r="B222" s="484" t="s">
        <v>1017</v>
      </c>
      <c r="C222" s="160">
        <v>20000</v>
      </c>
      <c r="D222" s="486"/>
      <c r="E222" s="161" t="s">
        <v>221</v>
      </c>
      <c r="F222" s="160" t="s">
        <v>976</v>
      </c>
      <c r="G222" s="27">
        <f t="shared" si="5"/>
        <v>20017.649999999994</v>
      </c>
      <c r="H222" s="96"/>
    </row>
    <row r="223" spans="1:8" ht="15.75" x14ac:dyDescent="0.3">
      <c r="A223" s="158">
        <v>214</v>
      </c>
      <c r="B223" s="484" t="s">
        <v>1017</v>
      </c>
      <c r="C223" s="160"/>
      <c r="D223" s="486">
        <v>920</v>
      </c>
      <c r="E223" s="161" t="s">
        <v>221</v>
      </c>
      <c r="F223" s="160" t="s">
        <v>348</v>
      </c>
      <c r="G223" s="27">
        <f>IF(ISBLANK(B223),"",G222+C223-D223)</f>
        <v>19097.649999999994</v>
      </c>
      <c r="H223" s="96"/>
    </row>
    <row r="224" spans="1:8" ht="15.75" x14ac:dyDescent="0.3">
      <c r="A224" s="158">
        <v>215</v>
      </c>
      <c r="B224" s="484" t="s">
        <v>1017</v>
      </c>
      <c r="C224" s="160"/>
      <c r="D224" s="486">
        <v>2280</v>
      </c>
      <c r="E224" s="161" t="s">
        <v>221</v>
      </c>
      <c r="F224" s="160" t="s">
        <v>348</v>
      </c>
      <c r="G224" s="27">
        <f t="shared" si="5"/>
        <v>16817.649999999994</v>
      </c>
      <c r="H224" s="96"/>
    </row>
    <row r="225" spans="1:8" ht="15.75" x14ac:dyDescent="0.3">
      <c r="A225" s="158">
        <v>216</v>
      </c>
      <c r="B225" s="484" t="s">
        <v>1017</v>
      </c>
      <c r="C225" s="160"/>
      <c r="D225" s="486">
        <v>560</v>
      </c>
      <c r="E225" s="161" t="s">
        <v>221</v>
      </c>
      <c r="F225" s="160" t="s">
        <v>348</v>
      </c>
      <c r="G225" s="27">
        <f t="shared" si="5"/>
        <v>16257.649999999994</v>
      </c>
      <c r="H225" s="96"/>
    </row>
    <row r="226" spans="1:8" ht="15.75" x14ac:dyDescent="0.3">
      <c r="A226" s="158">
        <v>217</v>
      </c>
      <c r="B226" s="484" t="s">
        <v>1018</v>
      </c>
      <c r="C226" s="160"/>
      <c r="D226" s="486">
        <v>1800</v>
      </c>
      <c r="E226" s="161" t="s">
        <v>221</v>
      </c>
      <c r="F226" s="160" t="s">
        <v>348</v>
      </c>
      <c r="G226" s="27">
        <f t="shared" si="5"/>
        <v>14457.649999999994</v>
      </c>
      <c r="H226" s="96"/>
    </row>
    <row r="227" spans="1:8" ht="15.75" x14ac:dyDescent="0.3">
      <c r="A227" s="158">
        <v>218</v>
      </c>
      <c r="B227" s="484" t="s">
        <v>1018</v>
      </c>
      <c r="C227" s="160"/>
      <c r="D227" s="486">
        <v>1960</v>
      </c>
      <c r="E227" s="161" t="s">
        <v>221</v>
      </c>
      <c r="F227" s="160" t="s">
        <v>348</v>
      </c>
      <c r="G227" s="27">
        <f t="shared" si="5"/>
        <v>12497.649999999994</v>
      </c>
      <c r="H227" s="96"/>
    </row>
    <row r="228" spans="1:8" ht="15.75" x14ac:dyDescent="0.3">
      <c r="A228" s="158">
        <v>219</v>
      </c>
      <c r="B228" s="484" t="s">
        <v>1018</v>
      </c>
      <c r="C228" s="160"/>
      <c r="D228" s="486">
        <v>3320</v>
      </c>
      <c r="E228" s="161" t="s">
        <v>221</v>
      </c>
      <c r="F228" s="160" t="s">
        <v>348</v>
      </c>
      <c r="G228" s="27">
        <f t="shared" si="5"/>
        <v>9177.6499999999942</v>
      </c>
      <c r="H228" s="96"/>
    </row>
    <row r="229" spans="1:8" ht="15.75" x14ac:dyDescent="0.3">
      <c r="A229" s="158">
        <v>220</v>
      </c>
      <c r="B229" s="484" t="s">
        <v>1019</v>
      </c>
      <c r="C229" s="160">
        <v>20000</v>
      </c>
      <c r="D229" s="486"/>
      <c r="E229" s="161" t="s">
        <v>221</v>
      </c>
      <c r="F229" s="160" t="s">
        <v>976</v>
      </c>
      <c r="G229" s="27">
        <f t="shared" si="5"/>
        <v>29177.649999999994</v>
      </c>
      <c r="H229" s="96"/>
    </row>
    <row r="230" spans="1:8" ht="15.75" x14ac:dyDescent="0.3">
      <c r="A230" s="158">
        <v>221</v>
      </c>
      <c r="B230" s="484" t="s">
        <v>1019</v>
      </c>
      <c r="C230" s="160"/>
      <c r="D230" s="486">
        <v>3280</v>
      </c>
      <c r="E230" s="161" t="s">
        <v>221</v>
      </c>
      <c r="F230" s="160" t="s">
        <v>348</v>
      </c>
      <c r="G230" s="27">
        <f t="shared" si="5"/>
        <v>25897.649999999994</v>
      </c>
      <c r="H230" s="96"/>
    </row>
    <row r="231" spans="1:8" ht="15.75" x14ac:dyDescent="0.3">
      <c r="A231" s="158">
        <v>222</v>
      </c>
      <c r="B231" s="484" t="s">
        <v>1019</v>
      </c>
      <c r="C231" s="160"/>
      <c r="D231" s="486">
        <v>3120</v>
      </c>
      <c r="E231" s="161" t="s">
        <v>221</v>
      </c>
      <c r="F231" s="160" t="s">
        <v>348</v>
      </c>
      <c r="G231" s="27">
        <f t="shared" si="5"/>
        <v>22777.649999999994</v>
      </c>
      <c r="H231" s="96"/>
    </row>
    <row r="232" spans="1:8" ht="15.75" x14ac:dyDescent="0.3">
      <c r="A232" s="158">
        <v>223</v>
      </c>
      <c r="B232" s="484" t="s">
        <v>1019</v>
      </c>
      <c r="C232" s="160"/>
      <c r="D232" s="486">
        <v>3120</v>
      </c>
      <c r="E232" s="161" t="s">
        <v>221</v>
      </c>
      <c r="F232" s="160" t="s">
        <v>348</v>
      </c>
      <c r="G232" s="27">
        <f t="shared" si="5"/>
        <v>19657.649999999994</v>
      </c>
      <c r="H232" s="96"/>
    </row>
    <row r="233" spans="1:8" ht="15.75" x14ac:dyDescent="0.3">
      <c r="A233" s="158">
        <v>224</v>
      </c>
      <c r="B233" s="484" t="s">
        <v>1019</v>
      </c>
      <c r="C233" s="160"/>
      <c r="D233" s="486">
        <v>3960</v>
      </c>
      <c r="E233" s="161" t="s">
        <v>221</v>
      </c>
      <c r="F233" s="160" t="s">
        <v>348</v>
      </c>
      <c r="G233" s="27">
        <f t="shared" si="5"/>
        <v>15697.649999999994</v>
      </c>
      <c r="H233" s="96"/>
    </row>
    <row r="234" spans="1:8" ht="15.75" x14ac:dyDescent="0.3">
      <c r="A234" s="158">
        <v>225</v>
      </c>
      <c r="B234" s="484" t="s">
        <v>1019</v>
      </c>
      <c r="C234" s="160"/>
      <c r="D234" s="486">
        <v>4120</v>
      </c>
      <c r="E234" s="161" t="s">
        <v>221</v>
      </c>
      <c r="F234" s="160" t="s">
        <v>348</v>
      </c>
      <c r="G234" s="27">
        <f t="shared" si="5"/>
        <v>11577.649999999994</v>
      </c>
      <c r="H234" s="96"/>
    </row>
    <row r="235" spans="1:8" ht="15.75" x14ac:dyDescent="0.3">
      <c r="A235" s="158">
        <v>226</v>
      </c>
      <c r="B235" s="484" t="s">
        <v>1019</v>
      </c>
      <c r="C235" s="160"/>
      <c r="D235" s="486">
        <v>4040</v>
      </c>
      <c r="E235" s="161" t="s">
        <v>221</v>
      </c>
      <c r="F235" s="160" t="s">
        <v>348</v>
      </c>
      <c r="G235" s="27">
        <f t="shared" si="5"/>
        <v>7537.6499999999942</v>
      </c>
      <c r="H235" s="96"/>
    </row>
    <row r="236" spans="1:8" ht="15.75" x14ac:dyDescent="0.3">
      <c r="A236" s="158">
        <v>227</v>
      </c>
      <c r="B236" s="484" t="s">
        <v>1019</v>
      </c>
      <c r="C236" s="160"/>
      <c r="D236" s="486">
        <v>4440</v>
      </c>
      <c r="E236" s="161" t="s">
        <v>221</v>
      </c>
      <c r="F236" s="160" t="s">
        <v>348</v>
      </c>
      <c r="G236" s="27">
        <f t="shared" si="5"/>
        <v>3097.6499999999942</v>
      </c>
      <c r="H236" s="96"/>
    </row>
    <row r="237" spans="1:8" ht="15.75" x14ac:dyDescent="0.3">
      <c r="A237" s="158">
        <v>228</v>
      </c>
      <c r="B237" s="484" t="s">
        <v>1019</v>
      </c>
      <c r="C237" s="160"/>
      <c r="D237" s="486">
        <v>2280</v>
      </c>
      <c r="E237" s="161" t="s">
        <v>221</v>
      </c>
      <c r="F237" s="160" t="s">
        <v>348</v>
      </c>
      <c r="G237" s="27">
        <f t="shared" si="5"/>
        <v>817.64999999999418</v>
      </c>
      <c r="H237" s="96"/>
    </row>
    <row r="238" spans="1:8" ht="15.75" x14ac:dyDescent="0.3">
      <c r="A238" s="158">
        <v>229</v>
      </c>
      <c r="B238" s="484" t="s">
        <v>1020</v>
      </c>
      <c r="C238" s="160">
        <v>360</v>
      </c>
      <c r="D238" s="486"/>
      <c r="E238" s="161" t="s">
        <v>221</v>
      </c>
      <c r="F238" s="160" t="s">
        <v>976</v>
      </c>
      <c r="G238" s="27">
        <f t="shared" si="5"/>
        <v>1177.6499999999942</v>
      </c>
      <c r="H238" s="96"/>
    </row>
    <row r="239" spans="1:8" ht="15.75" x14ac:dyDescent="0.3">
      <c r="A239" s="158">
        <v>230</v>
      </c>
      <c r="B239" s="484" t="s">
        <v>1020</v>
      </c>
      <c r="C239" s="160"/>
      <c r="D239" s="486">
        <v>360</v>
      </c>
      <c r="E239" s="161" t="s">
        <v>221</v>
      </c>
      <c r="F239" s="160" t="s">
        <v>977</v>
      </c>
      <c r="G239" s="27">
        <f t="shared" si="5"/>
        <v>817.64999999999418</v>
      </c>
      <c r="H239" s="96"/>
    </row>
    <row r="240" spans="1:8" ht="15.75" x14ac:dyDescent="0.3">
      <c r="A240" s="158">
        <v>231</v>
      </c>
      <c r="B240" s="484" t="s">
        <v>1020</v>
      </c>
      <c r="C240" s="160"/>
      <c r="D240" s="486">
        <v>80</v>
      </c>
      <c r="E240" s="161" t="s">
        <v>221</v>
      </c>
      <c r="F240" s="160" t="s">
        <v>348</v>
      </c>
      <c r="G240" s="27">
        <f>IF(ISBLANK(B240),"",G239+C240-D240)</f>
        <v>737.64999999999418</v>
      </c>
      <c r="H240" s="96"/>
    </row>
    <row r="241" spans="1:8" ht="15.75" x14ac:dyDescent="0.3">
      <c r="A241" s="158">
        <v>232</v>
      </c>
      <c r="B241" s="484" t="s">
        <v>1021</v>
      </c>
      <c r="C241" s="160">
        <v>1120</v>
      </c>
      <c r="D241" s="486"/>
      <c r="E241" s="161" t="s">
        <v>221</v>
      </c>
      <c r="F241" s="160" t="s">
        <v>348</v>
      </c>
      <c r="G241" s="27">
        <f t="shared" si="5"/>
        <v>1857.6499999999942</v>
      </c>
      <c r="H241" s="96"/>
    </row>
    <row r="242" spans="1:8" ht="15.75" x14ac:dyDescent="0.3">
      <c r="A242" s="158">
        <v>233</v>
      </c>
      <c r="B242" s="484" t="s">
        <v>1022</v>
      </c>
      <c r="C242" s="160"/>
      <c r="D242" s="486">
        <v>1120</v>
      </c>
      <c r="E242" s="161" t="s">
        <v>221</v>
      </c>
      <c r="F242" s="160" t="s">
        <v>348</v>
      </c>
      <c r="G242" s="27">
        <f t="shared" si="5"/>
        <v>737.64999999999418</v>
      </c>
      <c r="H242" s="96"/>
    </row>
    <row r="243" spans="1:8" ht="15.75" x14ac:dyDescent="0.3">
      <c r="A243" s="158">
        <v>234</v>
      </c>
      <c r="B243" s="484" t="s">
        <v>1023</v>
      </c>
      <c r="C243" s="160">
        <v>560</v>
      </c>
      <c r="D243" s="161"/>
      <c r="E243" s="161" t="s">
        <v>221</v>
      </c>
      <c r="F243" s="160" t="s">
        <v>976</v>
      </c>
      <c r="G243" s="27">
        <f t="shared" si="5"/>
        <v>1297.6499999999942</v>
      </c>
      <c r="H243" s="96"/>
    </row>
    <row r="244" spans="1:8" ht="15.75" x14ac:dyDescent="0.3">
      <c r="A244" s="158">
        <v>235</v>
      </c>
      <c r="B244" s="484" t="s">
        <v>1023</v>
      </c>
      <c r="C244" s="160"/>
      <c r="D244" s="161">
        <v>560</v>
      </c>
      <c r="E244" s="161" t="s">
        <v>221</v>
      </c>
      <c r="F244" s="160" t="s">
        <v>348</v>
      </c>
      <c r="G244" s="27">
        <f>IF(ISBLANK(B244),"",G243+C244-D244)</f>
        <v>737.64999999999418</v>
      </c>
      <c r="H244" s="96"/>
    </row>
    <row r="245" spans="1:8" ht="15.75" x14ac:dyDescent="0.3">
      <c r="A245" s="158">
        <v>236</v>
      </c>
      <c r="B245" s="484" t="s">
        <v>1023</v>
      </c>
      <c r="C245" s="160"/>
      <c r="D245" s="161">
        <v>130</v>
      </c>
      <c r="E245" s="161" t="s">
        <v>221</v>
      </c>
      <c r="F245" s="160" t="s">
        <v>975</v>
      </c>
      <c r="G245" s="27">
        <f t="shared" si="5"/>
        <v>607.64999999999418</v>
      </c>
      <c r="H245" s="96"/>
    </row>
    <row r="246" spans="1:8" ht="15.75" x14ac:dyDescent="0.3">
      <c r="A246" s="158">
        <v>237</v>
      </c>
      <c r="B246" s="484" t="s">
        <v>1023</v>
      </c>
      <c r="C246" s="160"/>
      <c r="D246" s="161">
        <v>47</v>
      </c>
      <c r="E246" s="161" t="s">
        <v>221</v>
      </c>
      <c r="F246" s="160" t="s">
        <v>975</v>
      </c>
      <c r="G246" s="27">
        <f t="shared" si="5"/>
        <v>560.64999999999418</v>
      </c>
      <c r="H246" s="96"/>
    </row>
    <row r="247" spans="1:8" ht="15.75" x14ac:dyDescent="0.3">
      <c r="A247" s="158">
        <v>238</v>
      </c>
      <c r="B247" s="484" t="s">
        <v>1024</v>
      </c>
      <c r="C247" s="160">
        <v>1045</v>
      </c>
      <c r="D247" s="161"/>
      <c r="E247" s="161" t="s">
        <v>221</v>
      </c>
      <c r="F247" s="160" t="s">
        <v>976</v>
      </c>
      <c r="G247" s="27">
        <f t="shared" si="5"/>
        <v>1605.6499999999942</v>
      </c>
      <c r="H247" s="96"/>
    </row>
    <row r="248" spans="1:8" ht="30" x14ac:dyDescent="0.3">
      <c r="A248" s="158">
        <v>239</v>
      </c>
      <c r="B248" s="484" t="s">
        <v>1024</v>
      </c>
      <c r="C248" s="160"/>
      <c r="D248" s="161">
        <v>620</v>
      </c>
      <c r="E248" s="161" t="s">
        <v>221</v>
      </c>
      <c r="F248" s="161" t="s">
        <v>1318</v>
      </c>
      <c r="G248" s="27">
        <f t="shared" si="5"/>
        <v>985.64999999999418</v>
      </c>
      <c r="H248" s="96"/>
    </row>
    <row r="249" spans="1:8" ht="15.75" x14ac:dyDescent="0.3">
      <c r="A249" s="158">
        <v>240</v>
      </c>
      <c r="B249" s="484" t="s">
        <v>1024</v>
      </c>
      <c r="C249" s="160"/>
      <c r="D249" s="161">
        <v>45</v>
      </c>
      <c r="E249" s="161" t="s">
        <v>221</v>
      </c>
      <c r="F249" s="160" t="s">
        <v>977</v>
      </c>
      <c r="G249" s="27">
        <f t="shared" si="5"/>
        <v>940.64999999999418</v>
      </c>
      <c r="H249" s="96"/>
    </row>
    <row r="250" spans="1:8" ht="15.75" x14ac:dyDescent="0.3">
      <c r="A250" s="158">
        <v>241</v>
      </c>
      <c r="B250" s="484" t="s">
        <v>1025</v>
      </c>
      <c r="C250" s="160">
        <v>1680</v>
      </c>
      <c r="D250" s="161"/>
      <c r="E250" s="161" t="s">
        <v>221</v>
      </c>
      <c r="F250" s="160" t="s">
        <v>976</v>
      </c>
      <c r="G250" s="27">
        <f t="shared" si="5"/>
        <v>2620.6499999999942</v>
      </c>
      <c r="H250" s="96"/>
    </row>
    <row r="251" spans="1:8" ht="15.75" x14ac:dyDescent="0.3">
      <c r="A251" s="158">
        <v>242</v>
      </c>
      <c r="B251" s="484" t="s">
        <v>1025</v>
      </c>
      <c r="C251" s="160"/>
      <c r="D251" s="161">
        <v>1120</v>
      </c>
      <c r="E251" s="161" t="s">
        <v>221</v>
      </c>
      <c r="F251" s="160" t="s">
        <v>348</v>
      </c>
      <c r="G251" s="27">
        <f t="shared" si="5"/>
        <v>1500.6499999999942</v>
      </c>
      <c r="H251" s="96"/>
    </row>
    <row r="252" spans="1:8" ht="15.75" x14ac:dyDescent="0.3">
      <c r="A252" s="158">
        <v>243</v>
      </c>
      <c r="B252" s="484" t="s">
        <v>1025</v>
      </c>
      <c r="C252" s="160"/>
      <c r="D252" s="161">
        <v>560</v>
      </c>
      <c r="E252" s="161" t="s">
        <v>221</v>
      </c>
      <c r="F252" s="160" t="s">
        <v>348</v>
      </c>
      <c r="G252" s="27">
        <f t="shared" si="5"/>
        <v>940.64999999999418</v>
      </c>
      <c r="H252" s="96"/>
    </row>
    <row r="253" spans="1:8" ht="15.75" x14ac:dyDescent="0.3">
      <c r="A253" s="158">
        <v>244</v>
      </c>
      <c r="B253" s="484" t="s">
        <v>1026</v>
      </c>
      <c r="C253" s="160">
        <v>2100</v>
      </c>
      <c r="D253" s="161"/>
      <c r="E253" s="161" t="s">
        <v>221</v>
      </c>
      <c r="F253" s="160" t="s">
        <v>976</v>
      </c>
      <c r="G253" s="27">
        <f t="shared" si="5"/>
        <v>3040.6499999999942</v>
      </c>
      <c r="H253" s="96"/>
    </row>
    <row r="254" spans="1:8" ht="15.75" x14ac:dyDescent="0.3">
      <c r="A254" s="158">
        <v>245</v>
      </c>
      <c r="B254" s="484" t="s">
        <v>1026</v>
      </c>
      <c r="C254" s="160"/>
      <c r="D254" s="161">
        <v>2100</v>
      </c>
      <c r="E254" s="161" t="s">
        <v>221</v>
      </c>
      <c r="F254" s="160" t="s">
        <v>977</v>
      </c>
      <c r="G254" s="27">
        <f t="shared" si="5"/>
        <v>940.64999999999418</v>
      </c>
      <c r="H254" s="96"/>
    </row>
    <row r="255" spans="1:8" ht="15.75" x14ac:dyDescent="0.3">
      <c r="A255" s="158">
        <v>246</v>
      </c>
      <c r="B255" s="484" t="s">
        <v>1027</v>
      </c>
      <c r="C255" s="160">
        <v>3000</v>
      </c>
      <c r="D255" s="161"/>
      <c r="E255" s="161" t="s">
        <v>221</v>
      </c>
      <c r="F255" s="160" t="s">
        <v>976</v>
      </c>
      <c r="G255" s="27">
        <f t="shared" si="5"/>
        <v>3940.6499999999942</v>
      </c>
      <c r="H255" s="96"/>
    </row>
    <row r="256" spans="1:8" ht="15.75" x14ac:dyDescent="0.3">
      <c r="A256" s="158">
        <v>247</v>
      </c>
      <c r="B256" s="484" t="s">
        <v>1025</v>
      </c>
      <c r="C256" s="160"/>
      <c r="D256" s="161">
        <v>500</v>
      </c>
      <c r="E256" s="161" t="s">
        <v>221</v>
      </c>
      <c r="F256" s="160" t="s">
        <v>348</v>
      </c>
      <c r="G256" s="27">
        <f t="shared" si="5"/>
        <v>3440.6499999999942</v>
      </c>
      <c r="H256" s="96"/>
    </row>
    <row r="257" spans="1:8" ht="15.75" x14ac:dyDescent="0.3">
      <c r="A257" s="158">
        <v>248</v>
      </c>
      <c r="B257" s="484" t="s">
        <v>1027</v>
      </c>
      <c r="C257" s="160"/>
      <c r="D257" s="161">
        <v>500</v>
      </c>
      <c r="E257" s="161" t="s">
        <v>221</v>
      </c>
      <c r="F257" s="160" t="s">
        <v>348</v>
      </c>
      <c r="G257" s="27">
        <f t="shared" si="5"/>
        <v>2940.6499999999942</v>
      </c>
      <c r="H257" s="96"/>
    </row>
    <row r="258" spans="1:8" ht="15.75" x14ac:dyDescent="0.3">
      <c r="A258" s="158">
        <v>249</v>
      </c>
      <c r="B258" s="484" t="s">
        <v>1027</v>
      </c>
      <c r="C258" s="160"/>
      <c r="D258" s="161">
        <v>500</v>
      </c>
      <c r="E258" s="161" t="s">
        <v>221</v>
      </c>
      <c r="F258" s="160" t="s">
        <v>348</v>
      </c>
      <c r="G258" s="27">
        <f t="shared" si="5"/>
        <v>2440.6499999999942</v>
      </c>
      <c r="H258" s="96"/>
    </row>
    <row r="259" spans="1:8" ht="15.75" x14ac:dyDescent="0.3">
      <c r="A259" s="158">
        <v>250</v>
      </c>
      <c r="B259" s="484" t="s">
        <v>1027</v>
      </c>
      <c r="C259" s="160"/>
      <c r="D259" s="161">
        <v>500</v>
      </c>
      <c r="E259" s="161" t="s">
        <v>221</v>
      </c>
      <c r="F259" s="160" t="s">
        <v>348</v>
      </c>
      <c r="G259" s="27">
        <f t="shared" si="5"/>
        <v>1940.6499999999942</v>
      </c>
      <c r="H259" s="96"/>
    </row>
    <row r="260" spans="1:8" ht="15.75" x14ac:dyDescent="0.3">
      <c r="A260" s="158">
        <v>251</v>
      </c>
      <c r="B260" s="484" t="s">
        <v>1027</v>
      </c>
      <c r="C260" s="160"/>
      <c r="D260" s="161">
        <v>500</v>
      </c>
      <c r="E260" s="161" t="s">
        <v>221</v>
      </c>
      <c r="F260" s="160" t="s">
        <v>348</v>
      </c>
      <c r="G260" s="27">
        <f t="shared" si="5"/>
        <v>1440.6499999999942</v>
      </c>
      <c r="H260" s="96"/>
    </row>
    <row r="261" spans="1:8" ht="15.75" x14ac:dyDescent="0.3">
      <c r="A261" s="158">
        <v>252</v>
      </c>
      <c r="B261" s="484" t="s">
        <v>1027</v>
      </c>
      <c r="C261" s="160"/>
      <c r="D261" s="161">
        <v>500</v>
      </c>
      <c r="E261" s="161" t="s">
        <v>221</v>
      </c>
      <c r="F261" s="161"/>
      <c r="G261" s="27">
        <f t="shared" si="5"/>
        <v>940.64999999999418</v>
      </c>
      <c r="H261" s="96"/>
    </row>
    <row r="262" spans="1:8" ht="15.75" x14ac:dyDescent="0.3">
      <c r="A262" s="158">
        <v>253</v>
      </c>
      <c r="B262" s="484" t="s">
        <v>1028</v>
      </c>
      <c r="C262" s="160">
        <v>2685</v>
      </c>
      <c r="D262" s="161"/>
      <c r="E262" s="161" t="s">
        <v>221</v>
      </c>
      <c r="F262" s="160" t="s">
        <v>976</v>
      </c>
      <c r="G262" s="27">
        <f t="shared" si="5"/>
        <v>3625.6499999999942</v>
      </c>
      <c r="H262" s="96"/>
    </row>
    <row r="263" spans="1:8" ht="15.75" x14ac:dyDescent="0.3">
      <c r="A263" s="158">
        <v>254</v>
      </c>
      <c r="B263" s="484" t="s">
        <v>1028</v>
      </c>
      <c r="C263" s="160"/>
      <c r="D263" s="161">
        <v>1050</v>
      </c>
      <c r="E263" s="161" t="s">
        <v>221</v>
      </c>
      <c r="F263" s="160" t="s">
        <v>977</v>
      </c>
      <c r="G263" s="27">
        <f t="shared" si="5"/>
        <v>2575.6499999999942</v>
      </c>
      <c r="H263" s="96"/>
    </row>
    <row r="264" spans="1:8" ht="15.75" x14ac:dyDescent="0.3">
      <c r="A264" s="158">
        <v>255</v>
      </c>
      <c r="B264" s="484" t="s">
        <v>1028</v>
      </c>
      <c r="C264" s="160"/>
      <c r="D264" s="161">
        <v>135</v>
      </c>
      <c r="E264" s="161" t="s">
        <v>221</v>
      </c>
      <c r="F264" s="160" t="s">
        <v>977</v>
      </c>
      <c r="G264" s="27">
        <f t="shared" si="5"/>
        <v>2440.6499999999942</v>
      </c>
      <c r="H264" s="96"/>
    </row>
    <row r="265" spans="1:8" ht="15.75" x14ac:dyDescent="0.3">
      <c r="A265" s="158">
        <v>256</v>
      </c>
      <c r="B265" s="484" t="s">
        <v>1029</v>
      </c>
      <c r="C265" s="160"/>
      <c r="D265" s="161">
        <v>500</v>
      </c>
      <c r="E265" s="161" t="s">
        <v>221</v>
      </c>
      <c r="F265" s="160" t="s">
        <v>348</v>
      </c>
      <c r="G265" s="27">
        <f t="shared" si="5"/>
        <v>1940.6499999999942</v>
      </c>
      <c r="H265" s="96"/>
    </row>
    <row r="266" spans="1:8" ht="15.75" x14ac:dyDescent="0.3">
      <c r="A266" s="158">
        <v>257</v>
      </c>
      <c r="B266" s="484" t="s">
        <v>1029</v>
      </c>
      <c r="C266" s="160"/>
      <c r="D266" s="161">
        <v>500</v>
      </c>
      <c r="E266" s="161" t="s">
        <v>221</v>
      </c>
      <c r="F266" s="160" t="s">
        <v>348</v>
      </c>
      <c r="G266" s="27">
        <f t="shared" si="5"/>
        <v>1440.6499999999942</v>
      </c>
      <c r="H266" s="96"/>
    </row>
    <row r="267" spans="1:8" ht="15.75" x14ac:dyDescent="0.3">
      <c r="A267" s="158">
        <v>258</v>
      </c>
      <c r="B267" s="484" t="s">
        <v>1029</v>
      </c>
      <c r="C267" s="160"/>
      <c r="D267" s="161">
        <v>500</v>
      </c>
      <c r="E267" s="161" t="s">
        <v>221</v>
      </c>
      <c r="F267" s="160" t="s">
        <v>348</v>
      </c>
      <c r="G267" s="27">
        <f t="shared" ref="G267:G274" si="6">IF(ISBLANK(B267),"",G266+C267-D267)</f>
        <v>940.64999999999418</v>
      </c>
      <c r="H267" s="96"/>
    </row>
    <row r="268" spans="1:8" ht="15.75" x14ac:dyDescent="0.3">
      <c r="A268" s="158">
        <v>259</v>
      </c>
      <c r="B268" s="484" t="s">
        <v>1030</v>
      </c>
      <c r="C268" s="160">
        <v>1680</v>
      </c>
      <c r="D268" s="161"/>
      <c r="E268" s="161" t="s">
        <v>221</v>
      </c>
      <c r="F268" s="160" t="s">
        <v>976</v>
      </c>
      <c r="G268" s="27">
        <f t="shared" si="6"/>
        <v>2620.6499999999942</v>
      </c>
      <c r="H268" s="96"/>
    </row>
    <row r="269" spans="1:8" ht="15.75" x14ac:dyDescent="0.3">
      <c r="A269" s="158">
        <v>260</v>
      </c>
      <c r="B269" s="484" t="s">
        <v>1031</v>
      </c>
      <c r="C269" s="160"/>
      <c r="D269" s="161">
        <v>1680</v>
      </c>
      <c r="E269" s="161" t="s">
        <v>221</v>
      </c>
      <c r="F269" s="160" t="s">
        <v>977</v>
      </c>
      <c r="G269" s="27">
        <f t="shared" si="6"/>
        <v>940.64999999999418</v>
      </c>
      <c r="H269" s="96"/>
    </row>
    <row r="270" spans="1:8" ht="15.75" x14ac:dyDescent="0.3">
      <c r="A270" s="158">
        <v>261</v>
      </c>
      <c r="B270" s="484" t="s">
        <v>1032</v>
      </c>
      <c r="C270" s="160">
        <v>2000</v>
      </c>
      <c r="D270" s="161"/>
      <c r="E270" s="161" t="s">
        <v>221</v>
      </c>
      <c r="F270" s="160" t="s">
        <v>976</v>
      </c>
      <c r="G270" s="27">
        <f t="shared" si="6"/>
        <v>2940.6499999999942</v>
      </c>
      <c r="H270" s="96"/>
    </row>
    <row r="271" spans="1:8" ht="15.75" x14ac:dyDescent="0.3">
      <c r="A271" s="158">
        <v>262</v>
      </c>
      <c r="B271" s="484" t="s">
        <v>1032</v>
      </c>
      <c r="C271" s="160"/>
      <c r="D271" s="161">
        <v>500</v>
      </c>
      <c r="E271" s="161" t="s">
        <v>221</v>
      </c>
      <c r="F271" s="160" t="s">
        <v>348</v>
      </c>
      <c r="G271" s="27">
        <f t="shared" si="6"/>
        <v>2440.6499999999942</v>
      </c>
      <c r="H271" s="96"/>
    </row>
    <row r="272" spans="1:8" ht="15.75" x14ac:dyDescent="0.3">
      <c r="A272" s="158">
        <v>263</v>
      </c>
      <c r="B272" s="484" t="s">
        <v>1032</v>
      </c>
      <c r="C272" s="160"/>
      <c r="D272" s="161">
        <v>500</v>
      </c>
      <c r="E272" s="161" t="s">
        <v>221</v>
      </c>
      <c r="F272" s="160" t="s">
        <v>348</v>
      </c>
      <c r="G272" s="27">
        <f t="shared" si="6"/>
        <v>1940.6499999999942</v>
      </c>
      <c r="H272" s="96"/>
    </row>
    <row r="273" spans="1:10" ht="15.75" x14ac:dyDescent="0.3">
      <c r="A273" s="158">
        <v>264</v>
      </c>
      <c r="B273" s="484" t="s">
        <v>1032</v>
      </c>
      <c r="C273" s="160"/>
      <c r="D273" s="161">
        <v>500</v>
      </c>
      <c r="E273" s="161" t="s">
        <v>221</v>
      </c>
      <c r="F273" s="160" t="s">
        <v>348</v>
      </c>
      <c r="G273" s="27">
        <f t="shared" si="6"/>
        <v>1440.6499999999942</v>
      </c>
      <c r="H273" s="96"/>
    </row>
    <row r="274" spans="1:10" ht="15.75" x14ac:dyDescent="0.3">
      <c r="A274" s="158">
        <v>265</v>
      </c>
      <c r="B274" s="484" t="s">
        <v>1032</v>
      </c>
      <c r="C274" s="160"/>
      <c r="D274" s="161">
        <v>500</v>
      </c>
      <c r="E274" s="161" t="s">
        <v>221</v>
      </c>
      <c r="F274" s="160" t="s">
        <v>348</v>
      </c>
      <c r="G274" s="27">
        <f t="shared" si="6"/>
        <v>940.64999999999418</v>
      </c>
      <c r="H274" s="96"/>
    </row>
    <row r="275" spans="1:10" ht="15.75" x14ac:dyDescent="0.3">
      <c r="A275" s="158" t="s">
        <v>278</v>
      </c>
      <c r="B275" s="145"/>
      <c r="C275" s="162"/>
      <c r="D275" s="163"/>
      <c r="E275" s="163"/>
      <c r="F275" s="163"/>
      <c r="G275" s="27" t="str">
        <f>IF(ISBLANK(B275),"",#REF!+C275-D275)</f>
        <v/>
      </c>
      <c r="H275" s="96"/>
    </row>
    <row r="276" spans="1:10" x14ac:dyDescent="0.3">
      <c r="A276" s="164" t="s">
        <v>316</v>
      </c>
      <c r="B276" s="165"/>
      <c r="C276" s="166"/>
      <c r="D276" s="167"/>
      <c r="E276" s="167"/>
      <c r="F276" s="168"/>
      <c r="G276" s="169">
        <f>G274</f>
        <v>940.64999999999418</v>
      </c>
      <c r="H276" s="96"/>
    </row>
    <row r="280" spans="1:10" x14ac:dyDescent="0.3">
      <c r="B280" s="172" t="s">
        <v>107</v>
      </c>
      <c r="F280" s="173"/>
    </row>
    <row r="281" spans="1:10" x14ac:dyDescent="0.3">
      <c r="F281" s="171"/>
      <c r="G281" s="171"/>
      <c r="H281" s="171"/>
      <c r="I281" s="171"/>
      <c r="J281" s="171"/>
    </row>
    <row r="282" spans="1:10" x14ac:dyDescent="0.3">
      <c r="C282" s="174"/>
      <c r="F282" s="174"/>
      <c r="G282" s="175"/>
      <c r="H282" s="171"/>
      <c r="I282" s="171"/>
      <c r="J282" s="171"/>
    </row>
    <row r="283" spans="1:10" x14ac:dyDescent="0.3">
      <c r="A283" s="171"/>
      <c r="C283" s="176" t="s">
        <v>268</v>
      </c>
      <c r="F283" s="177" t="s">
        <v>273</v>
      </c>
      <c r="G283" s="175"/>
      <c r="H283" s="171"/>
      <c r="I283" s="171"/>
      <c r="J283" s="171"/>
    </row>
    <row r="284" spans="1:10" x14ac:dyDescent="0.3">
      <c r="A284" s="171"/>
      <c r="C284" s="178" t="s">
        <v>139</v>
      </c>
      <c r="F284" s="170" t="s">
        <v>269</v>
      </c>
      <c r="G284" s="171"/>
      <c r="H284" s="171"/>
      <c r="I284" s="171"/>
      <c r="J284" s="171"/>
    </row>
    <row r="285" spans="1:10" s="171" customFormat="1" x14ac:dyDescent="0.3">
      <c r="B285" s="170"/>
    </row>
    <row r="286" spans="1:10" s="171" customFormat="1" ht="12.75" x14ac:dyDescent="0.2"/>
    <row r="287" spans="1:10" s="171" customFormat="1" ht="12.75" x14ac:dyDescent="0.2"/>
    <row r="288" spans="1:10" s="171" customFormat="1" ht="12.75" x14ac:dyDescent="0.2"/>
    <row r="289" s="171" customFormat="1" ht="12.75" x14ac:dyDescent="0.2"/>
  </sheetData>
  <mergeCells count="1">
    <mergeCell ref="G2:I2"/>
  </mergeCells>
  <dataValidations count="1">
    <dataValidation allowBlank="1" showInputMessage="1" showErrorMessage="1" prompt="თვე/დღე/წელი" sqref="B10:B275"/>
  </dataValidations>
  <printOptions gridLines="1"/>
  <pageMargins left="0.7" right="0.7" top="0.5" bottom="0.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0"/>
  <sheetViews>
    <sheetView showGridLines="0" view="pageBreakPreview" topLeftCell="A19" zoomScale="80" zoomScaleNormal="100" zoomScaleSheetLayoutView="80" workbookViewId="0">
      <selection activeCell="Q51" sqref="Q5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5" t="s">
        <v>304</v>
      </c>
      <c r="B1" s="126"/>
      <c r="C1" s="126"/>
      <c r="D1" s="126"/>
      <c r="E1" s="126"/>
      <c r="F1" s="69"/>
      <c r="G1" s="69"/>
      <c r="H1" s="69"/>
      <c r="I1" s="650" t="s">
        <v>109</v>
      </c>
      <c r="J1" s="650"/>
      <c r="K1" s="132"/>
    </row>
    <row r="2" spans="1:12" s="22" customFormat="1" ht="15" x14ac:dyDescent="0.3">
      <c r="A2" s="96" t="s">
        <v>140</v>
      </c>
      <c r="B2" s="126"/>
      <c r="C2" s="126"/>
      <c r="D2" s="126"/>
      <c r="E2" s="126"/>
      <c r="F2" s="127"/>
      <c r="G2" s="128"/>
      <c r="H2" s="128"/>
      <c r="I2" s="628" t="s">
        <v>645</v>
      </c>
      <c r="J2" s="639"/>
      <c r="K2" s="639"/>
    </row>
    <row r="3" spans="1:12" s="22" customFormat="1" ht="15" x14ac:dyDescent="0.2">
      <c r="A3" s="126"/>
      <c r="B3" s="126"/>
      <c r="C3" s="126"/>
      <c r="D3" s="126"/>
      <c r="E3" s="126"/>
      <c r="F3" s="127"/>
      <c r="G3" s="128"/>
      <c r="H3" s="128"/>
      <c r="I3" s="129"/>
      <c r="J3" s="66"/>
      <c r="K3" s="132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8"/>
      <c r="G4" s="68"/>
      <c r="H4" s="68"/>
      <c r="I4" s="114"/>
      <c r="J4" s="67"/>
      <c r="K4" s="96"/>
      <c r="L4" s="22"/>
    </row>
    <row r="5" spans="1:12" s="2" customFormat="1" ht="15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109"/>
      <c r="C5" s="109"/>
      <c r="D5" s="109"/>
      <c r="E5" s="109"/>
      <c r="F5" s="49"/>
      <c r="G5" s="49"/>
      <c r="H5" s="49"/>
      <c r="I5" s="120"/>
      <c r="J5" s="49"/>
      <c r="K5" s="96"/>
    </row>
    <row r="6" spans="1:12" s="22" customFormat="1" ht="13.5" x14ac:dyDescent="0.2">
      <c r="A6" s="130"/>
      <c r="B6" s="131"/>
      <c r="C6" s="131"/>
      <c r="D6" s="126"/>
      <c r="E6" s="126"/>
      <c r="F6" s="126"/>
      <c r="G6" s="126"/>
      <c r="H6" s="126"/>
      <c r="I6" s="126"/>
      <c r="J6" s="126"/>
      <c r="K6" s="132"/>
    </row>
    <row r="7" spans="1:12" ht="45" x14ac:dyDescent="0.2">
      <c r="A7" s="121"/>
      <c r="B7" s="652" t="s">
        <v>220</v>
      </c>
      <c r="C7" s="652"/>
      <c r="D7" s="652" t="s">
        <v>292</v>
      </c>
      <c r="E7" s="652"/>
      <c r="F7" s="652" t="s">
        <v>293</v>
      </c>
      <c r="G7" s="652"/>
      <c r="H7" s="144" t="s">
        <v>279</v>
      </c>
      <c r="I7" s="652" t="s">
        <v>223</v>
      </c>
      <c r="J7" s="652"/>
      <c r="K7" s="133"/>
    </row>
    <row r="8" spans="1:12" ht="15" x14ac:dyDescent="0.2">
      <c r="A8" s="122" t="s">
        <v>115</v>
      </c>
      <c r="B8" s="123" t="s">
        <v>222</v>
      </c>
      <c r="C8" s="124" t="s">
        <v>221</v>
      </c>
      <c r="D8" s="123" t="s">
        <v>222</v>
      </c>
      <c r="E8" s="124" t="s">
        <v>221</v>
      </c>
      <c r="F8" s="123" t="s">
        <v>222</v>
      </c>
      <c r="G8" s="124" t="s">
        <v>221</v>
      </c>
      <c r="H8" s="124" t="s">
        <v>221</v>
      </c>
      <c r="I8" s="123" t="s">
        <v>222</v>
      </c>
      <c r="J8" s="124" t="s">
        <v>221</v>
      </c>
      <c r="K8" s="133"/>
    </row>
    <row r="9" spans="1:12" ht="15" x14ac:dyDescent="0.2">
      <c r="A9" s="50" t="s">
        <v>116</v>
      </c>
      <c r="B9" s="73">
        <f>SUM(B10,B14,B17)</f>
        <v>9</v>
      </c>
      <c r="C9" s="73">
        <f>SUM(C10,C14,C17)</f>
        <v>3981.25</v>
      </c>
      <c r="D9" s="73">
        <f t="shared" ref="D9:J9" si="0">SUM(D10,D14,D17)</f>
        <v>2</v>
      </c>
      <c r="E9" s="73">
        <f>SUM(E10,E14,E17)</f>
        <v>853</v>
      </c>
      <c r="F9" s="73">
        <f t="shared" si="0"/>
        <v>0</v>
      </c>
      <c r="G9" s="73">
        <f>SUM(G10,G14,G17)</f>
        <v>0</v>
      </c>
      <c r="H9" s="73">
        <f>SUM(H10,H14,H17)</f>
        <v>944.12</v>
      </c>
      <c r="I9" s="73">
        <f>SUM(I10,I14,I17)</f>
        <v>11</v>
      </c>
      <c r="J9" s="73">
        <f t="shared" si="0"/>
        <v>3890.13</v>
      </c>
      <c r="K9" s="133"/>
    </row>
    <row r="10" spans="1:12" ht="15" x14ac:dyDescent="0.2">
      <c r="A10" s="51" t="s">
        <v>117</v>
      </c>
      <c r="B10" s="121">
        <f>SUM(B11:B13)</f>
        <v>0</v>
      </c>
      <c r="C10" s="121">
        <f>SUM(C11:C13)</f>
        <v>0</v>
      </c>
      <c r="D10" s="121">
        <f t="shared" ref="D10:J10" si="1">SUM(D11:D13)</f>
        <v>0</v>
      </c>
      <c r="E10" s="121">
        <f>SUM(E11:E13)</f>
        <v>0</v>
      </c>
      <c r="F10" s="121">
        <f t="shared" si="1"/>
        <v>0</v>
      </c>
      <c r="G10" s="121">
        <f>SUM(G11:G13)</f>
        <v>0</v>
      </c>
      <c r="H10" s="121">
        <f>SUM(H11:H13)</f>
        <v>0</v>
      </c>
      <c r="I10" s="121">
        <f>SUM(I11:I13)</f>
        <v>0</v>
      </c>
      <c r="J10" s="121">
        <f t="shared" si="1"/>
        <v>0</v>
      </c>
      <c r="K10" s="133"/>
    </row>
    <row r="11" spans="1:12" ht="15" x14ac:dyDescent="0.2">
      <c r="A11" s="51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3"/>
    </row>
    <row r="12" spans="1:12" ht="15" x14ac:dyDescent="0.2">
      <c r="A12" s="51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3"/>
    </row>
    <row r="13" spans="1:12" ht="15" x14ac:dyDescent="0.2">
      <c r="A13" s="51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3"/>
    </row>
    <row r="14" spans="1:12" ht="15" x14ac:dyDescent="0.2">
      <c r="A14" s="51" t="s">
        <v>121</v>
      </c>
      <c r="B14" s="121">
        <f>SUM(B15:B16)</f>
        <v>8</v>
      </c>
      <c r="C14" s="121">
        <f>SUM(C15:C16)</f>
        <v>3526.78</v>
      </c>
      <c r="D14" s="121">
        <f t="shared" ref="D14:J14" si="2">SUM(D15:D16)</f>
        <v>2</v>
      </c>
      <c r="E14" s="121">
        <f>SUM(E15:E16)</f>
        <v>853</v>
      </c>
      <c r="F14" s="121">
        <f t="shared" si="2"/>
        <v>0</v>
      </c>
      <c r="G14" s="121">
        <f>SUM(G15:G16)</f>
        <v>0</v>
      </c>
      <c r="H14" s="121">
        <f>SUM(H15:H16)</f>
        <v>875.95</v>
      </c>
      <c r="I14" s="121">
        <f>SUM(I15:I16)</f>
        <v>10</v>
      </c>
      <c r="J14" s="121">
        <f t="shared" si="2"/>
        <v>3503.83</v>
      </c>
      <c r="K14" s="133"/>
    </row>
    <row r="15" spans="1:12" ht="15" x14ac:dyDescent="0.2">
      <c r="A15" s="51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33"/>
    </row>
    <row r="16" spans="1:12" ht="15" x14ac:dyDescent="0.2">
      <c r="A16" s="51" t="s">
        <v>123</v>
      </c>
      <c r="B16" s="25">
        <v>8</v>
      </c>
      <c r="C16" s="25">
        <v>3526.78</v>
      </c>
      <c r="D16" s="25">
        <v>2</v>
      </c>
      <c r="E16" s="25">
        <f>480+373</f>
        <v>853</v>
      </c>
      <c r="F16" s="25"/>
      <c r="G16" s="25"/>
      <c r="H16" s="25">
        <v>875.95</v>
      </c>
      <c r="I16" s="25">
        <v>10</v>
      </c>
      <c r="J16" s="25">
        <v>3503.83</v>
      </c>
      <c r="K16" s="133"/>
    </row>
    <row r="17" spans="1:11" ht="15" x14ac:dyDescent="0.2">
      <c r="A17" s="51" t="s">
        <v>124</v>
      </c>
      <c r="B17" s="121">
        <f>SUM(B18:B19,B22,B23)</f>
        <v>1</v>
      </c>
      <c r="C17" s="121">
        <f>SUM(C18:C19,C22,C23)</f>
        <v>454.47</v>
      </c>
      <c r="D17" s="121">
        <f t="shared" ref="D17:J17" si="3">SUM(D18:D19,D22,D23)</f>
        <v>0</v>
      </c>
      <c r="E17" s="121">
        <f>SUM(E18:E19,E22,E23)</f>
        <v>0</v>
      </c>
      <c r="F17" s="121">
        <f t="shared" si="3"/>
        <v>0</v>
      </c>
      <c r="G17" s="121">
        <f>SUM(G18:G19,G22,G23)</f>
        <v>0</v>
      </c>
      <c r="H17" s="121">
        <f>SUM(H18:H19,H22,H23)</f>
        <v>68.17</v>
      </c>
      <c r="I17" s="121">
        <f>SUM(I18:I19,I22,I23)</f>
        <v>1</v>
      </c>
      <c r="J17" s="121">
        <f t="shared" si="3"/>
        <v>386.3</v>
      </c>
      <c r="K17" s="133"/>
    </row>
    <row r="18" spans="1:11" ht="15" x14ac:dyDescent="0.2">
      <c r="A18" s="51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3"/>
    </row>
    <row r="19" spans="1:11" ht="15" x14ac:dyDescent="0.2">
      <c r="A19" s="51" t="s">
        <v>126</v>
      </c>
      <c r="B19" s="121">
        <f>SUM(B20:B21)</f>
        <v>1</v>
      </c>
      <c r="C19" s="121">
        <f>SUM(C20:C21)</f>
        <v>454.47</v>
      </c>
      <c r="D19" s="121">
        <f t="shared" ref="D19:J19" si="4">SUM(D20:D21)</f>
        <v>0</v>
      </c>
      <c r="E19" s="121">
        <f>SUM(E20:E21)</f>
        <v>0</v>
      </c>
      <c r="F19" s="121">
        <f t="shared" si="4"/>
        <v>0</v>
      </c>
      <c r="G19" s="121">
        <f>SUM(G20:G21)</f>
        <v>0</v>
      </c>
      <c r="H19" s="121">
        <f>SUM(H20:H21)</f>
        <v>68.17</v>
      </c>
      <c r="I19" s="121">
        <f>SUM(I20:I21)</f>
        <v>1</v>
      </c>
      <c r="J19" s="121">
        <f t="shared" si="4"/>
        <v>386.3</v>
      </c>
      <c r="K19" s="133"/>
    </row>
    <row r="20" spans="1:11" ht="15" x14ac:dyDescent="0.2">
      <c r="A20" s="51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3"/>
    </row>
    <row r="21" spans="1:11" ht="15" x14ac:dyDescent="0.2">
      <c r="A21" s="51" t="s">
        <v>128</v>
      </c>
      <c r="B21" s="25">
        <v>1</v>
      </c>
      <c r="C21" s="25">
        <v>454.47</v>
      </c>
      <c r="D21" s="25"/>
      <c r="E21" s="25"/>
      <c r="F21" s="25"/>
      <c r="G21" s="25"/>
      <c r="H21" s="25">
        <v>68.17</v>
      </c>
      <c r="I21" s="25">
        <v>1</v>
      </c>
      <c r="J21" s="25">
        <v>386.3</v>
      </c>
      <c r="K21" s="133"/>
    </row>
    <row r="22" spans="1:11" ht="15" x14ac:dyDescent="0.2">
      <c r="A22" s="618" t="s">
        <v>129</v>
      </c>
      <c r="B22" s="426"/>
      <c r="C22" s="426"/>
      <c r="D22" s="426"/>
      <c r="E22" s="426"/>
      <c r="F22" s="25"/>
      <c r="G22" s="25"/>
      <c r="H22" s="25"/>
      <c r="I22" s="25"/>
      <c r="J22" s="25"/>
      <c r="K22" s="133"/>
    </row>
    <row r="23" spans="1:11" ht="15" x14ac:dyDescent="0.2">
      <c r="A23" s="618" t="s">
        <v>130</v>
      </c>
      <c r="B23" s="426"/>
      <c r="C23" s="426"/>
      <c r="D23" s="426"/>
      <c r="E23" s="426"/>
      <c r="F23" s="25"/>
      <c r="G23" s="25"/>
      <c r="H23" s="25"/>
      <c r="I23" s="25"/>
      <c r="J23" s="25"/>
      <c r="K23" s="133"/>
    </row>
    <row r="24" spans="1:11" ht="15" x14ac:dyDescent="0.2">
      <c r="A24" s="619" t="s">
        <v>131</v>
      </c>
      <c r="B24" s="620">
        <f t="shared" ref="B24:J24" si="5">SUM(B25:B31)</f>
        <v>930</v>
      </c>
      <c r="C24" s="620">
        <f t="shared" si="5"/>
        <v>1714.32</v>
      </c>
      <c r="D24" s="620">
        <f t="shared" si="5"/>
        <v>28963</v>
      </c>
      <c r="E24" s="620">
        <f t="shared" si="5"/>
        <v>52454.8</v>
      </c>
      <c r="F24" s="73">
        <f t="shared" si="5"/>
        <v>29893</v>
      </c>
      <c r="G24" s="73">
        <f t="shared" si="5"/>
        <v>54169.120000000003</v>
      </c>
      <c r="H24" s="73">
        <f t="shared" si="5"/>
        <v>0</v>
      </c>
      <c r="I24" s="73">
        <f t="shared" si="5"/>
        <v>0</v>
      </c>
      <c r="J24" s="73">
        <f t="shared" si="5"/>
        <v>0</v>
      </c>
      <c r="K24" s="133"/>
    </row>
    <row r="25" spans="1:11" ht="15" x14ac:dyDescent="0.2">
      <c r="A25" s="618" t="s">
        <v>258</v>
      </c>
      <c r="B25" s="426"/>
      <c r="C25" s="426"/>
      <c r="D25" s="426">
        <v>0</v>
      </c>
      <c r="E25" s="426">
        <v>0</v>
      </c>
      <c r="F25" s="25">
        <v>0</v>
      </c>
      <c r="G25" s="25">
        <v>0</v>
      </c>
      <c r="H25" s="25"/>
      <c r="I25" s="25"/>
      <c r="J25" s="25"/>
      <c r="K25" s="133"/>
    </row>
    <row r="26" spans="1:11" ht="15" x14ac:dyDescent="0.2">
      <c r="A26" s="618" t="s">
        <v>259</v>
      </c>
      <c r="B26" s="426"/>
      <c r="C26" s="426"/>
      <c r="D26" s="426"/>
      <c r="E26" s="426"/>
      <c r="F26" s="25"/>
      <c r="G26" s="25"/>
      <c r="H26" s="25"/>
      <c r="I26" s="25"/>
      <c r="J26" s="25"/>
      <c r="K26" s="133"/>
    </row>
    <row r="27" spans="1:11" ht="15" x14ac:dyDescent="0.2">
      <c r="A27" s="618" t="s">
        <v>260</v>
      </c>
      <c r="B27" s="426"/>
      <c r="C27" s="426"/>
      <c r="D27" s="426"/>
      <c r="E27" s="426"/>
      <c r="F27" s="25"/>
      <c r="G27" s="25"/>
      <c r="H27" s="25"/>
      <c r="I27" s="25"/>
      <c r="J27" s="25"/>
      <c r="K27" s="133"/>
    </row>
    <row r="28" spans="1:11" ht="15" x14ac:dyDescent="0.2">
      <c r="A28" s="618" t="s">
        <v>261</v>
      </c>
      <c r="B28" s="426"/>
      <c r="C28" s="426"/>
      <c r="D28" s="426"/>
      <c r="E28" s="426"/>
      <c r="F28" s="25"/>
      <c r="G28" s="25"/>
      <c r="H28" s="25"/>
      <c r="I28" s="25"/>
      <c r="J28" s="25"/>
      <c r="K28" s="133"/>
    </row>
    <row r="29" spans="1:11" ht="15" x14ac:dyDescent="0.2">
      <c r="A29" s="618" t="s">
        <v>262</v>
      </c>
      <c r="B29" s="621"/>
      <c r="C29" s="621"/>
      <c r="D29" s="621"/>
      <c r="E29" s="621"/>
      <c r="F29" s="622"/>
      <c r="G29" s="622"/>
      <c r="H29" s="622"/>
      <c r="I29" s="25"/>
      <c r="J29" s="25"/>
      <c r="K29" s="133"/>
    </row>
    <row r="30" spans="1:11" ht="15" x14ac:dyDescent="0.2">
      <c r="A30" s="618" t="s">
        <v>263</v>
      </c>
      <c r="B30" s="621"/>
      <c r="C30" s="621"/>
      <c r="D30" s="621"/>
      <c r="E30" s="621"/>
      <c r="F30" s="622"/>
      <c r="G30" s="622"/>
      <c r="H30" s="622"/>
      <c r="I30" s="25"/>
      <c r="J30" s="25"/>
      <c r="K30" s="133"/>
    </row>
    <row r="31" spans="1:11" ht="15" x14ac:dyDescent="0.2">
      <c r="A31" s="618" t="s">
        <v>264</v>
      </c>
      <c r="B31" s="621">
        <v>930</v>
      </c>
      <c r="C31" s="621">
        <v>1714.32</v>
      </c>
      <c r="D31" s="621">
        <v>28963</v>
      </c>
      <c r="E31" s="621">
        <v>52454.8</v>
      </c>
      <c r="F31" s="622">
        <v>29893</v>
      </c>
      <c r="G31" s="622">
        <v>54169.120000000003</v>
      </c>
      <c r="H31" s="621">
        <v>0</v>
      </c>
      <c r="I31" s="426">
        <v>0</v>
      </c>
      <c r="J31" s="426">
        <v>0</v>
      </c>
      <c r="K31" s="133"/>
    </row>
    <row r="32" spans="1:11" ht="15" x14ac:dyDescent="0.2">
      <c r="A32" s="619" t="s">
        <v>132</v>
      </c>
      <c r="B32" s="426"/>
      <c r="C32" s="426"/>
      <c r="D32" s="620">
        <f t="shared" ref="D32:J32" si="6">SUM(D33:D35)</f>
        <v>0</v>
      </c>
      <c r="E32" s="620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133"/>
    </row>
    <row r="33" spans="1:11" ht="15" x14ac:dyDescent="0.2">
      <c r="A33" s="51" t="s">
        <v>265</v>
      </c>
      <c r="B33" s="73">
        <f t="shared" ref="B33:C33" si="7">SUM(B34:B36,B39)</f>
        <v>0</v>
      </c>
      <c r="C33" s="73">
        <f t="shared" si="7"/>
        <v>0</v>
      </c>
      <c r="D33" s="25"/>
      <c r="E33" s="25"/>
      <c r="F33" s="25"/>
      <c r="G33" s="25"/>
      <c r="H33" s="25"/>
      <c r="I33" s="25"/>
      <c r="J33" s="25"/>
      <c r="K33" s="133"/>
    </row>
    <row r="34" spans="1:11" ht="15" x14ac:dyDescent="0.2">
      <c r="A34" s="51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3"/>
    </row>
    <row r="35" spans="1:11" ht="15" x14ac:dyDescent="0.2">
      <c r="A35" s="51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3"/>
    </row>
    <row r="36" spans="1:11" ht="15" x14ac:dyDescent="0.2">
      <c r="A36" s="50" t="s">
        <v>133</v>
      </c>
      <c r="B36" s="121">
        <f t="shared" ref="B36:C36" si="8">SUM(B37:B38)</f>
        <v>0</v>
      </c>
      <c r="C36" s="121">
        <f t="shared" si="8"/>
        <v>0</v>
      </c>
      <c r="D36" s="73">
        <f t="shared" ref="D36:J36" si="9">SUM(D37:D39,D42)</f>
        <v>0</v>
      </c>
      <c r="E36" s="73">
        <f t="shared" si="9"/>
        <v>0</v>
      </c>
      <c r="F36" s="73">
        <f t="shared" si="9"/>
        <v>0</v>
      </c>
      <c r="G36" s="73">
        <f t="shared" si="9"/>
        <v>0</v>
      </c>
      <c r="H36" s="73">
        <f t="shared" si="9"/>
        <v>0</v>
      </c>
      <c r="I36" s="73">
        <f t="shared" si="9"/>
        <v>0</v>
      </c>
      <c r="J36" s="73">
        <f t="shared" si="9"/>
        <v>0</v>
      </c>
      <c r="K36" s="133"/>
    </row>
    <row r="37" spans="1:11" ht="15" x14ac:dyDescent="0.2">
      <c r="A37" s="51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3"/>
    </row>
    <row r="38" spans="1:11" ht="15" x14ac:dyDescent="0.2">
      <c r="A38" s="51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3"/>
    </row>
    <row r="39" spans="1:11" ht="15" x14ac:dyDescent="0.2">
      <c r="A39" s="51" t="s">
        <v>136</v>
      </c>
      <c r="B39" s="25"/>
      <c r="C39" s="25"/>
      <c r="D39" s="121">
        <f t="shared" ref="D39:J39" si="10">SUM(D40:D41)</f>
        <v>0</v>
      </c>
      <c r="E39" s="121">
        <f t="shared" si="10"/>
        <v>0</v>
      </c>
      <c r="F39" s="121">
        <f t="shared" si="10"/>
        <v>0</v>
      </c>
      <c r="G39" s="121">
        <f t="shared" si="10"/>
        <v>0</v>
      </c>
      <c r="H39" s="121">
        <f t="shared" si="10"/>
        <v>0</v>
      </c>
      <c r="I39" s="121">
        <f t="shared" si="10"/>
        <v>0</v>
      </c>
      <c r="J39" s="121">
        <f t="shared" si="10"/>
        <v>0</v>
      </c>
      <c r="K39" s="133"/>
    </row>
    <row r="40" spans="1:11" ht="30" x14ac:dyDescent="0.2">
      <c r="A40" s="51" t="s">
        <v>438</v>
      </c>
      <c r="B40" s="25"/>
      <c r="C40" s="25"/>
      <c r="D40" s="25"/>
      <c r="E40" s="25"/>
      <c r="F40" s="25"/>
      <c r="G40" s="25"/>
      <c r="H40" s="25"/>
      <c r="I40" s="25"/>
      <c r="J40" s="25"/>
    </row>
    <row r="41" spans="1:11" s="22" customFormat="1" ht="15" x14ac:dyDescent="0.2">
      <c r="A41" s="51" t="s">
        <v>137</v>
      </c>
      <c r="B41" s="25"/>
      <c r="C41" s="25"/>
      <c r="D41" s="25"/>
      <c r="E41" s="25"/>
      <c r="F41" s="25"/>
      <c r="G41" s="25"/>
      <c r="H41" s="25"/>
      <c r="I41" s="25"/>
      <c r="J41" s="25"/>
    </row>
    <row r="42" spans="1:11" s="22" customFormat="1" ht="15" x14ac:dyDescent="0.2">
      <c r="A42" s="51" t="s">
        <v>138</v>
      </c>
      <c r="B42" s="25"/>
      <c r="C42" s="25"/>
      <c r="D42" s="25"/>
      <c r="E42" s="25"/>
      <c r="F42" s="25"/>
      <c r="G42" s="25"/>
      <c r="H42" s="25"/>
      <c r="I42" s="25"/>
      <c r="J42" s="25"/>
    </row>
    <row r="43" spans="1:11" s="2" customFormat="1" ht="15" x14ac:dyDescent="0.3">
      <c r="A43" s="62" t="s">
        <v>107</v>
      </c>
      <c r="D43" s="5"/>
    </row>
    <row r="44" spans="1:11" s="2" customFormat="1" ht="15" x14ac:dyDescent="0.3">
      <c r="D44"/>
      <c r="E44"/>
      <c r="F44"/>
      <c r="G44"/>
      <c r="I44"/>
    </row>
    <row r="45" spans="1:11" s="2" customFormat="1" ht="15" x14ac:dyDescent="0.3">
      <c r="B45" s="61"/>
      <c r="C45" s="61"/>
      <c r="F45" s="61"/>
      <c r="G45" s="64"/>
      <c r="H45" s="61"/>
      <c r="I45"/>
      <c r="J45"/>
    </row>
    <row r="46" spans="1:11" s="2" customFormat="1" ht="15" x14ac:dyDescent="0.3">
      <c r="B46" s="60" t="s">
        <v>268</v>
      </c>
      <c r="F46" s="12" t="s">
        <v>273</v>
      </c>
      <c r="G46" s="63"/>
      <c r="I46"/>
      <c r="J46"/>
    </row>
    <row r="47" spans="1:11" s="2" customFormat="1" ht="15" x14ac:dyDescent="0.3">
      <c r="B47" s="56" t="s">
        <v>139</v>
      </c>
      <c r="F47" s="2" t="s">
        <v>269</v>
      </c>
      <c r="G47"/>
      <c r="I47"/>
      <c r="J47"/>
    </row>
    <row r="48" spans="1:11" customFormat="1" ht="15" x14ac:dyDescent="0.3">
      <c r="A48" s="2"/>
      <c r="B48" s="24"/>
      <c r="H48" s="24"/>
    </row>
    <row r="49" spans="1:10" s="2" customFormat="1" ht="15" x14ac:dyDescent="0.3">
      <c r="A49" s="11"/>
      <c r="B49" s="11"/>
      <c r="C49" s="11"/>
    </row>
    <row r="50" spans="1:10" ht="1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2"/>
  <sheetViews>
    <sheetView showGridLines="0" view="pageBreakPreview" zoomScale="80" zoomScaleNormal="100" zoomScaleSheetLayoutView="80" workbookViewId="0">
      <selection activeCell="G25" sqref="G2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4" customWidth="1"/>
    <col min="11" max="11" width="12.7109375" style="54" customWidth="1"/>
    <col min="12" max="12" width="9.140625" style="55"/>
    <col min="13" max="16384" width="9.140625" style="24"/>
  </cols>
  <sheetData>
    <row r="1" spans="1:12" s="22" customFormat="1" ht="15" x14ac:dyDescent="0.2">
      <c r="A1" s="125" t="s">
        <v>305</v>
      </c>
      <c r="B1" s="126"/>
      <c r="C1" s="126"/>
      <c r="D1" s="126"/>
      <c r="E1" s="126"/>
      <c r="F1" s="126"/>
      <c r="G1" s="132"/>
      <c r="H1" s="91" t="s">
        <v>198</v>
      </c>
      <c r="I1" s="132"/>
      <c r="J1" s="57"/>
      <c r="K1" s="57"/>
      <c r="L1" s="57"/>
    </row>
    <row r="2" spans="1:12" s="22" customFormat="1" ht="15" x14ac:dyDescent="0.3">
      <c r="A2" s="96" t="s">
        <v>140</v>
      </c>
      <c r="B2" s="126"/>
      <c r="C2" s="126"/>
      <c r="D2" s="126"/>
      <c r="E2" s="126"/>
      <c r="F2" s="126"/>
      <c r="G2" s="134"/>
      <c r="H2" s="628" t="s">
        <v>645</v>
      </c>
      <c r="I2" s="639"/>
      <c r="J2" s="639"/>
      <c r="K2" s="57"/>
      <c r="L2" s="57"/>
    </row>
    <row r="3" spans="1:12" s="22" customFormat="1" ht="15" x14ac:dyDescent="0.2">
      <c r="A3" s="126"/>
      <c r="B3" s="126"/>
      <c r="C3" s="126"/>
      <c r="D3" s="126"/>
      <c r="E3" s="126"/>
      <c r="F3" s="126"/>
      <c r="G3" s="134"/>
      <c r="H3" s="129"/>
      <c r="I3" s="134"/>
      <c r="J3" s="57"/>
      <c r="K3" s="57"/>
      <c r="L3" s="57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126"/>
      <c r="F4" s="126"/>
      <c r="G4" s="126"/>
      <c r="H4" s="126"/>
      <c r="I4" s="132"/>
      <c r="J4" s="54"/>
      <c r="K4" s="54"/>
      <c r="L4" s="22"/>
    </row>
    <row r="5" spans="1:12" s="2" customFormat="1" ht="15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109"/>
      <c r="C5" s="109"/>
      <c r="D5" s="109"/>
      <c r="E5" s="136"/>
      <c r="F5" s="137"/>
      <c r="G5" s="137"/>
      <c r="H5" s="137"/>
      <c r="I5" s="132"/>
      <c r="J5" s="54"/>
      <c r="K5" s="54"/>
      <c r="L5" s="12"/>
    </row>
    <row r="6" spans="1:12" s="22" customFormat="1" ht="13.5" x14ac:dyDescent="0.2">
      <c r="A6" s="130"/>
      <c r="B6" s="131"/>
      <c r="C6" s="131"/>
      <c r="D6" s="131"/>
      <c r="E6" s="126"/>
      <c r="F6" s="126"/>
      <c r="G6" s="126"/>
      <c r="H6" s="126"/>
      <c r="I6" s="132"/>
      <c r="J6" s="54"/>
      <c r="K6" s="54"/>
      <c r="L6" s="54"/>
    </row>
    <row r="7" spans="1:12" ht="30" x14ac:dyDescent="0.2">
      <c r="A7" s="122" t="s">
        <v>64</v>
      </c>
      <c r="B7" s="122" t="s">
        <v>379</v>
      </c>
      <c r="C7" s="124" t="s">
        <v>380</v>
      </c>
      <c r="D7" s="124" t="s">
        <v>235</v>
      </c>
      <c r="E7" s="124" t="s">
        <v>240</v>
      </c>
      <c r="F7" s="124" t="s">
        <v>241</v>
      </c>
      <c r="G7" s="124" t="s">
        <v>242</v>
      </c>
      <c r="H7" s="124" t="s">
        <v>243</v>
      </c>
      <c r="I7" s="132"/>
    </row>
    <row r="8" spans="1:12" ht="15" x14ac:dyDescent="0.2">
      <c r="A8" s="122">
        <v>1</v>
      </c>
      <c r="B8" s="122">
        <v>2</v>
      </c>
      <c r="C8" s="124">
        <v>3</v>
      </c>
      <c r="D8" s="122">
        <v>4</v>
      </c>
      <c r="E8" s="124">
        <v>5</v>
      </c>
      <c r="F8" s="122">
        <v>6</v>
      </c>
      <c r="G8" s="124">
        <v>7</v>
      </c>
      <c r="H8" s="124">
        <v>8</v>
      </c>
      <c r="I8" s="132"/>
    </row>
    <row r="9" spans="1:12" ht="15" x14ac:dyDescent="0.25">
      <c r="A9" s="58">
        <v>1</v>
      </c>
      <c r="B9" s="25"/>
      <c r="C9" s="25"/>
      <c r="D9" s="25"/>
      <c r="E9" s="25"/>
      <c r="F9" s="25"/>
      <c r="G9" s="145"/>
      <c r="H9" s="25"/>
      <c r="I9" s="132"/>
    </row>
    <row r="10" spans="1:12" ht="15" x14ac:dyDescent="0.25">
      <c r="A10" s="58">
        <v>2</v>
      </c>
      <c r="B10" s="25"/>
      <c r="C10" s="25"/>
      <c r="D10" s="25"/>
      <c r="E10" s="25"/>
      <c r="F10" s="25"/>
      <c r="G10" s="145"/>
      <c r="H10" s="25"/>
      <c r="I10" s="132"/>
    </row>
    <row r="11" spans="1:12" ht="15" x14ac:dyDescent="0.25">
      <c r="A11" s="58">
        <v>3</v>
      </c>
      <c r="B11" s="25"/>
      <c r="C11" s="25"/>
      <c r="D11" s="25"/>
      <c r="E11" s="25"/>
      <c r="F11" s="25"/>
      <c r="G11" s="145"/>
      <c r="H11" s="25"/>
      <c r="I11" s="132"/>
    </row>
    <row r="12" spans="1:12" ht="15" x14ac:dyDescent="0.25">
      <c r="A12" s="58">
        <v>4</v>
      </c>
      <c r="B12" s="25"/>
      <c r="C12" s="25"/>
      <c r="D12" s="25"/>
      <c r="E12" s="25"/>
      <c r="F12" s="25"/>
      <c r="G12" s="145"/>
      <c r="H12" s="25"/>
      <c r="I12" s="132"/>
    </row>
    <row r="13" spans="1:12" ht="15" x14ac:dyDescent="0.25">
      <c r="A13" s="58">
        <v>5</v>
      </c>
      <c r="B13" s="25"/>
      <c r="C13" s="25"/>
      <c r="D13" s="25"/>
      <c r="E13" s="25"/>
      <c r="F13" s="25"/>
      <c r="G13" s="145"/>
      <c r="H13" s="25"/>
      <c r="I13" s="132"/>
    </row>
    <row r="14" spans="1:12" ht="15" x14ac:dyDescent="0.25">
      <c r="A14" s="58">
        <v>6</v>
      </c>
      <c r="B14" s="25"/>
      <c r="C14" s="25"/>
      <c r="D14" s="25"/>
      <c r="E14" s="25"/>
      <c r="F14" s="25"/>
      <c r="G14" s="145"/>
      <c r="H14" s="25"/>
      <c r="I14" s="132"/>
    </row>
    <row r="15" spans="1:12" s="22" customFormat="1" ht="15" x14ac:dyDescent="0.25">
      <c r="A15" s="58">
        <v>7</v>
      </c>
      <c r="B15" s="25"/>
      <c r="C15" s="25"/>
      <c r="D15" s="25"/>
      <c r="E15" s="25"/>
      <c r="F15" s="25"/>
      <c r="G15" s="145"/>
      <c r="H15" s="25"/>
      <c r="I15" s="132"/>
      <c r="J15" s="54"/>
      <c r="K15" s="54"/>
      <c r="L15" s="54"/>
    </row>
    <row r="16" spans="1:12" s="22" customFormat="1" ht="15" x14ac:dyDescent="0.25">
      <c r="A16" s="58">
        <v>8</v>
      </c>
      <c r="B16" s="25"/>
      <c r="C16" s="25"/>
      <c r="D16" s="25"/>
      <c r="E16" s="25"/>
      <c r="F16" s="25"/>
      <c r="G16" s="145"/>
      <c r="H16" s="25"/>
      <c r="I16" s="132"/>
      <c r="J16" s="54"/>
      <c r="K16" s="54"/>
      <c r="L16" s="54"/>
    </row>
    <row r="17" spans="1:12" s="22" customFormat="1" ht="15" x14ac:dyDescent="0.25">
      <c r="A17" s="58">
        <v>9</v>
      </c>
      <c r="B17" s="25"/>
      <c r="C17" s="25"/>
      <c r="D17" s="25"/>
      <c r="E17" s="25"/>
      <c r="F17" s="25"/>
      <c r="G17" s="145"/>
      <c r="H17" s="25"/>
      <c r="I17" s="132"/>
      <c r="J17" s="54"/>
      <c r="K17" s="54"/>
      <c r="L17" s="54"/>
    </row>
    <row r="18" spans="1:12" s="22" customFormat="1" ht="15" x14ac:dyDescent="0.25">
      <c r="A18" s="58">
        <v>10</v>
      </c>
      <c r="B18" s="25"/>
      <c r="C18" s="25"/>
      <c r="D18" s="25"/>
      <c r="E18" s="25"/>
      <c r="F18" s="25"/>
      <c r="G18" s="145"/>
      <c r="H18" s="25"/>
      <c r="I18" s="132"/>
      <c r="J18" s="54"/>
      <c r="K18" s="54"/>
      <c r="L18" s="54"/>
    </row>
    <row r="19" spans="1:12" s="22" customFormat="1" ht="15" x14ac:dyDescent="0.25">
      <c r="A19" s="58">
        <v>11</v>
      </c>
      <c r="B19" s="25"/>
      <c r="C19" s="25"/>
      <c r="D19" s="25"/>
      <c r="E19" s="25"/>
      <c r="F19" s="25"/>
      <c r="G19" s="145"/>
      <c r="H19" s="25"/>
      <c r="I19" s="132"/>
      <c r="J19" s="54"/>
      <c r="K19" s="54"/>
      <c r="L19" s="54"/>
    </row>
    <row r="20" spans="1:12" s="22" customFormat="1" ht="15" x14ac:dyDescent="0.25">
      <c r="A20" s="58">
        <v>12</v>
      </c>
      <c r="B20" s="25"/>
      <c r="C20" s="25"/>
      <c r="D20" s="25"/>
      <c r="E20" s="25"/>
      <c r="F20" s="25"/>
      <c r="G20" s="145"/>
      <c r="H20" s="25"/>
      <c r="I20" s="132"/>
      <c r="J20" s="54"/>
      <c r="K20" s="54"/>
      <c r="L20" s="54"/>
    </row>
    <row r="21" spans="1:12" s="22" customFormat="1" ht="15" x14ac:dyDescent="0.25">
      <c r="A21" s="58">
        <v>13</v>
      </c>
      <c r="B21" s="25"/>
      <c r="C21" s="25"/>
      <c r="D21" s="25"/>
      <c r="E21" s="25"/>
      <c r="F21" s="25"/>
      <c r="G21" s="145"/>
      <c r="H21" s="25"/>
      <c r="I21" s="132"/>
      <c r="J21" s="54"/>
      <c r="K21" s="54"/>
      <c r="L21" s="54"/>
    </row>
    <row r="22" spans="1:12" s="22" customFormat="1" ht="15" x14ac:dyDescent="0.25">
      <c r="A22" s="58">
        <v>14</v>
      </c>
      <c r="B22" s="25"/>
      <c r="C22" s="25"/>
      <c r="D22" s="25"/>
      <c r="E22" s="25"/>
      <c r="F22" s="25"/>
      <c r="G22" s="145"/>
      <c r="H22" s="25"/>
      <c r="I22" s="132"/>
      <c r="J22" s="54"/>
      <c r="K22" s="54"/>
      <c r="L22" s="54"/>
    </row>
    <row r="23" spans="1:12" s="22" customFormat="1" ht="15" x14ac:dyDescent="0.25">
      <c r="A23" s="58">
        <v>15</v>
      </c>
      <c r="B23" s="25"/>
      <c r="C23" s="25"/>
      <c r="D23" s="25"/>
      <c r="E23" s="25"/>
      <c r="F23" s="25"/>
      <c r="G23" s="145"/>
      <c r="H23" s="25"/>
      <c r="I23" s="132"/>
      <c r="J23" s="54"/>
      <c r="K23" s="54"/>
      <c r="L23" s="54"/>
    </row>
    <row r="24" spans="1:12" s="22" customFormat="1" ht="15" x14ac:dyDescent="0.25">
      <c r="A24" s="58" t="s">
        <v>278</v>
      </c>
      <c r="B24" s="25"/>
      <c r="C24" s="25"/>
      <c r="D24" s="25"/>
      <c r="E24" s="25"/>
      <c r="F24" s="25"/>
      <c r="G24" s="145"/>
      <c r="H24" s="25"/>
      <c r="I24" s="132"/>
      <c r="J24" s="54"/>
      <c r="K24" s="54"/>
      <c r="L24" s="54"/>
    </row>
    <row r="25" spans="1:12" s="22" customFormat="1" x14ac:dyDescent="0.2">
      <c r="J25" s="54"/>
      <c r="K25" s="54"/>
      <c r="L25" s="54"/>
    </row>
    <row r="26" spans="1:12" s="22" customFormat="1" x14ac:dyDescent="0.2"/>
    <row r="27" spans="1:12" s="22" customFormat="1" x14ac:dyDescent="0.2">
      <c r="A27" s="24"/>
    </row>
    <row r="28" spans="1:12" s="2" customFormat="1" ht="15" x14ac:dyDescent="0.3">
      <c r="B28" s="62" t="s">
        <v>107</v>
      </c>
      <c r="E28" s="5"/>
    </row>
    <row r="29" spans="1:12" s="2" customFormat="1" ht="15" x14ac:dyDescent="0.3">
      <c r="C29" s="61"/>
      <c r="E29" s="61"/>
      <c r="F29" s="64"/>
      <c r="G29"/>
      <c r="H29"/>
      <c r="I29"/>
    </row>
    <row r="30" spans="1:12" s="2" customFormat="1" ht="15" x14ac:dyDescent="0.3">
      <c r="A30"/>
      <c r="C30" s="60" t="s">
        <v>268</v>
      </c>
      <c r="E30" s="12" t="s">
        <v>273</v>
      </c>
      <c r="F30" s="63"/>
      <c r="G30"/>
      <c r="H30"/>
      <c r="I30"/>
    </row>
    <row r="31" spans="1:12" s="2" customFormat="1" ht="15" x14ac:dyDescent="0.3">
      <c r="A31"/>
      <c r="C31" s="56" t="s">
        <v>139</v>
      </c>
      <c r="E31" s="2" t="s">
        <v>269</v>
      </c>
      <c r="F31"/>
      <c r="G31"/>
      <c r="H31"/>
      <c r="I31"/>
    </row>
    <row r="32" spans="1:12" customFormat="1" ht="15" x14ac:dyDescent="0.3">
      <c r="B32" s="2"/>
      <c r="C32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4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4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0"/>
  <sheetViews>
    <sheetView showGridLines="0" view="pageBreakPreview" zoomScale="80" zoomScaleNormal="100" zoomScaleSheetLayoutView="80" workbookViewId="0">
      <selection activeCell="H20" sqref="H20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5" customWidth="1"/>
    <col min="11" max="16384" width="9.140625" style="24"/>
  </cols>
  <sheetData>
    <row r="1" spans="1:12" s="22" customFormat="1" ht="15" x14ac:dyDescent="0.2">
      <c r="A1" s="125" t="s">
        <v>306</v>
      </c>
      <c r="B1" s="126"/>
      <c r="C1" s="126"/>
      <c r="D1" s="126"/>
      <c r="E1" s="126"/>
      <c r="F1" s="126"/>
      <c r="G1" s="126"/>
      <c r="H1" s="132"/>
      <c r="I1" s="351" t="s">
        <v>198</v>
      </c>
      <c r="J1" s="139"/>
    </row>
    <row r="2" spans="1:12" s="22" customFormat="1" ht="15" x14ac:dyDescent="0.3">
      <c r="A2" s="96" t="s">
        <v>140</v>
      </c>
      <c r="B2" s="126"/>
      <c r="C2" s="126"/>
      <c r="D2" s="126"/>
      <c r="E2" s="126"/>
      <c r="F2" s="126"/>
      <c r="G2" s="126"/>
      <c r="H2" s="132"/>
      <c r="I2" s="628" t="s">
        <v>645</v>
      </c>
      <c r="J2" s="639"/>
      <c r="K2" s="639"/>
    </row>
    <row r="3" spans="1:12" s="22" customFormat="1" ht="15" x14ac:dyDescent="0.2">
      <c r="A3" s="126"/>
      <c r="B3" s="126"/>
      <c r="C3" s="126"/>
      <c r="D3" s="126"/>
      <c r="E3" s="126"/>
      <c r="F3" s="126"/>
      <c r="G3" s="126"/>
      <c r="H3" s="129"/>
      <c r="I3" s="129"/>
      <c r="J3" s="139"/>
    </row>
    <row r="4" spans="1:12" s="2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35"/>
      <c r="F4" s="126"/>
      <c r="G4" s="126"/>
      <c r="H4" s="126"/>
      <c r="I4" s="135"/>
      <c r="J4" s="95"/>
      <c r="L4" s="22"/>
    </row>
    <row r="5" spans="1:12" s="2" customFormat="1" ht="15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109"/>
      <c r="C5" s="109"/>
      <c r="D5" s="109"/>
      <c r="E5" s="136"/>
      <c r="F5" s="137"/>
      <c r="G5" s="137"/>
      <c r="H5" s="137"/>
      <c r="I5" s="136"/>
      <c r="J5" s="95"/>
    </row>
    <row r="6" spans="1:12" s="22" customFormat="1" ht="13.5" x14ac:dyDescent="0.2">
      <c r="A6" s="130"/>
      <c r="B6" s="131"/>
      <c r="C6" s="131"/>
      <c r="D6" s="131"/>
      <c r="E6" s="126"/>
      <c r="F6" s="126"/>
      <c r="G6" s="126"/>
      <c r="H6" s="126"/>
      <c r="I6" s="126"/>
      <c r="J6" s="134"/>
    </row>
    <row r="7" spans="1:12" ht="30" x14ac:dyDescent="0.2">
      <c r="A7" s="138" t="s">
        <v>64</v>
      </c>
      <c r="B7" s="122" t="s">
        <v>248</v>
      </c>
      <c r="C7" s="124" t="s">
        <v>244</v>
      </c>
      <c r="D7" s="124" t="s">
        <v>245</v>
      </c>
      <c r="E7" s="124" t="s">
        <v>246</v>
      </c>
      <c r="F7" s="124" t="s">
        <v>247</v>
      </c>
      <c r="G7" s="124" t="s">
        <v>241</v>
      </c>
      <c r="H7" s="124" t="s">
        <v>242</v>
      </c>
      <c r="I7" s="124" t="s">
        <v>243</v>
      </c>
      <c r="J7" s="140"/>
    </row>
    <row r="8" spans="1:12" ht="15" x14ac:dyDescent="0.2">
      <c r="A8" s="122">
        <v>1</v>
      </c>
      <c r="B8" s="122">
        <v>2</v>
      </c>
      <c r="C8" s="124">
        <v>3</v>
      </c>
      <c r="D8" s="122">
        <v>4</v>
      </c>
      <c r="E8" s="124">
        <v>5</v>
      </c>
      <c r="F8" s="122">
        <v>6</v>
      </c>
      <c r="G8" s="124">
        <v>7</v>
      </c>
      <c r="H8" s="122">
        <v>8</v>
      </c>
      <c r="I8" s="124">
        <v>9</v>
      </c>
      <c r="J8" s="140"/>
    </row>
    <row r="9" spans="1:12" ht="15" x14ac:dyDescent="0.25">
      <c r="A9" s="58">
        <v>1</v>
      </c>
      <c r="B9" s="25"/>
      <c r="C9" s="25"/>
      <c r="D9" s="25"/>
      <c r="E9" s="25"/>
      <c r="F9" s="25"/>
      <c r="G9" s="25"/>
      <c r="H9" s="145"/>
      <c r="I9" s="25"/>
      <c r="J9" s="140"/>
    </row>
    <row r="10" spans="1:12" ht="15" x14ac:dyDescent="0.25">
      <c r="A10" s="58">
        <v>2</v>
      </c>
      <c r="B10" s="25"/>
      <c r="C10" s="25"/>
      <c r="D10" s="25"/>
      <c r="E10" s="25"/>
      <c r="F10" s="25"/>
      <c r="G10" s="25"/>
      <c r="H10" s="145"/>
      <c r="I10" s="25"/>
      <c r="J10" s="140"/>
    </row>
    <row r="11" spans="1:12" ht="15" x14ac:dyDescent="0.25">
      <c r="A11" s="58">
        <v>3</v>
      </c>
      <c r="B11" s="25"/>
      <c r="C11" s="25"/>
      <c r="D11" s="25"/>
      <c r="E11" s="25"/>
      <c r="F11" s="25"/>
      <c r="G11" s="25"/>
      <c r="H11" s="145"/>
      <c r="I11" s="25"/>
      <c r="J11" s="140"/>
    </row>
    <row r="12" spans="1:12" ht="15" x14ac:dyDescent="0.25">
      <c r="A12" s="58">
        <v>4</v>
      </c>
      <c r="B12" s="25"/>
      <c r="C12" s="25"/>
      <c r="D12" s="25"/>
      <c r="E12" s="25"/>
      <c r="F12" s="25"/>
      <c r="G12" s="25"/>
      <c r="H12" s="145"/>
      <c r="I12" s="25"/>
      <c r="J12" s="140"/>
    </row>
    <row r="13" spans="1:12" ht="15" x14ac:dyDescent="0.25">
      <c r="A13" s="58">
        <v>5</v>
      </c>
      <c r="B13" s="25"/>
      <c r="C13" s="25"/>
      <c r="D13" s="25"/>
      <c r="E13" s="25"/>
      <c r="F13" s="25"/>
      <c r="G13" s="25"/>
      <c r="H13" s="145"/>
      <c r="I13" s="25"/>
      <c r="J13" s="140"/>
    </row>
    <row r="14" spans="1:12" ht="15" x14ac:dyDescent="0.25">
      <c r="A14" s="58">
        <v>6</v>
      </c>
      <c r="B14" s="25"/>
      <c r="C14" s="25"/>
      <c r="D14" s="25"/>
      <c r="E14" s="25"/>
      <c r="F14" s="25"/>
      <c r="G14" s="25"/>
      <c r="H14" s="145"/>
      <c r="I14" s="25"/>
      <c r="J14" s="140"/>
    </row>
    <row r="15" spans="1:12" s="22" customFormat="1" ht="15" x14ac:dyDescent="0.25">
      <c r="A15" s="58">
        <v>7</v>
      </c>
      <c r="B15" s="25"/>
      <c r="C15" s="25"/>
      <c r="D15" s="25"/>
      <c r="E15" s="25"/>
      <c r="F15" s="25"/>
      <c r="G15" s="25"/>
      <c r="H15" s="145"/>
      <c r="I15" s="25"/>
      <c r="J15" s="134"/>
    </row>
    <row r="16" spans="1:12" s="22" customFormat="1" ht="15" x14ac:dyDescent="0.25">
      <c r="A16" s="58">
        <v>8</v>
      </c>
      <c r="B16" s="25"/>
      <c r="C16" s="25"/>
      <c r="D16" s="25"/>
      <c r="E16" s="25"/>
      <c r="F16" s="25"/>
      <c r="G16" s="25"/>
      <c r="H16" s="145"/>
      <c r="I16" s="25"/>
      <c r="J16" s="134"/>
    </row>
    <row r="17" spans="1:10" s="22" customFormat="1" ht="15" x14ac:dyDescent="0.25">
      <c r="A17" s="58">
        <v>9</v>
      </c>
      <c r="B17" s="25"/>
      <c r="C17" s="25"/>
      <c r="D17" s="25"/>
      <c r="E17" s="25"/>
      <c r="F17" s="25"/>
      <c r="G17" s="25"/>
      <c r="H17" s="145"/>
      <c r="I17" s="25"/>
      <c r="J17" s="134"/>
    </row>
    <row r="18" spans="1:10" s="22" customFormat="1" ht="15" x14ac:dyDescent="0.25">
      <c r="A18" s="58">
        <v>10</v>
      </c>
      <c r="B18" s="25"/>
      <c r="C18" s="25"/>
      <c r="D18" s="25"/>
      <c r="E18" s="25"/>
      <c r="F18" s="25"/>
      <c r="G18" s="25"/>
      <c r="H18" s="145"/>
      <c r="I18" s="25"/>
      <c r="J18" s="134"/>
    </row>
    <row r="19" spans="1:10" s="22" customFormat="1" ht="15" x14ac:dyDescent="0.25">
      <c r="A19" s="58">
        <v>11</v>
      </c>
      <c r="B19" s="25"/>
      <c r="C19" s="25"/>
      <c r="D19" s="25"/>
      <c r="E19" s="25"/>
      <c r="F19" s="25"/>
      <c r="G19" s="25"/>
      <c r="H19" s="145"/>
      <c r="I19" s="25"/>
      <c r="J19" s="134"/>
    </row>
    <row r="20" spans="1:10" s="22" customFormat="1" ht="15" x14ac:dyDescent="0.25">
      <c r="A20" s="58">
        <v>12</v>
      </c>
      <c r="B20" s="25"/>
      <c r="C20" s="25"/>
      <c r="D20" s="25"/>
      <c r="E20" s="25"/>
      <c r="F20" s="25"/>
      <c r="G20" s="25"/>
      <c r="H20" s="145"/>
      <c r="I20" s="25"/>
      <c r="J20" s="134"/>
    </row>
    <row r="21" spans="1:10" s="22" customFormat="1" ht="15" x14ac:dyDescent="0.25">
      <c r="A21" s="58">
        <v>13</v>
      </c>
      <c r="B21" s="25"/>
      <c r="C21" s="25"/>
      <c r="D21" s="25"/>
      <c r="E21" s="25"/>
      <c r="F21" s="25"/>
      <c r="G21" s="25"/>
      <c r="H21" s="145"/>
      <c r="I21" s="25"/>
      <c r="J21" s="134"/>
    </row>
    <row r="22" spans="1:10" s="22" customFormat="1" ht="15" x14ac:dyDescent="0.25">
      <c r="A22" s="58">
        <v>14</v>
      </c>
      <c r="B22" s="25"/>
      <c r="C22" s="25"/>
      <c r="D22" s="25"/>
      <c r="E22" s="25"/>
      <c r="F22" s="25"/>
      <c r="G22" s="25"/>
      <c r="H22" s="145"/>
      <c r="I22" s="25"/>
      <c r="J22" s="134"/>
    </row>
    <row r="23" spans="1:10" s="22" customFormat="1" ht="15" x14ac:dyDescent="0.25">
      <c r="A23" s="58" t="s">
        <v>278</v>
      </c>
      <c r="B23" s="25"/>
      <c r="C23" s="25"/>
      <c r="D23" s="25"/>
      <c r="E23" s="25"/>
      <c r="F23" s="25"/>
      <c r="G23" s="25"/>
      <c r="H23" s="145"/>
      <c r="I23" s="25"/>
      <c r="J23" s="134"/>
    </row>
    <row r="24" spans="1:10" s="22" customFormat="1" x14ac:dyDescent="0.2">
      <c r="J24" s="54"/>
    </row>
    <row r="25" spans="1:10" s="22" customFormat="1" x14ac:dyDescent="0.2"/>
    <row r="26" spans="1:10" s="22" customFormat="1" x14ac:dyDescent="0.2">
      <c r="A26" s="24"/>
    </row>
    <row r="27" spans="1:10" s="2" customFormat="1" ht="15" x14ac:dyDescent="0.3">
      <c r="B27" s="62" t="s">
        <v>107</v>
      </c>
      <c r="E27" s="5"/>
    </row>
    <row r="28" spans="1:10" s="2" customFormat="1" ht="15" x14ac:dyDescent="0.3">
      <c r="C28" s="61"/>
      <c r="E28" s="61"/>
      <c r="F28" s="64"/>
      <c r="G28" s="64"/>
      <c r="H28"/>
      <c r="I28"/>
    </row>
    <row r="29" spans="1:10" s="2" customFormat="1" ht="15" x14ac:dyDescent="0.3">
      <c r="A29"/>
      <c r="C29" s="60" t="s">
        <v>268</v>
      </c>
      <c r="E29" s="12" t="s">
        <v>273</v>
      </c>
      <c r="F29" s="63"/>
      <c r="G29"/>
      <c r="H29"/>
      <c r="I29"/>
    </row>
    <row r="30" spans="1:10" s="2" customFormat="1" ht="15" x14ac:dyDescent="0.3">
      <c r="A30"/>
      <c r="C30" s="56" t="s">
        <v>139</v>
      </c>
      <c r="E30" s="2" t="s">
        <v>269</v>
      </c>
      <c r="F30"/>
      <c r="G30"/>
      <c r="H30"/>
      <c r="I30"/>
    </row>
    <row r="31" spans="1:10" customFormat="1" ht="15" x14ac:dyDescent="0.3">
      <c r="B31" s="2"/>
      <c r="C31" s="24"/>
    </row>
    <row r="32" spans="1:10" customFormat="1" x14ac:dyDescent="0.2"/>
    <row r="33" spans="10:10" s="22" customFormat="1" x14ac:dyDescent="0.2">
      <c r="J33" s="54"/>
    </row>
    <row r="34" spans="10:10" s="22" customFormat="1" x14ac:dyDescent="0.2">
      <c r="J34" s="54"/>
    </row>
    <row r="35" spans="10:10" s="22" customFormat="1" x14ac:dyDescent="0.2">
      <c r="J35" s="54"/>
    </row>
    <row r="36" spans="10:10" s="22" customFormat="1" x14ac:dyDescent="0.2">
      <c r="J36" s="54"/>
    </row>
    <row r="37" spans="10:10" s="22" customFormat="1" x14ac:dyDescent="0.2">
      <c r="J37" s="54"/>
    </row>
    <row r="38" spans="10:10" s="22" customFormat="1" x14ac:dyDescent="0.2">
      <c r="J38" s="54"/>
    </row>
    <row r="39" spans="10:10" s="22" customFormat="1" x14ac:dyDescent="0.2">
      <c r="J39" s="54"/>
    </row>
    <row r="40" spans="10:10" s="22" customFormat="1" x14ac:dyDescent="0.2">
      <c r="J40" s="54"/>
    </row>
    <row r="41" spans="10:10" s="22" customFormat="1" x14ac:dyDescent="0.2">
      <c r="J41" s="54"/>
    </row>
    <row r="42" spans="10:10" s="22" customFormat="1" x14ac:dyDescent="0.2">
      <c r="J42" s="54"/>
    </row>
    <row r="43" spans="10:10" s="22" customFormat="1" x14ac:dyDescent="0.2">
      <c r="J43" s="54"/>
    </row>
    <row r="44" spans="10:10" s="22" customFormat="1" x14ac:dyDescent="0.2">
      <c r="J44" s="54"/>
    </row>
    <row r="45" spans="10:10" s="22" customFormat="1" x14ac:dyDescent="0.2">
      <c r="J45" s="54"/>
    </row>
    <row r="46" spans="10:10" s="22" customFormat="1" x14ac:dyDescent="0.2">
      <c r="J46" s="54"/>
    </row>
    <row r="47" spans="10:10" s="22" customFormat="1" x14ac:dyDescent="0.2">
      <c r="J47" s="54"/>
    </row>
    <row r="48" spans="10:10" s="22" customFormat="1" x14ac:dyDescent="0.2">
      <c r="J48" s="54"/>
    </row>
    <row r="49" spans="10:10" s="22" customFormat="1" x14ac:dyDescent="0.2">
      <c r="J49" s="54"/>
    </row>
    <row r="50" spans="10:10" s="22" customFormat="1" x14ac:dyDescent="0.2">
      <c r="J50" s="54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3"/>
  </dataValidations>
  <pageMargins left="0.19685039370078741" right="0.19685039370078741" top="0.74803149606299213" bottom="0.74803149606299213" header="0.31496062992125984" footer="0.31496062992125984"/>
  <pageSetup paperSize="9" scale="9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I2"/>
    </sheetView>
  </sheetViews>
  <sheetFormatPr defaultRowHeight="12.75" x14ac:dyDescent="0.2"/>
  <cols>
    <col min="1" max="1" width="4.85546875" style="198" customWidth="1"/>
    <col min="2" max="2" width="37.42578125" style="198" customWidth="1"/>
    <col min="3" max="3" width="21.5703125" style="198" customWidth="1"/>
    <col min="4" max="4" width="20" style="198" customWidth="1"/>
    <col min="5" max="5" width="18.7109375" style="198" customWidth="1"/>
    <col min="6" max="6" width="24.140625" style="198" customWidth="1"/>
    <col min="7" max="7" width="27.140625" style="198" customWidth="1"/>
    <col min="8" max="8" width="0.7109375" style="198" customWidth="1"/>
    <col min="9" max="16384" width="9.140625" style="198"/>
  </cols>
  <sheetData>
    <row r="1" spans="1:9" s="182" customFormat="1" ht="15" x14ac:dyDescent="0.2">
      <c r="A1" s="179" t="s">
        <v>326</v>
      </c>
      <c r="B1" s="180"/>
      <c r="C1" s="180"/>
      <c r="D1" s="180"/>
      <c r="E1" s="180"/>
      <c r="F1" s="69"/>
      <c r="G1" s="69" t="s">
        <v>109</v>
      </c>
      <c r="H1" s="183"/>
    </row>
    <row r="2" spans="1:9" s="182" customFormat="1" x14ac:dyDescent="0.2">
      <c r="A2" s="183" t="s">
        <v>317</v>
      </c>
      <c r="B2" s="180"/>
      <c r="C2" s="180"/>
      <c r="D2" s="180"/>
      <c r="E2" s="181"/>
      <c r="F2" s="181"/>
      <c r="G2" s="628" t="s">
        <v>645</v>
      </c>
      <c r="H2" s="639"/>
      <c r="I2" s="639"/>
    </row>
    <row r="3" spans="1:9" s="182" customFormat="1" x14ac:dyDescent="0.2">
      <c r="A3" s="183"/>
      <c r="B3" s="180"/>
      <c r="C3" s="180"/>
      <c r="D3" s="180"/>
      <c r="E3" s="181"/>
      <c r="F3" s="181"/>
      <c r="G3" s="181"/>
      <c r="H3" s="183"/>
    </row>
    <row r="4" spans="1:9" s="182" customFormat="1" ht="15" x14ac:dyDescent="0.3">
      <c r="A4" s="105" t="s">
        <v>274</v>
      </c>
      <c r="B4" s="180"/>
      <c r="C4" s="180"/>
      <c r="D4" s="180"/>
      <c r="E4" s="184"/>
      <c r="F4" s="184"/>
      <c r="G4" s="181"/>
      <c r="H4" s="183"/>
    </row>
    <row r="5" spans="1:9" s="182" customFormat="1" x14ac:dyDescent="0.2">
      <c r="A5" s="185" t="str">
        <f>'ფორმა N1'!D4</f>
        <v>მოქალაქეთა  პოლიტიკური გაერთიანება "ეროვნული ფორუმი"</v>
      </c>
      <c r="B5" s="185"/>
      <c r="C5" s="185"/>
      <c r="D5" s="185"/>
      <c r="E5" s="185"/>
      <c r="F5" s="185"/>
      <c r="G5" s="186"/>
      <c r="H5" s="183"/>
    </row>
    <row r="6" spans="1:9" s="199" customFormat="1" x14ac:dyDescent="0.2">
      <c r="A6" s="187"/>
      <c r="B6" s="187"/>
      <c r="C6" s="187"/>
      <c r="D6" s="187"/>
      <c r="E6" s="187"/>
      <c r="F6" s="187"/>
      <c r="G6" s="187"/>
      <c r="H6" s="184"/>
    </row>
    <row r="7" spans="1:9" s="182" customFormat="1" ht="51" x14ac:dyDescent="0.2">
      <c r="A7" s="218" t="s">
        <v>64</v>
      </c>
      <c r="B7" s="190" t="s">
        <v>321</v>
      </c>
      <c r="C7" s="190" t="s">
        <v>322</v>
      </c>
      <c r="D7" s="190" t="s">
        <v>323</v>
      </c>
      <c r="E7" s="190" t="s">
        <v>324</v>
      </c>
      <c r="F7" s="190" t="s">
        <v>325</v>
      </c>
      <c r="G7" s="190" t="s">
        <v>318</v>
      </c>
      <c r="H7" s="183"/>
    </row>
    <row r="8" spans="1:9" s="182" customFormat="1" x14ac:dyDescent="0.2">
      <c r="A8" s="188">
        <v>1</v>
      </c>
      <c r="B8" s="189">
        <v>2</v>
      </c>
      <c r="C8" s="189">
        <v>3</v>
      </c>
      <c r="D8" s="189">
        <v>4</v>
      </c>
      <c r="E8" s="190">
        <v>5</v>
      </c>
      <c r="F8" s="190">
        <v>6</v>
      </c>
      <c r="G8" s="190">
        <v>7</v>
      </c>
      <c r="H8" s="183"/>
    </row>
    <row r="9" spans="1:9" s="182" customFormat="1" x14ac:dyDescent="0.2">
      <c r="A9" s="200">
        <v>1</v>
      </c>
      <c r="B9" s="191"/>
      <c r="C9" s="191"/>
      <c r="D9" s="192"/>
      <c r="E9" s="191"/>
      <c r="F9" s="191"/>
      <c r="G9" s="191"/>
      <c r="H9" s="183"/>
    </row>
    <row r="10" spans="1:9" s="182" customFormat="1" x14ac:dyDescent="0.2">
      <c r="A10" s="200">
        <v>2</v>
      </c>
      <c r="B10" s="191"/>
      <c r="C10" s="191"/>
      <c r="D10" s="192"/>
      <c r="E10" s="191"/>
      <c r="F10" s="191"/>
      <c r="G10" s="191"/>
      <c r="H10" s="183"/>
    </row>
    <row r="11" spans="1:9" s="182" customFormat="1" x14ac:dyDescent="0.2">
      <c r="A11" s="200">
        <v>3</v>
      </c>
      <c r="B11" s="191"/>
      <c r="C11" s="191"/>
      <c r="D11" s="192"/>
      <c r="E11" s="191"/>
      <c r="F11" s="191"/>
      <c r="G11" s="191"/>
      <c r="H11" s="183"/>
    </row>
    <row r="12" spans="1:9" s="182" customFormat="1" x14ac:dyDescent="0.2">
      <c r="A12" s="200">
        <v>4</v>
      </c>
      <c r="B12" s="191"/>
      <c r="C12" s="191"/>
      <c r="D12" s="192"/>
      <c r="E12" s="191"/>
      <c r="F12" s="191"/>
      <c r="G12" s="191"/>
      <c r="H12" s="183"/>
    </row>
    <row r="13" spans="1:9" s="182" customFormat="1" x14ac:dyDescent="0.2">
      <c r="A13" s="200">
        <v>5</v>
      </c>
      <c r="B13" s="191"/>
      <c r="C13" s="191"/>
      <c r="D13" s="192"/>
      <c r="E13" s="191"/>
      <c r="F13" s="191"/>
      <c r="G13" s="191"/>
      <c r="H13" s="183"/>
    </row>
    <row r="14" spans="1:9" s="182" customFormat="1" x14ac:dyDescent="0.2">
      <c r="A14" s="200">
        <v>6</v>
      </c>
      <c r="B14" s="191"/>
      <c r="C14" s="191"/>
      <c r="D14" s="192"/>
      <c r="E14" s="191"/>
      <c r="F14" s="191"/>
      <c r="G14" s="191"/>
      <c r="H14" s="183"/>
    </row>
    <row r="15" spans="1:9" s="182" customFormat="1" x14ac:dyDescent="0.2">
      <c r="A15" s="200">
        <v>7</v>
      </c>
      <c r="B15" s="191"/>
      <c r="C15" s="191"/>
      <c r="D15" s="192"/>
      <c r="E15" s="191"/>
      <c r="F15" s="191"/>
      <c r="G15" s="191"/>
      <c r="H15" s="183"/>
    </row>
    <row r="16" spans="1:9" s="182" customFormat="1" x14ac:dyDescent="0.2">
      <c r="A16" s="200">
        <v>8</v>
      </c>
      <c r="B16" s="191"/>
      <c r="C16" s="191"/>
      <c r="D16" s="192"/>
      <c r="E16" s="191"/>
      <c r="F16" s="191"/>
      <c r="G16" s="191"/>
      <c r="H16" s="183"/>
    </row>
    <row r="17" spans="1:11" s="182" customFormat="1" x14ac:dyDescent="0.2">
      <c r="A17" s="200">
        <v>9</v>
      </c>
      <c r="B17" s="191"/>
      <c r="C17" s="191"/>
      <c r="D17" s="192"/>
      <c r="E17" s="191"/>
      <c r="F17" s="191"/>
      <c r="G17" s="191"/>
      <c r="H17" s="183"/>
    </row>
    <row r="18" spans="1:11" s="182" customFormat="1" x14ac:dyDescent="0.2">
      <c r="A18" s="200">
        <v>10</v>
      </c>
      <c r="B18" s="191"/>
      <c r="C18" s="191"/>
      <c r="D18" s="192"/>
      <c r="E18" s="191"/>
      <c r="F18" s="191"/>
      <c r="G18" s="191"/>
      <c r="H18" s="183"/>
    </row>
    <row r="19" spans="1:11" s="182" customFormat="1" x14ac:dyDescent="0.2">
      <c r="A19" s="200" t="s">
        <v>276</v>
      </c>
      <c r="B19" s="191"/>
      <c r="C19" s="191"/>
      <c r="D19" s="192"/>
      <c r="E19" s="191"/>
      <c r="F19" s="191"/>
      <c r="G19" s="191"/>
      <c r="H19" s="183"/>
    </row>
    <row r="22" spans="1:11" s="182" customFormat="1" x14ac:dyDescent="0.2"/>
    <row r="23" spans="1:11" s="182" customFormat="1" x14ac:dyDescent="0.2"/>
    <row r="24" spans="1:11" s="21" customFormat="1" ht="15" x14ac:dyDescent="0.3">
      <c r="B24" s="193" t="s">
        <v>107</v>
      </c>
      <c r="C24" s="193"/>
    </row>
    <row r="25" spans="1:11" s="21" customFormat="1" ht="15" x14ac:dyDescent="0.3">
      <c r="B25" s="193"/>
      <c r="C25" s="193"/>
    </row>
    <row r="26" spans="1:11" s="21" customFormat="1" ht="15" x14ac:dyDescent="0.3">
      <c r="C26" s="195"/>
      <c r="F26" s="195"/>
      <c r="G26" s="195"/>
      <c r="H26" s="194"/>
    </row>
    <row r="27" spans="1:11" s="21" customFormat="1" ht="15" x14ac:dyDescent="0.3">
      <c r="C27" s="196" t="s">
        <v>268</v>
      </c>
      <c r="F27" s="193" t="s">
        <v>319</v>
      </c>
      <c r="J27" s="194"/>
      <c r="K27" s="194"/>
    </row>
    <row r="28" spans="1:11" s="21" customFormat="1" ht="15" x14ac:dyDescent="0.3">
      <c r="C28" s="196" t="s">
        <v>139</v>
      </c>
      <c r="F28" s="197" t="s">
        <v>269</v>
      </c>
      <c r="J28" s="194"/>
      <c r="K28" s="194"/>
    </row>
    <row r="29" spans="1:11" s="182" customFormat="1" ht="15" x14ac:dyDescent="0.3">
      <c r="C29" s="196"/>
      <c r="J29" s="199"/>
      <c r="K29" s="199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view="pageBreakPreview" topLeftCell="A73" zoomScale="80" zoomScaleNormal="80" zoomScaleSheetLayoutView="80" workbookViewId="0">
      <selection activeCell="I86" sqref="I86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style="477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" x14ac:dyDescent="0.2">
      <c r="A1" s="125" t="s">
        <v>461</v>
      </c>
      <c r="B1" s="126"/>
      <c r="C1" s="126"/>
      <c r="D1" s="126"/>
      <c r="E1" s="126"/>
      <c r="F1" s="126"/>
      <c r="G1" s="453"/>
      <c r="H1" s="126"/>
      <c r="I1" s="126"/>
      <c r="J1" s="126"/>
      <c r="K1" s="69" t="s">
        <v>109</v>
      </c>
    </row>
    <row r="2" spans="1:12" ht="15" x14ac:dyDescent="0.3">
      <c r="A2" s="96" t="s">
        <v>140</v>
      </c>
      <c r="B2" s="126"/>
      <c r="C2" s="126"/>
      <c r="D2" s="126"/>
      <c r="E2" s="126"/>
      <c r="F2" s="126"/>
      <c r="G2" s="453"/>
      <c r="H2" s="126"/>
      <c r="I2" s="126"/>
      <c r="J2" s="126"/>
      <c r="K2" s="628" t="s">
        <v>645</v>
      </c>
      <c r="L2" s="653"/>
    </row>
    <row r="3" spans="1:12" ht="15" x14ac:dyDescent="0.2">
      <c r="A3" s="126"/>
      <c r="B3" s="126"/>
      <c r="C3" s="126"/>
      <c r="D3" s="126"/>
      <c r="E3" s="126"/>
      <c r="F3" s="126"/>
      <c r="G3" s="453"/>
      <c r="H3" s="126"/>
      <c r="I3" s="126"/>
      <c r="J3" s="126"/>
      <c r="K3" s="129"/>
    </row>
    <row r="4" spans="1:12" ht="15" x14ac:dyDescent="0.3">
      <c r="A4" s="67" t="str">
        <f>'[4]ფორმა N2'!A4</f>
        <v>ანგარიშვალდებული პირის დასახელება:</v>
      </c>
      <c r="B4" s="67"/>
      <c r="C4" s="67"/>
      <c r="D4" s="68"/>
      <c r="E4" s="135"/>
      <c r="F4" s="126"/>
      <c r="G4" s="453"/>
      <c r="H4" s="126"/>
      <c r="I4" s="126"/>
      <c r="J4" s="126"/>
      <c r="K4" s="135"/>
    </row>
    <row r="5" spans="1:12" s="171" customFormat="1" ht="15" x14ac:dyDescent="0.3">
      <c r="A5" s="26" t="s">
        <v>644</v>
      </c>
      <c r="B5" s="71"/>
      <c r="C5" s="71"/>
      <c r="D5" s="71"/>
      <c r="E5" s="209"/>
      <c r="F5" s="210"/>
      <c r="G5" s="454"/>
      <c r="H5" s="210"/>
      <c r="I5" s="210"/>
      <c r="J5" s="210"/>
      <c r="K5" s="209"/>
    </row>
    <row r="6" spans="1:12" ht="13.5" x14ac:dyDescent="0.2">
      <c r="A6" s="130"/>
      <c r="B6" s="131"/>
      <c r="C6" s="131"/>
      <c r="D6" s="131"/>
      <c r="E6" s="126"/>
      <c r="F6" s="126"/>
      <c r="G6" s="453"/>
      <c r="H6" s="126"/>
      <c r="I6" s="126"/>
      <c r="J6" s="126"/>
      <c r="K6" s="126"/>
    </row>
    <row r="7" spans="1:12" ht="60" x14ac:dyDescent="0.2">
      <c r="A7" s="455" t="s">
        <v>64</v>
      </c>
      <c r="B7" s="456" t="s">
        <v>381</v>
      </c>
      <c r="C7" s="456" t="s">
        <v>382</v>
      </c>
      <c r="D7" s="456" t="s">
        <v>384</v>
      </c>
      <c r="E7" s="456" t="s">
        <v>383</v>
      </c>
      <c r="F7" s="456" t="s">
        <v>392</v>
      </c>
      <c r="G7" s="457" t="s">
        <v>393</v>
      </c>
      <c r="H7" s="456" t="s">
        <v>387</v>
      </c>
      <c r="I7" s="456" t="s">
        <v>388</v>
      </c>
      <c r="J7" s="456" t="s">
        <v>400</v>
      </c>
      <c r="K7" s="456" t="s">
        <v>389</v>
      </c>
    </row>
    <row r="8" spans="1:12" ht="15" x14ac:dyDescent="0.2">
      <c r="A8" s="458">
        <v>1</v>
      </c>
      <c r="B8" s="458">
        <v>2</v>
      </c>
      <c r="C8" s="456">
        <v>3</v>
      </c>
      <c r="D8" s="458">
        <v>4</v>
      </c>
      <c r="E8" s="456">
        <v>5</v>
      </c>
      <c r="F8" s="458">
        <v>6</v>
      </c>
      <c r="G8" s="457">
        <v>7</v>
      </c>
      <c r="H8" s="458">
        <v>8</v>
      </c>
      <c r="I8" s="456">
        <v>9</v>
      </c>
      <c r="J8" s="458">
        <v>10</v>
      </c>
      <c r="K8" s="456">
        <v>11</v>
      </c>
    </row>
    <row r="9" spans="1:12" ht="30" x14ac:dyDescent="0.2">
      <c r="A9" s="428">
        <v>1</v>
      </c>
      <c r="B9" s="573" t="s">
        <v>704</v>
      </c>
      <c r="C9" s="573" t="s">
        <v>705</v>
      </c>
      <c r="D9" s="573" t="s">
        <v>964</v>
      </c>
      <c r="E9" s="573" t="s">
        <v>706</v>
      </c>
      <c r="F9" s="570">
        <v>4500</v>
      </c>
      <c r="G9" s="462" t="s">
        <v>707</v>
      </c>
      <c r="H9" s="460" t="s">
        <v>708</v>
      </c>
      <c r="I9" s="460" t="s">
        <v>709</v>
      </c>
      <c r="J9" s="607"/>
      <c r="K9" s="608"/>
    </row>
    <row r="10" spans="1:12" ht="30" x14ac:dyDescent="0.2">
      <c r="A10" s="428">
        <v>2</v>
      </c>
      <c r="B10" s="573" t="s">
        <v>704</v>
      </c>
      <c r="C10" s="573" t="s">
        <v>705</v>
      </c>
      <c r="D10" s="573" t="s">
        <v>965</v>
      </c>
      <c r="E10" s="573" t="s">
        <v>706</v>
      </c>
      <c r="F10" s="570">
        <v>4500</v>
      </c>
      <c r="G10" s="462" t="s">
        <v>707</v>
      </c>
      <c r="H10" s="460" t="s">
        <v>708</v>
      </c>
      <c r="I10" s="460" t="s">
        <v>709</v>
      </c>
      <c r="J10" s="607"/>
      <c r="K10" s="608"/>
    </row>
    <row r="11" spans="1:12" ht="54.75" customHeight="1" x14ac:dyDescent="0.2">
      <c r="A11" s="428">
        <v>3</v>
      </c>
      <c r="B11" s="460" t="s">
        <v>704</v>
      </c>
      <c r="C11" s="573" t="s">
        <v>705</v>
      </c>
      <c r="D11" s="573" t="s">
        <v>712</v>
      </c>
      <c r="E11" s="573" t="s">
        <v>706</v>
      </c>
      <c r="F11" s="570">
        <v>4500</v>
      </c>
      <c r="G11" s="462" t="s">
        <v>707</v>
      </c>
      <c r="H11" s="570" t="s">
        <v>708</v>
      </c>
      <c r="I11" s="570" t="s">
        <v>709</v>
      </c>
      <c r="J11" s="573"/>
      <c r="K11" s="573"/>
    </row>
    <row r="12" spans="1:12" ht="54.75" customHeight="1" x14ac:dyDescent="0.2">
      <c r="A12" s="428">
        <v>4</v>
      </c>
      <c r="B12" s="460" t="s">
        <v>704</v>
      </c>
      <c r="C12" s="573" t="s">
        <v>705</v>
      </c>
      <c r="D12" s="573" t="s">
        <v>710</v>
      </c>
      <c r="E12" s="573" t="s">
        <v>706</v>
      </c>
      <c r="F12" s="570">
        <v>3112.88</v>
      </c>
      <c r="G12" s="462" t="s">
        <v>707</v>
      </c>
      <c r="H12" s="570" t="s">
        <v>708</v>
      </c>
      <c r="I12" s="570" t="s">
        <v>709</v>
      </c>
      <c r="J12" s="573"/>
      <c r="K12" s="573"/>
    </row>
    <row r="13" spans="1:12" ht="54.75" customHeight="1" x14ac:dyDescent="0.2">
      <c r="A13" s="428">
        <v>5</v>
      </c>
      <c r="B13" s="573" t="s">
        <v>711</v>
      </c>
      <c r="C13" s="573" t="s">
        <v>705</v>
      </c>
      <c r="D13" s="609" t="s">
        <v>966</v>
      </c>
      <c r="E13" s="573" t="s">
        <v>713</v>
      </c>
      <c r="F13" s="570">
        <v>1250</v>
      </c>
      <c r="G13" s="462" t="s">
        <v>714</v>
      </c>
      <c r="H13" s="460" t="s">
        <v>715</v>
      </c>
      <c r="I13" s="460" t="s">
        <v>716</v>
      </c>
      <c r="J13" s="573"/>
      <c r="K13" s="573"/>
    </row>
    <row r="14" spans="1:12" ht="54.75" customHeight="1" x14ac:dyDescent="0.2">
      <c r="A14" s="428">
        <v>6</v>
      </c>
      <c r="B14" s="573" t="s">
        <v>711</v>
      </c>
      <c r="C14" s="573" t="s">
        <v>705</v>
      </c>
      <c r="D14" s="609" t="s">
        <v>967</v>
      </c>
      <c r="E14" s="573" t="s">
        <v>713</v>
      </c>
      <c r="F14" s="570">
        <v>1250</v>
      </c>
      <c r="G14" s="462" t="s">
        <v>714</v>
      </c>
      <c r="H14" s="460" t="s">
        <v>715</v>
      </c>
      <c r="I14" s="460" t="s">
        <v>716</v>
      </c>
      <c r="J14" s="573"/>
      <c r="K14" s="573"/>
    </row>
    <row r="15" spans="1:12" ht="54.75" customHeight="1" x14ac:dyDescent="0.2">
      <c r="A15" s="428">
        <v>7</v>
      </c>
      <c r="B15" s="460" t="s">
        <v>711</v>
      </c>
      <c r="C15" s="573" t="s">
        <v>705</v>
      </c>
      <c r="D15" s="573" t="s">
        <v>712</v>
      </c>
      <c r="E15" s="573" t="s">
        <v>713</v>
      </c>
      <c r="F15" s="570">
        <v>1250</v>
      </c>
      <c r="G15" s="462" t="s">
        <v>714</v>
      </c>
      <c r="H15" s="570" t="s">
        <v>715</v>
      </c>
      <c r="I15" s="570" t="s">
        <v>716</v>
      </c>
      <c r="J15" s="573"/>
      <c r="K15" s="573"/>
    </row>
    <row r="16" spans="1:12" ht="54.75" customHeight="1" x14ac:dyDescent="0.2">
      <c r="A16" s="428">
        <v>8</v>
      </c>
      <c r="B16" s="573" t="s">
        <v>717</v>
      </c>
      <c r="C16" s="573" t="s">
        <v>705</v>
      </c>
      <c r="D16" s="573" t="s">
        <v>968</v>
      </c>
      <c r="E16" s="573" t="s">
        <v>718</v>
      </c>
      <c r="F16" s="570">
        <v>1250</v>
      </c>
      <c r="G16" s="462" t="s">
        <v>719</v>
      </c>
      <c r="H16" s="460" t="s">
        <v>720</v>
      </c>
      <c r="I16" s="460" t="s">
        <v>721</v>
      </c>
      <c r="J16" s="573"/>
      <c r="K16" s="573"/>
    </row>
    <row r="17" spans="1:11" ht="54.75" customHeight="1" x14ac:dyDescent="0.2">
      <c r="A17" s="428">
        <v>9</v>
      </c>
      <c r="B17" s="460" t="s">
        <v>717</v>
      </c>
      <c r="C17" s="573" t="s">
        <v>705</v>
      </c>
      <c r="D17" s="573" t="s">
        <v>712</v>
      </c>
      <c r="E17" s="573" t="s">
        <v>718</v>
      </c>
      <c r="F17" s="570">
        <v>1250</v>
      </c>
      <c r="G17" s="462" t="s">
        <v>719</v>
      </c>
      <c r="H17" s="570" t="s">
        <v>720</v>
      </c>
      <c r="I17" s="570" t="s">
        <v>721</v>
      </c>
      <c r="J17" s="573"/>
      <c r="K17" s="573"/>
    </row>
    <row r="18" spans="1:11" ht="54.75" customHeight="1" x14ac:dyDescent="0.2">
      <c r="A18" s="428">
        <v>10</v>
      </c>
      <c r="B18" s="610" t="s">
        <v>722</v>
      </c>
      <c r="C18" s="573" t="s">
        <v>705</v>
      </c>
      <c r="D18" s="573" t="s">
        <v>723</v>
      </c>
      <c r="E18" s="573" t="s">
        <v>724</v>
      </c>
      <c r="F18" s="570">
        <v>1000</v>
      </c>
      <c r="G18" s="462" t="s">
        <v>725</v>
      </c>
      <c r="H18" s="570" t="s">
        <v>726</v>
      </c>
      <c r="I18" s="570" t="s">
        <v>727</v>
      </c>
      <c r="J18" s="573"/>
      <c r="K18" s="573"/>
    </row>
    <row r="19" spans="1:11" ht="54.75" customHeight="1" x14ac:dyDescent="0.2">
      <c r="A19" s="428">
        <v>11</v>
      </c>
      <c r="B19" s="573" t="s">
        <v>728</v>
      </c>
      <c r="C19" s="573" t="s">
        <v>705</v>
      </c>
      <c r="D19" s="573" t="s">
        <v>968</v>
      </c>
      <c r="E19" s="573" t="s">
        <v>729</v>
      </c>
      <c r="F19" s="570">
        <v>1250</v>
      </c>
      <c r="G19" s="412" t="s">
        <v>730</v>
      </c>
      <c r="H19" s="573" t="s">
        <v>731</v>
      </c>
      <c r="I19" s="573" t="s">
        <v>732</v>
      </c>
      <c r="J19" s="573"/>
      <c r="K19" s="573"/>
    </row>
    <row r="20" spans="1:11" ht="54.75" customHeight="1" x14ac:dyDescent="0.2">
      <c r="A20" s="428">
        <v>12</v>
      </c>
      <c r="B20" s="460" t="s">
        <v>728</v>
      </c>
      <c r="C20" s="573" t="s">
        <v>705</v>
      </c>
      <c r="D20" s="573" t="s">
        <v>712</v>
      </c>
      <c r="E20" s="573" t="s">
        <v>729</v>
      </c>
      <c r="F20" s="570">
        <v>1250</v>
      </c>
      <c r="G20" s="412" t="s">
        <v>730</v>
      </c>
      <c r="H20" s="570" t="s">
        <v>731</v>
      </c>
      <c r="I20" s="570" t="s">
        <v>732</v>
      </c>
      <c r="J20" s="573"/>
      <c r="K20" s="573"/>
    </row>
    <row r="21" spans="1:11" ht="54.75" customHeight="1" x14ac:dyDescent="0.2">
      <c r="A21" s="428">
        <v>13</v>
      </c>
      <c r="B21" s="573" t="s">
        <v>733</v>
      </c>
      <c r="C21" s="573" t="s">
        <v>705</v>
      </c>
      <c r="D21" s="573" t="s">
        <v>968</v>
      </c>
      <c r="E21" s="573" t="s">
        <v>734</v>
      </c>
      <c r="F21" s="570">
        <v>1100</v>
      </c>
      <c r="G21" s="412">
        <v>62001000692</v>
      </c>
      <c r="H21" s="573" t="s">
        <v>735</v>
      </c>
      <c r="I21" s="573" t="s">
        <v>736</v>
      </c>
      <c r="J21" s="573"/>
      <c r="K21" s="573"/>
    </row>
    <row r="22" spans="1:11" ht="54.75" customHeight="1" x14ac:dyDescent="0.2">
      <c r="A22" s="428">
        <v>14</v>
      </c>
      <c r="B22" s="460" t="s">
        <v>733</v>
      </c>
      <c r="C22" s="573" t="s">
        <v>705</v>
      </c>
      <c r="D22" s="573" t="s">
        <v>712</v>
      </c>
      <c r="E22" s="573" t="s">
        <v>734</v>
      </c>
      <c r="F22" s="570">
        <v>1100</v>
      </c>
      <c r="G22" s="412">
        <v>62001000692</v>
      </c>
      <c r="H22" s="570" t="s">
        <v>735</v>
      </c>
      <c r="I22" s="570" t="s">
        <v>736</v>
      </c>
      <c r="J22" s="573"/>
      <c r="K22" s="573"/>
    </row>
    <row r="23" spans="1:11" ht="54.75" customHeight="1" x14ac:dyDescent="0.2">
      <c r="A23" s="428">
        <v>15</v>
      </c>
      <c r="B23" s="573" t="s">
        <v>737</v>
      </c>
      <c r="C23" s="573" t="s">
        <v>705</v>
      </c>
      <c r="D23" s="573" t="s">
        <v>968</v>
      </c>
      <c r="E23" s="573" t="s">
        <v>738</v>
      </c>
      <c r="F23" s="570">
        <v>625</v>
      </c>
      <c r="G23" s="462">
        <v>19001093579</v>
      </c>
      <c r="H23" s="460" t="s">
        <v>739</v>
      </c>
      <c r="I23" s="460" t="s">
        <v>740</v>
      </c>
      <c r="J23" s="573"/>
      <c r="K23" s="573"/>
    </row>
    <row r="24" spans="1:11" ht="54.75" customHeight="1" x14ac:dyDescent="0.2">
      <c r="A24" s="428">
        <v>16</v>
      </c>
      <c r="B24" s="460" t="s">
        <v>737</v>
      </c>
      <c r="C24" s="573" t="s">
        <v>705</v>
      </c>
      <c r="D24" s="573" t="s">
        <v>712</v>
      </c>
      <c r="E24" s="573" t="s">
        <v>738</v>
      </c>
      <c r="F24" s="570">
        <v>625</v>
      </c>
      <c r="G24" s="462">
        <v>19001093579</v>
      </c>
      <c r="H24" s="570" t="s">
        <v>739</v>
      </c>
      <c r="I24" s="570" t="s">
        <v>740</v>
      </c>
      <c r="J24" s="573"/>
      <c r="K24" s="573"/>
    </row>
    <row r="25" spans="1:11" ht="54.75" customHeight="1" x14ac:dyDescent="0.2">
      <c r="A25" s="428">
        <v>17</v>
      </c>
      <c r="B25" s="573" t="s">
        <v>741</v>
      </c>
      <c r="C25" s="573" t="s">
        <v>705</v>
      </c>
      <c r="D25" s="573" t="s">
        <v>968</v>
      </c>
      <c r="E25" s="573" t="s">
        <v>742</v>
      </c>
      <c r="F25" s="570">
        <v>875</v>
      </c>
      <c r="G25" s="462">
        <v>38001005158</v>
      </c>
      <c r="H25" s="460" t="s">
        <v>743</v>
      </c>
      <c r="I25" s="460" t="s">
        <v>744</v>
      </c>
      <c r="J25" s="573"/>
      <c r="K25" s="573"/>
    </row>
    <row r="26" spans="1:11" ht="30" x14ac:dyDescent="0.2">
      <c r="A26" s="428">
        <v>18</v>
      </c>
      <c r="B26" s="460" t="s">
        <v>741</v>
      </c>
      <c r="C26" s="573" t="s">
        <v>705</v>
      </c>
      <c r="D26" s="573" t="s">
        <v>712</v>
      </c>
      <c r="E26" s="573" t="s">
        <v>742</v>
      </c>
      <c r="F26" s="570">
        <v>875</v>
      </c>
      <c r="G26" s="462">
        <v>38001005158</v>
      </c>
      <c r="H26" s="570" t="s">
        <v>743</v>
      </c>
      <c r="I26" s="570" t="s">
        <v>744</v>
      </c>
      <c r="J26" s="573"/>
      <c r="K26" s="573"/>
    </row>
    <row r="27" spans="1:11" ht="59.25" customHeight="1" x14ac:dyDescent="0.2">
      <c r="A27" s="428">
        <v>19</v>
      </c>
      <c r="B27" s="611" t="s">
        <v>745</v>
      </c>
      <c r="C27" s="573" t="s">
        <v>705</v>
      </c>
      <c r="D27" s="573" t="s">
        <v>968</v>
      </c>
      <c r="E27" s="573" t="s">
        <v>746</v>
      </c>
      <c r="F27" s="570">
        <v>875</v>
      </c>
      <c r="G27" s="462">
        <v>65002011766</v>
      </c>
      <c r="H27" s="460" t="s">
        <v>747</v>
      </c>
      <c r="I27" s="460" t="s">
        <v>748</v>
      </c>
      <c r="J27" s="573"/>
      <c r="K27" s="573"/>
    </row>
    <row r="28" spans="1:11" ht="30" x14ac:dyDescent="0.2">
      <c r="A28" s="428">
        <v>20</v>
      </c>
      <c r="B28" s="612" t="s">
        <v>745</v>
      </c>
      <c r="C28" s="573" t="s">
        <v>705</v>
      </c>
      <c r="D28" s="573" t="s">
        <v>712</v>
      </c>
      <c r="E28" s="573" t="s">
        <v>746</v>
      </c>
      <c r="F28" s="570">
        <v>875</v>
      </c>
      <c r="G28" s="462">
        <v>65002011766</v>
      </c>
      <c r="H28" s="570" t="s">
        <v>747</v>
      </c>
      <c r="I28" s="570" t="s">
        <v>748</v>
      </c>
      <c r="J28" s="573"/>
      <c r="K28" s="573"/>
    </row>
    <row r="29" spans="1:11" ht="30" x14ac:dyDescent="0.2">
      <c r="A29" s="428">
        <v>21</v>
      </c>
      <c r="B29" s="573" t="s">
        <v>749</v>
      </c>
      <c r="C29" s="573" t="s">
        <v>705</v>
      </c>
      <c r="D29" s="573" t="s">
        <v>968</v>
      </c>
      <c r="E29" s="573" t="s">
        <v>750</v>
      </c>
      <c r="F29" s="570">
        <v>1125</v>
      </c>
      <c r="G29" s="462">
        <v>1019068214</v>
      </c>
      <c r="H29" s="460" t="s">
        <v>752</v>
      </c>
      <c r="I29" s="460" t="s">
        <v>753</v>
      </c>
      <c r="J29" s="573"/>
      <c r="K29" s="573"/>
    </row>
    <row r="30" spans="1:11" ht="30" x14ac:dyDescent="0.2">
      <c r="A30" s="428">
        <v>22</v>
      </c>
      <c r="B30" s="460" t="s">
        <v>749</v>
      </c>
      <c r="C30" s="573" t="s">
        <v>705</v>
      </c>
      <c r="D30" s="573" t="s">
        <v>712</v>
      </c>
      <c r="E30" s="573" t="s">
        <v>750</v>
      </c>
      <c r="F30" s="570">
        <v>1125</v>
      </c>
      <c r="G30" s="462" t="s">
        <v>751</v>
      </c>
      <c r="H30" s="570" t="s">
        <v>752</v>
      </c>
      <c r="I30" s="570" t="s">
        <v>753</v>
      </c>
      <c r="J30" s="573"/>
      <c r="K30" s="573"/>
    </row>
    <row r="31" spans="1:11" ht="56.25" customHeight="1" x14ac:dyDescent="0.2">
      <c r="A31" s="428">
        <v>23</v>
      </c>
      <c r="B31" s="573" t="s">
        <v>754</v>
      </c>
      <c r="C31" s="573" t="s">
        <v>705</v>
      </c>
      <c r="D31" s="573" t="s">
        <v>968</v>
      </c>
      <c r="E31" s="573" t="s">
        <v>755</v>
      </c>
      <c r="F31" s="570">
        <v>1333.97</v>
      </c>
      <c r="G31" s="462" t="s">
        <v>756</v>
      </c>
      <c r="H31" s="460" t="s">
        <v>757</v>
      </c>
      <c r="I31" s="460" t="s">
        <v>758</v>
      </c>
      <c r="J31" s="573"/>
      <c r="K31" s="573"/>
    </row>
    <row r="32" spans="1:11" ht="30" x14ac:dyDescent="0.2">
      <c r="A32" s="428">
        <v>24</v>
      </c>
      <c r="B32" s="460" t="s">
        <v>754</v>
      </c>
      <c r="C32" s="573" t="s">
        <v>705</v>
      </c>
      <c r="D32" s="573" t="s">
        <v>712</v>
      </c>
      <c r="E32" s="573" t="s">
        <v>755</v>
      </c>
      <c r="F32" s="570">
        <v>1285.54</v>
      </c>
      <c r="G32" s="462" t="s">
        <v>756</v>
      </c>
      <c r="H32" s="570" t="s">
        <v>757</v>
      </c>
      <c r="I32" s="570" t="s">
        <v>758</v>
      </c>
      <c r="J32" s="573"/>
      <c r="K32" s="573"/>
    </row>
    <row r="33" spans="1:11" ht="30" x14ac:dyDescent="0.2">
      <c r="A33" s="428">
        <v>25</v>
      </c>
      <c r="B33" s="613" t="s">
        <v>759</v>
      </c>
      <c r="C33" s="573" t="s">
        <v>705</v>
      </c>
      <c r="D33" s="573" t="s">
        <v>968</v>
      </c>
      <c r="E33" s="573" t="s">
        <v>760</v>
      </c>
      <c r="F33" s="570">
        <v>312.5</v>
      </c>
      <c r="G33" s="462">
        <v>61010002637</v>
      </c>
      <c r="H33" s="460" t="s">
        <v>761</v>
      </c>
      <c r="I33" s="460" t="s">
        <v>762</v>
      </c>
      <c r="J33" s="573"/>
      <c r="K33" s="573"/>
    </row>
    <row r="34" spans="1:11" ht="30" x14ac:dyDescent="0.2">
      <c r="A34" s="428">
        <v>26</v>
      </c>
      <c r="B34" s="613" t="s">
        <v>759</v>
      </c>
      <c r="C34" s="573" t="s">
        <v>705</v>
      </c>
      <c r="D34" s="573" t="s">
        <v>712</v>
      </c>
      <c r="E34" s="573" t="s">
        <v>760</v>
      </c>
      <c r="F34" s="570">
        <v>312.5</v>
      </c>
      <c r="G34" s="462">
        <v>61010002637</v>
      </c>
      <c r="H34" s="570" t="s">
        <v>761</v>
      </c>
      <c r="I34" s="570" t="s">
        <v>762</v>
      </c>
      <c r="J34" s="573"/>
      <c r="K34" s="573"/>
    </row>
    <row r="35" spans="1:11" ht="30" x14ac:dyDescent="0.2">
      <c r="A35" s="428">
        <v>27</v>
      </c>
      <c r="B35" s="614" t="s">
        <v>763</v>
      </c>
      <c r="C35" s="573" t="s">
        <v>705</v>
      </c>
      <c r="D35" s="573" t="s">
        <v>968</v>
      </c>
      <c r="E35" s="573" t="s">
        <v>764</v>
      </c>
      <c r="F35" s="570">
        <v>375</v>
      </c>
      <c r="G35" s="412">
        <v>61001003068</v>
      </c>
      <c r="H35" s="460" t="s">
        <v>765</v>
      </c>
      <c r="I35" s="460" t="s">
        <v>766</v>
      </c>
      <c r="J35" s="573"/>
      <c r="K35" s="573"/>
    </row>
    <row r="36" spans="1:11" ht="30" x14ac:dyDescent="0.2">
      <c r="A36" s="428">
        <v>28</v>
      </c>
      <c r="B36" s="571" t="s">
        <v>763</v>
      </c>
      <c r="C36" s="573" t="s">
        <v>705</v>
      </c>
      <c r="D36" s="573" t="s">
        <v>712</v>
      </c>
      <c r="E36" s="573" t="s">
        <v>764</v>
      </c>
      <c r="F36" s="570">
        <v>375</v>
      </c>
      <c r="G36" s="412">
        <v>61001003068</v>
      </c>
      <c r="H36" s="570" t="s">
        <v>765</v>
      </c>
      <c r="I36" s="570" t="s">
        <v>766</v>
      </c>
      <c r="J36" s="573"/>
      <c r="K36" s="573"/>
    </row>
    <row r="37" spans="1:11" ht="30" x14ac:dyDescent="0.2">
      <c r="A37" s="428">
        <v>29</v>
      </c>
      <c r="B37" s="614" t="s">
        <v>767</v>
      </c>
      <c r="C37" s="573" t="s">
        <v>705</v>
      </c>
      <c r="D37" s="573" t="s">
        <v>968</v>
      </c>
      <c r="E37" s="573" t="s">
        <v>768</v>
      </c>
      <c r="F37" s="570">
        <v>250</v>
      </c>
      <c r="G37" s="412" t="s">
        <v>769</v>
      </c>
      <c r="H37" s="460" t="s">
        <v>770</v>
      </c>
      <c r="I37" s="460" t="s">
        <v>771</v>
      </c>
      <c r="J37" s="573"/>
      <c r="K37" s="573"/>
    </row>
    <row r="38" spans="1:11" ht="30" x14ac:dyDescent="0.2">
      <c r="A38" s="428">
        <v>30</v>
      </c>
      <c r="B38" s="571" t="s">
        <v>767</v>
      </c>
      <c r="C38" s="573" t="s">
        <v>705</v>
      </c>
      <c r="D38" s="573" t="s">
        <v>712</v>
      </c>
      <c r="E38" s="573" t="s">
        <v>768</v>
      </c>
      <c r="F38" s="570">
        <v>250</v>
      </c>
      <c r="G38" s="412" t="s">
        <v>769</v>
      </c>
      <c r="H38" s="570" t="s">
        <v>770</v>
      </c>
      <c r="I38" s="570" t="s">
        <v>771</v>
      </c>
      <c r="J38" s="573"/>
      <c r="K38" s="573"/>
    </row>
    <row r="39" spans="1:11" ht="67.5" customHeight="1" x14ac:dyDescent="0.2">
      <c r="A39" s="428">
        <v>31</v>
      </c>
      <c r="B39" s="614" t="s">
        <v>973</v>
      </c>
      <c r="C39" s="573" t="s">
        <v>705</v>
      </c>
      <c r="D39" s="573" t="s">
        <v>974</v>
      </c>
      <c r="E39" s="573" t="s">
        <v>969</v>
      </c>
      <c r="F39" s="570">
        <v>500</v>
      </c>
      <c r="G39" s="412" t="s">
        <v>970</v>
      </c>
      <c r="H39" s="460" t="s">
        <v>971</v>
      </c>
      <c r="I39" s="460" t="s">
        <v>972</v>
      </c>
      <c r="J39" s="573"/>
      <c r="K39" s="573"/>
    </row>
    <row r="40" spans="1:11" ht="30" x14ac:dyDescent="0.2">
      <c r="A40" s="428">
        <v>32</v>
      </c>
      <c r="B40" s="571" t="s">
        <v>772</v>
      </c>
      <c r="C40" s="573" t="s">
        <v>705</v>
      </c>
      <c r="D40" s="573" t="s">
        <v>773</v>
      </c>
      <c r="E40" s="573" t="s">
        <v>774</v>
      </c>
      <c r="F40" s="570">
        <v>350</v>
      </c>
      <c r="G40" s="412" t="s">
        <v>775</v>
      </c>
      <c r="H40" s="570" t="s">
        <v>776</v>
      </c>
      <c r="I40" s="570" t="s">
        <v>777</v>
      </c>
      <c r="J40" s="573"/>
      <c r="K40" s="573"/>
    </row>
    <row r="41" spans="1:11" ht="30" x14ac:dyDescent="0.2">
      <c r="A41" s="428">
        <v>33</v>
      </c>
      <c r="B41" s="615" t="s">
        <v>778</v>
      </c>
      <c r="C41" s="573" t="s">
        <v>705</v>
      </c>
      <c r="D41" s="573" t="s">
        <v>779</v>
      </c>
      <c r="E41" s="460" t="s">
        <v>780</v>
      </c>
      <c r="F41" s="570">
        <v>89.1</v>
      </c>
      <c r="G41" s="410"/>
      <c r="H41" s="616"/>
      <c r="I41" s="570"/>
      <c r="J41" s="504">
        <v>227765022</v>
      </c>
      <c r="K41" s="570" t="s">
        <v>781</v>
      </c>
    </row>
    <row r="42" spans="1:11" ht="30" x14ac:dyDescent="0.2">
      <c r="A42" s="428">
        <v>34</v>
      </c>
      <c r="B42" s="464" t="s">
        <v>782</v>
      </c>
      <c r="C42" s="573" t="s">
        <v>705</v>
      </c>
      <c r="D42" s="465" t="s">
        <v>783</v>
      </c>
      <c r="E42" s="460" t="s">
        <v>746</v>
      </c>
      <c r="F42" s="570">
        <v>250</v>
      </c>
      <c r="G42" s="466" t="s">
        <v>784</v>
      </c>
      <c r="H42" s="467" t="s">
        <v>785</v>
      </c>
      <c r="I42" s="467" t="s">
        <v>786</v>
      </c>
      <c r="J42" s="570"/>
      <c r="K42" s="570"/>
    </row>
    <row r="43" spans="1:11" ht="30" x14ac:dyDescent="0.2">
      <c r="A43" s="428">
        <v>35</v>
      </c>
      <c r="B43" s="464" t="s">
        <v>782</v>
      </c>
      <c r="C43" s="573" t="s">
        <v>705</v>
      </c>
      <c r="D43" s="465" t="s">
        <v>787</v>
      </c>
      <c r="E43" s="460" t="s">
        <v>788</v>
      </c>
      <c r="F43" s="570">
        <v>350</v>
      </c>
      <c r="G43" s="466" t="s">
        <v>784</v>
      </c>
      <c r="H43" s="467" t="s">
        <v>785</v>
      </c>
      <c r="I43" s="467" t="s">
        <v>786</v>
      </c>
      <c r="J43" s="570"/>
      <c r="K43" s="570"/>
    </row>
    <row r="44" spans="1:11" ht="30" x14ac:dyDescent="0.2">
      <c r="A44" s="428">
        <v>36</v>
      </c>
      <c r="B44" s="571" t="s">
        <v>789</v>
      </c>
      <c r="C44" s="573" t="s">
        <v>705</v>
      </c>
      <c r="D44" s="573" t="s">
        <v>790</v>
      </c>
      <c r="E44" s="573" t="s">
        <v>791</v>
      </c>
      <c r="F44" s="570">
        <v>600</v>
      </c>
      <c r="G44" s="462"/>
      <c r="H44" s="570"/>
      <c r="I44" s="570"/>
      <c r="J44" s="570">
        <v>231171166</v>
      </c>
      <c r="K44" s="570" t="s">
        <v>792</v>
      </c>
    </row>
    <row r="45" spans="1:11" ht="30" x14ac:dyDescent="0.2">
      <c r="A45" s="428">
        <v>37</v>
      </c>
      <c r="B45" s="571" t="s">
        <v>793</v>
      </c>
      <c r="C45" s="573" t="s">
        <v>705</v>
      </c>
      <c r="D45" s="573" t="s">
        <v>794</v>
      </c>
      <c r="E45" s="573" t="s">
        <v>795</v>
      </c>
      <c r="F45" s="570">
        <v>625</v>
      </c>
      <c r="G45" s="462">
        <v>59001020545</v>
      </c>
      <c r="H45" s="570" t="s">
        <v>796</v>
      </c>
      <c r="I45" s="570" t="s">
        <v>797</v>
      </c>
      <c r="J45" s="570"/>
      <c r="K45" s="570"/>
    </row>
    <row r="46" spans="1:11" ht="30" x14ac:dyDescent="0.2">
      <c r="A46" s="428">
        <v>38</v>
      </c>
      <c r="B46" s="571" t="s">
        <v>798</v>
      </c>
      <c r="C46" s="573" t="s">
        <v>705</v>
      </c>
      <c r="D46" s="573" t="s">
        <v>799</v>
      </c>
      <c r="E46" s="573" t="s">
        <v>755</v>
      </c>
      <c r="F46" s="570">
        <v>625</v>
      </c>
      <c r="G46" s="462">
        <v>61006061728</v>
      </c>
      <c r="H46" s="570" t="s">
        <v>800</v>
      </c>
      <c r="I46" s="570" t="s">
        <v>801</v>
      </c>
      <c r="J46" s="570"/>
      <c r="K46" s="570"/>
    </row>
    <row r="47" spans="1:11" ht="30" x14ac:dyDescent="0.2">
      <c r="A47" s="428">
        <v>39</v>
      </c>
      <c r="B47" s="571" t="s">
        <v>802</v>
      </c>
      <c r="C47" s="573" t="s">
        <v>705</v>
      </c>
      <c r="D47" s="573" t="s">
        <v>794</v>
      </c>
      <c r="E47" s="573" t="s">
        <v>803</v>
      </c>
      <c r="F47" s="570">
        <v>1000</v>
      </c>
      <c r="G47" s="462">
        <v>61001004373</v>
      </c>
      <c r="H47" s="570" t="s">
        <v>804</v>
      </c>
      <c r="I47" s="570" t="s">
        <v>805</v>
      </c>
      <c r="J47" s="570"/>
      <c r="K47" s="570"/>
    </row>
    <row r="48" spans="1:11" ht="15" x14ac:dyDescent="0.2">
      <c r="A48" s="654">
        <v>40</v>
      </c>
      <c r="B48" s="656" t="s">
        <v>806</v>
      </c>
      <c r="C48" s="658" t="s">
        <v>705</v>
      </c>
      <c r="D48" s="658" t="s">
        <v>807</v>
      </c>
      <c r="E48" s="658" t="s">
        <v>808</v>
      </c>
      <c r="F48" s="654">
        <v>1145.7</v>
      </c>
      <c r="G48" s="462" t="s">
        <v>809</v>
      </c>
      <c r="H48" s="570" t="s">
        <v>810</v>
      </c>
      <c r="I48" s="570" t="s">
        <v>811</v>
      </c>
      <c r="J48" s="570"/>
      <c r="K48" s="570"/>
    </row>
    <row r="49" spans="1:11" ht="24" customHeight="1" x14ac:dyDescent="0.2">
      <c r="A49" s="655"/>
      <c r="B49" s="657"/>
      <c r="C49" s="659"/>
      <c r="D49" s="659"/>
      <c r="E49" s="659"/>
      <c r="F49" s="655"/>
      <c r="G49" s="462" t="s">
        <v>812</v>
      </c>
      <c r="H49" s="570" t="s">
        <v>747</v>
      </c>
      <c r="I49" s="570" t="s">
        <v>811</v>
      </c>
      <c r="J49" s="570"/>
      <c r="K49" s="570"/>
    </row>
    <row r="50" spans="1:11" ht="30" x14ac:dyDescent="0.2">
      <c r="A50" s="459">
        <v>41</v>
      </c>
      <c r="B50" s="571" t="s">
        <v>813</v>
      </c>
      <c r="C50" s="573" t="s">
        <v>705</v>
      </c>
      <c r="D50" s="573" t="s">
        <v>807</v>
      </c>
      <c r="E50" s="573" t="s">
        <v>814</v>
      </c>
      <c r="F50" s="570">
        <v>1599.92</v>
      </c>
      <c r="G50" s="462">
        <v>18001016365</v>
      </c>
      <c r="H50" s="570" t="s">
        <v>815</v>
      </c>
      <c r="I50" s="570" t="s">
        <v>816</v>
      </c>
      <c r="J50" s="570"/>
      <c r="K50" s="570"/>
    </row>
    <row r="51" spans="1:11" ht="30" x14ac:dyDescent="0.2">
      <c r="A51" s="654">
        <v>42</v>
      </c>
      <c r="B51" s="571" t="s">
        <v>817</v>
      </c>
      <c r="C51" s="573" t="s">
        <v>705</v>
      </c>
      <c r="D51" s="573" t="s">
        <v>818</v>
      </c>
      <c r="E51" s="573" t="s">
        <v>819</v>
      </c>
      <c r="F51" s="570">
        <v>687.5</v>
      </c>
      <c r="G51" s="462">
        <v>61006067166</v>
      </c>
      <c r="H51" s="570" t="s">
        <v>820</v>
      </c>
      <c r="I51" s="570" t="s">
        <v>801</v>
      </c>
      <c r="J51" s="570"/>
      <c r="K51" s="570"/>
    </row>
    <row r="52" spans="1:11" ht="30" x14ac:dyDescent="0.2">
      <c r="A52" s="655"/>
      <c r="B52" s="571" t="s">
        <v>821</v>
      </c>
      <c r="C52" s="573" t="s">
        <v>705</v>
      </c>
      <c r="D52" s="573" t="s">
        <v>807</v>
      </c>
      <c r="E52" s="573" t="s">
        <v>822</v>
      </c>
      <c r="F52" s="570">
        <v>600</v>
      </c>
      <c r="G52" s="462">
        <v>45001018275</v>
      </c>
      <c r="H52" s="570" t="s">
        <v>823</v>
      </c>
      <c r="I52" s="570" t="s">
        <v>824</v>
      </c>
      <c r="J52" s="570"/>
      <c r="K52" s="570"/>
    </row>
    <row r="53" spans="1:11" ht="30" x14ac:dyDescent="0.2">
      <c r="A53" s="459">
        <v>43</v>
      </c>
      <c r="B53" s="571" t="s">
        <v>825</v>
      </c>
      <c r="C53" s="573" t="s">
        <v>705</v>
      </c>
      <c r="D53" s="573" t="s">
        <v>818</v>
      </c>
      <c r="E53" s="573" t="s">
        <v>819</v>
      </c>
      <c r="F53" s="570">
        <v>100</v>
      </c>
      <c r="G53" s="462">
        <v>42001031460</v>
      </c>
      <c r="H53" s="570" t="s">
        <v>715</v>
      </c>
      <c r="I53" s="570" t="s">
        <v>826</v>
      </c>
      <c r="J53" s="570"/>
      <c r="K53" s="570"/>
    </row>
    <row r="54" spans="1:11" ht="30" x14ac:dyDescent="0.2">
      <c r="A54" s="654">
        <v>44</v>
      </c>
      <c r="B54" s="571" t="s">
        <v>827</v>
      </c>
      <c r="C54" s="573" t="s">
        <v>705</v>
      </c>
      <c r="D54" s="573" t="s">
        <v>807</v>
      </c>
      <c r="E54" s="573" t="s">
        <v>828</v>
      </c>
      <c r="F54" s="570">
        <v>100</v>
      </c>
      <c r="G54" s="462">
        <v>26001006115</v>
      </c>
      <c r="H54" s="570" t="s">
        <v>829</v>
      </c>
      <c r="I54" s="570" t="s">
        <v>830</v>
      </c>
      <c r="J54" s="570"/>
      <c r="K54" s="570"/>
    </row>
    <row r="55" spans="1:11" ht="30" x14ac:dyDescent="0.2">
      <c r="A55" s="655"/>
      <c r="B55" s="571" t="s">
        <v>831</v>
      </c>
      <c r="C55" s="573" t="s">
        <v>705</v>
      </c>
      <c r="D55" s="573" t="s">
        <v>832</v>
      </c>
      <c r="E55" s="573" t="s">
        <v>833</v>
      </c>
      <c r="F55" s="570">
        <v>700</v>
      </c>
      <c r="G55" s="462">
        <v>42001016472</v>
      </c>
      <c r="H55" s="570" t="s">
        <v>834</v>
      </c>
      <c r="I55" s="570" t="s">
        <v>835</v>
      </c>
      <c r="J55" s="570"/>
      <c r="K55" s="570"/>
    </row>
    <row r="56" spans="1:11" ht="51" x14ac:dyDescent="0.2">
      <c r="A56" s="459">
        <v>45</v>
      </c>
      <c r="B56" s="571" t="s">
        <v>836</v>
      </c>
      <c r="C56" s="573" t="s">
        <v>705</v>
      </c>
      <c r="D56" s="573" t="s">
        <v>832</v>
      </c>
      <c r="E56" s="573" t="s">
        <v>837</v>
      </c>
      <c r="F56" s="570">
        <v>200</v>
      </c>
      <c r="G56" s="462"/>
      <c r="H56" s="570" t="s">
        <v>838</v>
      </c>
      <c r="I56" s="570" t="s">
        <v>839</v>
      </c>
      <c r="J56" s="468">
        <v>215080105</v>
      </c>
      <c r="K56" s="401" t="s">
        <v>531</v>
      </c>
    </row>
    <row r="57" spans="1:11" ht="30" x14ac:dyDescent="0.2">
      <c r="A57" s="459">
        <v>46</v>
      </c>
      <c r="B57" s="571" t="s">
        <v>840</v>
      </c>
      <c r="C57" s="573" t="s">
        <v>705</v>
      </c>
      <c r="D57" s="573" t="s">
        <v>841</v>
      </c>
      <c r="E57" s="573" t="s">
        <v>842</v>
      </c>
      <c r="F57" s="570">
        <v>350</v>
      </c>
      <c r="G57" s="462">
        <v>35001094054</v>
      </c>
      <c r="H57" s="570" t="s">
        <v>843</v>
      </c>
      <c r="I57" s="570" t="s">
        <v>844</v>
      </c>
      <c r="J57" s="570"/>
      <c r="K57" s="570"/>
    </row>
    <row r="58" spans="1:11" ht="30" x14ac:dyDescent="0.2">
      <c r="A58" s="459">
        <v>47</v>
      </c>
      <c r="B58" s="571" t="s">
        <v>845</v>
      </c>
      <c r="C58" s="573" t="s">
        <v>705</v>
      </c>
      <c r="D58" s="573" t="s">
        <v>846</v>
      </c>
      <c r="E58" s="573" t="s">
        <v>847</v>
      </c>
      <c r="F58" s="570">
        <v>343.98</v>
      </c>
      <c r="G58" s="462">
        <v>61003004479</v>
      </c>
      <c r="H58" s="570" t="s">
        <v>848</v>
      </c>
      <c r="I58" s="570" t="s">
        <v>849</v>
      </c>
      <c r="J58" s="570"/>
      <c r="K58" s="570"/>
    </row>
    <row r="59" spans="1:11" ht="30" x14ac:dyDescent="0.2">
      <c r="A59" s="459">
        <v>48</v>
      </c>
      <c r="B59" s="571" t="s">
        <v>850</v>
      </c>
      <c r="C59" s="573" t="s">
        <v>705</v>
      </c>
      <c r="D59" s="573" t="s">
        <v>851</v>
      </c>
      <c r="E59" s="573" t="s">
        <v>852</v>
      </c>
      <c r="F59" s="570">
        <v>500</v>
      </c>
      <c r="G59" s="462">
        <v>40001021236</v>
      </c>
      <c r="H59" s="570" t="s">
        <v>853</v>
      </c>
      <c r="I59" s="570" t="s">
        <v>854</v>
      </c>
      <c r="J59" s="570"/>
      <c r="K59" s="570"/>
    </row>
    <row r="60" spans="1:11" ht="30" x14ac:dyDescent="0.2">
      <c r="A60" s="459">
        <v>49</v>
      </c>
      <c r="B60" s="571" t="s">
        <v>855</v>
      </c>
      <c r="C60" s="573" t="s">
        <v>705</v>
      </c>
      <c r="D60" s="573" t="s">
        <v>856</v>
      </c>
      <c r="E60" s="573" t="s">
        <v>857</v>
      </c>
      <c r="F60" s="570">
        <v>400</v>
      </c>
      <c r="G60" s="462">
        <v>39001006814</v>
      </c>
      <c r="H60" s="570" t="s">
        <v>858</v>
      </c>
      <c r="I60" s="570" t="s">
        <v>859</v>
      </c>
      <c r="J60" s="570">
        <v>239861930</v>
      </c>
      <c r="K60" s="570" t="s">
        <v>860</v>
      </c>
    </row>
    <row r="61" spans="1:11" ht="30" x14ac:dyDescent="0.2">
      <c r="A61" s="459">
        <v>50</v>
      </c>
      <c r="B61" s="571" t="s">
        <v>861</v>
      </c>
      <c r="C61" s="573" t="s">
        <v>705</v>
      </c>
      <c r="D61" s="573" t="s">
        <v>851</v>
      </c>
      <c r="E61" s="573" t="s">
        <v>862</v>
      </c>
      <c r="F61" s="570">
        <v>1125</v>
      </c>
      <c r="G61" s="462">
        <v>60001029539</v>
      </c>
      <c r="H61" s="570" t="s">
        <v>863</v>
      </c>
      <c r="I61" s="570" t="s">
        <v>864</v>
      </c>
      <c r="J61" s="570"/>
      <c r="K61" s="570"/>
    </row>
    <row r="62" spans="1:11" ht="26.25" customHeight="1" x14ac:dyDescent="0.2">
      <c r="A62" s="654">
        <v>51</v>
      </c>
      <c r="B62" s="656" t="s">
        <v>865</v>
      </c>
      <c r="C62" s="658" t="s">
        <v>705</v>
      </c>
      <c r="D62" s="658" t="s">
        <v>866</v>
      </c>
      <c r="E62" s="658" t="s">
        <v>867</v>
      </c>
      <c r="F62" s="654">
        <v>625</v>
      </c>
      <c r="G62" s="462">
        <v>48001005826</v>
      </c>
      <c r="H62" s="570" t="s">
        <v>868</v>
      </c>
      <c r="I62" s="570" t="s">
        <v>869</v>
      </c>
      <c r="J62" s="570"/>
      <c r="K62" s="570"/>
    </row>
    <row r="63" spans="1:11" ht="26.25" customHeight="1" x14ac:dyDescent="0.2">
      <c r="A63" s="655"/>
      <c r="B63" s="657"/>
      <c r="C63" s="659"/>
      <c r="D63" s="659"/>
      <c r="E63" s="659"/>
      <c r="F63" s="655"/>
      <c r="G63" s="462">
        <v>48001014175</v>
      </c>
      <c r="H63" s="570" t="s">
        <v>870</v>
      </c>
      <c r="I63" s="570" t="s">
        <v>871</v>
      </c>
      <c r="J63" s="570"/>
      <c r="K63" s="570"/>
    </row>
    <row r="64" spans="1:11" ht="26.25" customHeight="1" x14ac:dyDescent="0.2">
      <c r="A64" s="654">
        <v>52</v>
      </c>
      <c r="B64" s="656" t="s">
        <v>872</v>
      </c>
      <c r="C64" s="658" t="s">
        <v>705</v>
      </c>
      <c r="D64" s="658" t="s">
        <v>846</v>
      </c>
      <c r="E64" s="658" t="s">
        <v>873</v>
      </c>
      <c r="F64" s="654">
        <v>400</v>
      </c>
      <c r="G64" s="462">
        <v>7001010338</v>
      </c>
      <c r="H64" s="570" t="s">
        <v>874</v>
      </c>
      <c r="I64" s="570" t="s">
        <v>875</v>
      </c>
      <c r="J64" s="570"/>
      <c r="K64" s="570"/>
    </row>
    <row r="65" spans="1:11" ht="26.25" customHeight="1" x14ac:dyDescent="0.2">
      <c r="A65" s="655"/>
      <c r="B65" s="657"/>
      <c r="C65" s="659"/>
      <c r="D65" s="659"/>
      <c r="E65" s="659"/>
      <c r="F65" s="655"/>
      <c r="G65" s="462">
        <v>7001017168</v>
      </c>
      <c r="H65" s="570" t="s">
        <v>876</v>
      </c>
      <c r="I65" s="570" t="s">
        <v>877</v>
      </c>
      <c r="J65" s="570"/>
      <c r="K65" s="570"/>
    </row>
    <row r="66" spans="1:11" ht="30" x14ac:dyDescent="0.2">
      <c r="A66" s="459">
        <v>53</v>
      </c>
      <c r="B66" s="571" t="s">
        <v>878</v>
      </c>
      <c r="C66" s="573" t="s">
        <v>705</v>
      </c>
      <c r="D66" s="573" t="s">
        <v>879</v>
      </c>
      <c r="E66" s="573" t="s">
        <v>880</v>
      </c>
      <c r="F66" s="570">
        <v>1250</v>
      </c>
      <c r="G66" s="462" t="s">
        <v>881</v>
      </c>
      <c r="H66" s="570" t="s">
        <v>882</v>
      </c>
      <c r="I66" s="570" t="s">
        <v>883</v>
      </c>
      <c r="J66" s="570"/>
      <c r="K66" s="570"/>
    </row>
    <row r="67" spans="1:11" ht="30" x14ac:dyDescent="0.2">
      <c r="A67" s="459">
        <v>54</v>
      </c>
      <c r="B67" s="571" t="s">
        <v>884</v>
      </c>
      <c r="C67" s="573" t="s">
        <v>705</v>
      </c>
      <c r="D67" s="573" t="s">
        <v>885</v>
      </c>
      <c r="E67" s="573" t="s">
        <v>862</v>
      </c>
      <c r="F67" s="570">
        <v>500</v>
      </c>
      <c r="G67" s="462">
        <v>53001031149</v>
      </c>
      <c r="H67" s="570" t="s">
        <v>886</v>
      </c>
      <c r="I67" s="570" t="s">
        <v>887</v>
      </c>
      <c r="J67" s="570"/>
      <c r="K67" s="570"/>
    </row>
    <row r="68" spans="1:11" ht="30" x14ac:dyDescent="0.2">
      <c r="A68" s="459">
        <v>55</v>
      </c>
      <c r="B68" s="571" t="s">
        <v>888</v>
      </c>
      <c r="C68" s="573" t="s">
        <v>705</v>
      </c>
      <c r="D68" s="573" t="s">
        <v>889</v>
      </c>
      <c r="E68" s="573" t="s">
        <v>890</v>
      </c>
      <c r="F68" s="570">
        <v>1125</v>
      </c>
      <c r="G68" s="462" t="s">
        <v>891</v>
      </c>
      <c r="H68" s="570" t="s">
        <v>892</v>
      </c>
      <c r="I68" s="570" t="s">
        <v>893</v>
      </c>
      <c r="J68" s="570">
        <v>201953341</v>
      </c>
      <c r="K68" s="570" t="s">
        <v>894</v>
      </c>
    </row>
    <row r="69" spans="1:11" ht="30" x14ac:dyDescent="0.2">
      <c r="A69" s="459">
        <v>56</v>
      </c>
      <c r="B69" s="571" t="s">
        <v>895</v>
      </c>
      <c r="C69" s="573" t="s">
        <v>705</v>
      </c>
      <c r="D69" s="573" t="s">
        <v>896</v>
      </c>
      <c r="E69" s="573" t="s">
        <v>897</v>
      </c>
      <c r="F69" s="570">
        <v>550</v>
      </c>
      <c r="G69" s="462" t="s">
        <v>898</v>
      </c>
      <c r="H69" s="570" t="s">
        <v>899</v>
      </c>
      <c r="I69" s="570" t="s">
        <v>900</v>
      </c>
      <c r="J69" s="570"/>
      <c r="K69" s="570"/>
    </row>
    <row r="70" spans="1:11" ht="30" x14ac:dyDescent="0.2">
      <c r="A70" s="459">
        <v>57</v>
      </c>
      <c r="B70" s="571" t="s">
        <v>901</v>
      </c>
      <c r="C70" s="573" t="s">
        <v>705</v>
      </c>
      <c r="D70" s="573" t="s">
        <v>885</v>
      </c>
      <c r="E70" s="573" t="s">
        <v>902</v>
      </c>
      <c r="F70" s="570">
        <v>600</v>
      </c>
      <c r="G70" s="462" t="s">
        <v>541</v>
      </c>
      <c r="H70" s="570" t="s">
        <v>903</v>
      </c>
      <c r="I70" s="570" t="s">
        <v>904</v>
      </c>
      <c r="J70" s="570"/>
      <c r="K70" s="570"/>
    </row>
    <row r="71" spans="1:11" ht="30" x14ac:dyDescent="0.2">
      <c r="A71" s="459">
        <v>58</v>
      </c>
      <c r="B71" s="571" t="s">
        <v>905</v>
      </c>
      <c r="C71" s="573" t="s">
        <v>705</v>
      </c>
      <c r="D71" s="573" t="s">
        <v>896</v>
      </c>
      <c r="E71" s="573" t="s">
        <v>906</v>
      </c>
      <c r="F71" s="570">
        <v>500</v>
      </c>
      <c r="G71" s="462" t="s">
        <v>907</v>
      </c>
      <c r="H71" s="570" t="s">
        <v>908</v>
      </c>
      <c r="I71" s="570" t="s">
        <v>909</v>
      </c>
      <c r="J71" s="570"/>
      <c r="K71" s="570"/>
    </row>
    <row r="72" spans="1:11" ht="30" x14ac:dyDescent="0.2">
      <c r="A72" s="459">
        <v>59</v>
      </c>
      <c r="B72" s="571" t="s">
        <v>910</v>
      </c>
      <c r="C72" s="573" t="s">
        <v>705</v>
      </c>
      <c r="D72" s="573" t="s">
        <v>911</v>
      </c>
      <c r="E72" s="573" t="s">
        <v>912</v>
      </c>
      <c r="F72" s="570">
        <v>1144.07</v>
      </c>
      <c r="G72" s="462" t="s">
        <v>913</v>
      </c>
      <c r="H72" s="570" t="s">
        <v>914</v>
      </c>
      <c r="I72" s="570" t="s">
        <v>915</v>
      </c>
      <c r="J72" s="570"/>
      <c r="K72" s="570"/>
    </row>
    <row r="73" spans="1:11" ht="30" x14ac:dyDescent="0.2">
      <c r="A73" s="459">
        <v>60</v>
      </c>
      <c r="B73" s="571" t="s">
        <v>916</v>
      </c>
      <c r="C73" s="573" t="s">
        <v>705</v>
      </c>
      <c r="D73" s="573" t="s">
        <v>917</v>
      </c>
      <c r="E73" s="573" t="s">
        <v>918</v>
      </c>
      <c r="F73" s="570">
        <v>1250</v>
      </c>
      <c r="G73" s="462" t="s">
        <v>919</v>
      </c>
      <c r="H73" s="570" t="s">
        <v>920</v>
      </c>
      <c r="I73" s="570" t="s">
        <v>921</v>
      </c>
      <c r="J73" s="570"/>
      <c r="K73" s="570"/>
    </row>
    <row r="74" spans="1:11" ht="30" x14ac:dyDescent="0.2">
      <c r="A74" s="459">
        <v>61</v>
      </c>
      <c r="B74" s="571" t="s">
        <v>922</v>
      </c>
      <c r="C74" s="573" t="s">
        <v>705</v>
      </c>
      <c r="D74" s="573" t="s">
        <v>896</v>
      </c>
      <c r="E74" s="573" t="s">
        <v>923</v>
      </c>
      <c r="F74" s="570">
        <v>750</v>
      </c>
      <c r="G74" s="462" t="s">
        <v>924</v>
      </c>
      <c r="H74" s="570" t="s">
        <v>925</v>
      </c>
      <c r="I74" s="570" t="s">
        <v>926</v>
      </c>
      <c r="J74" s="570"/>
      <c r="K74" s="570"/>
    </row>
    <row r="75" spans="1:11" ht="30" x14ac:dyDescent="0.2">
      <c r="A75" s="459">
        <v>62</v>
      </c>
      <c r="B75" s="571" t="s">
        <v>927</v>
      </c>
      <c r="C75" s="573" t="s">
        <v>705</v>
      </c>
      <c r="D75" s="573" t="s">
        <v>896</v>
      </c>
      <c r="E75" s="573" t="s">
        <v>928</v>
      </c>
      <c r="F75" s="570">
        <v>270</v>
      </c>
      <c r="G75" s="462" t="s">
        <v>929</v>
      </c>
      <c r="H75" s="570" t="s">
        <v>930</v>
      </c>
      <c r="I75" s="570" t="s">
        <v>931</v>
      </c>
      <c r="J75" s="570"/>
      <c r="K75" s="570"/>
    </row>
    <row r="76" spans="1:11" ht="30" x14ac:dyDescent="0.2">
      <c r="A76" s="459">
        <v>63</v>
      </c>
      <c r="B76" s="571" t="s">
        <v>932</v>
      </c>
      <c r="C76" s="573" t="s">
        <v>705</v>
      </c>
      <c r="D76" s="573" t="s">
        <v>933</v>
      </c>
      <c r="E76" s="573" t="s">
        <v>934</v>
      </c>
      <c r="F76" s="570">
        <v>500</v>
      </c>
      <c r="G76" s="462" t="s">
        <v>935</v>
      </c>
      <c r="H76" s="570" t="s">
        <v>936</v>
      </c>
      <c r="I76" s="570" t="s">
        <v>937</v>
      </c>
      <c r="J76" s="570"/>
      <c r="K76" s="570"/>
    </row>
    <row r="77" spans="1:11" ht="30" x14ac:dyDescent="0.2">
      <c r="A77" s="459">
        <v>64</v>
      </c>
      <c r="B77" s="571" t="s">
        <v>938</v>
      </c>
      <c r="C77" s="573" t="s">
        <v>705</v>
      </c>
      <c r="D77" s="573" t="s">
        <v>939</v>
      </c>
      <c r="E77" s="573" t="s">
        <v>906</v>
      </c>
      <c r="F77" s="570">
        <v>375</v>
      </c>
      <c r="G77" s="462" t="s">
        <v>940</v>
      </c>
      <c r="H77" s="570" t="s">
        <v>941</v>
      </c>
      <c r="I77" s="570" t="s">
        <v>942</v>
      </c>
      <c r="J77" s="570"/>
      <c r="K77" s="570"/>
    </row>
    <row r="78" spans="1:11" ht="30" x14ac:dyDescent="0.2">
      <c r="A78" s="459">
        <v>65</v>
      </c>
      <c r="B78" s="571" t="s">
        <v>943</v>
      </c>
      <c r="C78" s="573" t="s">
        <v>705</v>
      </c>
      <c r="D78" s="573" t="s">
        <v>944</v>
      </c>
      <c r="E78" s="573" t="s">
        <v>945</v>
      </c>
      <c r="F78" s="570">
        <v>375</v>
      </c>
      <c r="G78" s="462" t="s">
        <v>946</v>
      </c>
      <c r="H78" s="570" t="s">
        <v>947</v>
      </c>
      <c r="I78" s="570" t="s">
        <v>948</v>
      </c>
      <c r="J78" s="570"/>
      <c r="K78" s="570"/>
    </row>
    <row r="79" spans="1:11" ht="30" x14ac:dyDescent="0.2">
      <c r="A79" s="459">
        <v>66</v>
      </c>
      <c r="B79" s="463" t="s">
        <v>949</v>
      </c>
      <c r="C79" s="461" t="s">
        <v>705</v>
      </c>
      <c r="D79" s="461" t="s">
        <v>896</v>
      </c>
      <c r="E79" s="461" t="s">
        <v>950</v>
      </c>
      <c r="F79" s="459">
        <v>300</v>
      </c>
      <c r="G79" s="462" t="s">
        <v>951</v>
      </c>
      <c r="H79" s="459" t="s">
        <v>952</v>
      </c>
      <c r="I79" s="459" t="s">
        <v>953</v>
      </c>
      <c r="J79" s="459"/>
      <c r="K79" s="459"/>
    </row>
    <row r="80" spans="1:11" ht="30" x14ac:dyDescent="0.3">
      <c r="A80" s="459">
        <v>67</v>
      </c>
      <c r="B80" s="469" t="s">
        <v>954</v>
      </c>
      <c r="C80" s="461" t="s">
        <v>705</v>
      </c>
      <c r="D80" s="461" t="s">
        <v>955</v>
      </c>
      <c r="E80" s="461" t="s">
        <v>956</v>
      </c>
      <c r="F80" s="459">
        <v>250</v>
      </c>
      <c r="G80" s="462" t="s">
        <v>703</v>
      </c>
      <c r="H80" s="459" t="s">
        <v>957</v>
      </c>
      <c r="I80" s="459" t="s">
        <v>958</v>
      </c>
      <c r="J80" s="459"/>
      <c r="K80" s="459"/>
    </row>
    <row r="81" spans="1:11" ht="30" x14ac:dyDescent="0.3">
      <c r="A81" s="459">
        <v>68</v>
      </c>
      <c r="B81" s="470" t="s">
        <v>959</v>
      </c>
      <c r="C81" s="461" t="s">
        <v>705</v>
      </c>
      <c r="D81" s="461" t="s">
        <v>955</v>
      </c>
      <c r="E81" s="461" t="s">
        <v>960</v>
      </c>
      <c r="F81" s="459">
        <v>312.5</v>
      </c>
      <c r="G81" s="462" t="s">
        <v>961</v>
      </c>
      <c r="H81" s="459" t="s">
        <v>962</v>
      </c>
      <c r="I81" s="459" t="s">
        <v>963</v>
      </c>
      <c r="J81" s="459"/>
      <c r="K81" s="459"/>
    </row>
    <row r="82" spans="1:11" ht="15" x14ac:dyDescent="0.2">
      <c r="A82" s="459">
        <v>69</v>
      </c>
      <c r="B82" s="463"/>
      <c r="C82" s="461"/>
      <c r="D82" s="461"/>
      <c r="E82" s="461"/>
      <c r="F82" s="459"/>
      <c r="G82" s="462"/>
      <c r="H82" s="459"/>
      <c r="I82" s="459"/>
      <c r="J82" s="459"/>
      <c r="K82" s="459"/>
    </row>
    <row r="83" spans="1:11" ht="15" x14ac:dyDescent="0.2">
      <c r="A83" s="428" t="s">
        <v>278</v>
      </c>
      <c r="B83" s="471"/>
      <c r="C83" s="471"/>
      <c r="D83" s="471"/>
      <c r="E83" s="471"/>
      <c r="F83" s="471"/>
      <c r="G83" s="472"/>
      <c r="H83" s="471"/>
      <c r="I83" s="471"/>
      <c r="J83" s="471"/>
      <c r="K83" s="471"/>
    </row>
    <row r="84" spans="1:11" x14ac:dyDescent="0.2">
      <c r="A84" s="473"/>
      <c r="B84" s="22"/>
      <c r="C84" s="22"/>
      <c r="D84" s="22"/>
      <c r="E84" s="22"/>
      <c r="F84" s="22"/>
      <c r="G84" s="474"/>
      <c r="H84" s="22"/>
      <c r="I84" s="22"/>
      <c r="J84" s="22"/>
      <c r="K84" s="22"/>
    </row>
    <row r="85" spans="1:11" ht="15" x14ac:dyDescent="0.3">
      <c r="A85" s="2"/>
      <c r="B85" s="62" t="s">
        <v>107</v>
      </c>
      <c r="C85" s="2"/>
      <c r="D85" s="2"/>
      <c r="E85" s="417"/>
      <c r="F85" s="2"/>
      <c r="G85" s="475"/>
      <c r="H85" s="2"/>
      <c r="I85" s="2"/>
      <c r="J85" s="2"/>
      <c r="K85" s="2"/>
    </row>
    <row r="86" spans="1:11" ht="38.25" customHeight="1" x14ac:dyDescent="0.3">
      <c r="A86" s="2"/>
      <c r="B86" s="2"/>
      <c r="C86" s="660"/>
      <c r="D86" s="660"/>
      <c r="F86" s="61"/>
      <c r="G86" s="476"/>
    </row>
    <row r="87" spans="1:11" ht="15" x14ac:dyDescent="0.3">
      <c r="B87" s="2"/>
      <c r="C87" s="60" t="s">
        <v>268</v>
      </c>
      <c r="D87" s="2"/>
      <c r="F87" s="12" t="s">
        <v>273</v>
      </c>
    </row>
    <row r="88" spans="1:11" ht="15" x14ac:dyDescent="0.3">
      <c r="B88" s="2"/>
      <c r="C88" s="2"/>
      <c r="D88" s="2"/>
      <c r="F88" s="2" t="s">
        <v>269</v>
      </c>
    </row>
    <row r="89" spans="1:11" ht="15" x14ac:dyDescent="0.3">
      <c r="B89" s="2"/>
      <c r="C89" s="56" t="s">
        <v>139</v>
      </c>
    </row>
  </sheetData>
  <mergeCells count="22">
    <mergeCell ref="C86:D86"/>
    <mergeCell ref="A51:A52"/>
    <mergeCell ref="A54:A55"/>
    <mergeCell ref="F62:F63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K2:L2"/>
    <mergeCell ref="A48:A49"/>
    <mergeCell ref="B48:B49"/>
    <mergeCell ref="C48:C49"/>
    <mergeCell ref="D48:D49"/>
    <mergeCell ref="E48:E49"/>
    <mergeCell ref="F48:F49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J56">
      <formula1>11</formula1>
    </dataValidation>
  </dataValidations>
  <pageMargins left="0.2" right="0.2" top="0.5" bottom="0.5" header="0.3" footer="0.3"/>
  <pageSetup scale="6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D24" sqref="D24"/>
    </sheetView>
  </sheetViews>
  <sheetFormatPr defaultRowHeight="12.75" x14ac:dyDescent="0.2"/>
  <cols>
    <col min="1" max="1" width="6.85546875" style="171" customWidth="1"/>
    <col min="2" max="2" width="21.140625" style="171" customWidth="1"/>
    <col min="3" max="3" width="21.5703125" style="171" customWidth="1"/>
    <col min="4" max="4" width="19.140625" style="171" customWidth="1"/>
    <col min="5" max="5" width="15.140625" style="171" customWidth="1"/>
    <col min="6" max="6" width="20.85546875" style="171" customWidth="1"/>
    <col min="7" max="7" width="23.85546875" style="171" customWidth="1"/>
    <col min="8" max="8" width="19" style="171" customWidth="1"/>
    <col min="9" max="9" width="21.140625" style="171" customWidth="1"/>
    <col min="10" max="10" width="17" style="171" customWidth="1"/>
    <col min="11" max="11" width="21.5703125" style="171" customWidth="1"/>
    <col min="12" max="12" width="24.42578125" style="171" customWidth="1"/>
    <col min="13" max="16384" width="9.140625" style="171"/>
  </cols>
  <sheetData>
    <row r="1" spans="1:13" customFormat="1" ht="15" x14ac:dyDescent="0.2">
      <c r="A1" s="125" t="s">
        <v>462</v>
      </c>
      <c r="B1" s="125"/>
      <c r="C1" s="126"/>
      <c r="D1" s="126"/>
      <c r="E1" s="126"/>
      <c r="F1" s="126"/>
      <c r="G1" s="126"/>
      <c r="H1" s="126"/>
      <c r="I1" s="126"/>
      <c r="J1" s="126"/>
      <c r="K1" s="132"/>
      <c r="L1" s="69" t="s">
        <v>109</v>
      </c>
    </row>
    <row r="2" spans="1:13" customFormat="1" ht="15" x14ac:dyDescent="0.3">
      <c r="A2" s="96" t="s">
        <v>140</v>
      </c>
      <c r="B2" s="96"/>
      <c r="C2" s="126"/>
      <c r="D2" s="126"/>
      <c r="E2" s="126"/>
      <c r="F2" s="126"/>
      <c r="G2" s="126"/>
      <c r="H2" s="126"/>
      <c r="I2" s="126"/>
      <c r="J2" s="126"/>
      <c r="K2" s="132"/>
      <c r="L2" s="416" t="s">
        <v>645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9"/>
      <c r="L3" s="129"/>
      <c r="M3" s="171"/>
    </row>
    <row r="4" spans="1:13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8"/>
      <c r="F4" s="135"/>
      <c r="G4" s="126"/>
      <c r="H4" s="126"/>
      <c r="I4" s="126"/>
      <c r="J4" s="126"/>
      <c r="K4" s="126"/>
      <c r="L4" s="126"/>
    </row>
    <row r="5" spans="1:13" ht="15" x14ac:dyDescent="0.3">
      <c r="A5" s="208" t="str">
        <f>'ფორმა N1'!D4</f>
        <v>მოქალაქეთა  პოლიტიკური გაერთიანება "ეროვნული ფორუმი"</v>
      </c>
      <c r="B5" s="208"/>
      <c r="C5" s="71"/>
      <c r="D5" s="71"/>
      <c r="E5" s="71"/>
      <c r="F5" s="209"/>
      <c r="G5" s="210"/>
      <c r="H5" s="210"/>
      <c r="I5" s="210"/>
      <c r="J5" s="210"/>
      <c r="K5" s="210"/>
      <c r="L5" s="209"/>
    </row>
    <row r="6" spans="1:13" customFormat="1" ht="13.5" x14ac:dyDescent="0.2">
      <c r="A6" s="130"/>
      <c r="B6" s="130"/>
      <c r="C6" s="131"/>
      <c r="D6" s="131"/>
      <c r="E6" s="131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8" t="s">
        <v>64</v>
      </c>
      <c r="B7" s="122" t="s">
        <v>248</v>
      </c>
      <c r="C7" s="124" t="s">
        <v>244</v>
      </c>
      <c r="D7" s="124" t="s">
        <v>245</v>
      </c>
      <c r="E7" s="124" t="s">
        <v>354</v>
      </c>
      <c r="F7" s="124" t="s">
        <v>247</v>
      </c>
      <c r="G7" s="124" t="s">
        <v>391</v>
      </c>
      <c r="H7" s="124" t="s">
        <v>393</v>
      </c>
      <c r="I7" s="124" t="s">
        <v>387</v>
      </c>
      <c r="J7" s="124" t="s">
        <v>388</v>
      </c>
      <c r="K7" s="124" t="s">
        <v>400</v>
      </c>
      <c r="L7" s="124" t="s">
        <v>389</v>
      </c>
    </row>
    <row r="8" spans="1:13" customFormat="1" ht="15" x14ac:dyDescent="0.2">
      <c r="A8" s="122">
        <v>1</v>
      </c>
      <c r="B8" s="122">
        <v>2</v>
      </c>
      <c r="C8" s="124">
        <v>3</v>
      </c>
      <c r="D8" s="122">
        <v>4</v>
      </c>
      <c r="E8" s="124">
        <v>5</v>
      </c>
      <c r="F8" s="122">
        <v>6</v>
      </c>
      <c r="G8" s="124">
        <v>7</v>
      </c>
      <c r="H8" s="122">
        <v>8</v>
      </c>
      <c r="I8" s="122">
        <v>9</v>
      </c>
      <c r="J8" s="122">
        <v>10</v>
      </c>
      <c r="K8" s="124">
        <v>11</v>
      </c>
      <c r="L8" s="124">
        <v>12</v>
      </c>
    </row>
    <row r="9" spans="1:13" customFormat="1" ht="27" customHeight="1" x14ac:dyDescent="0.2">
      <c r="A9" s="58">
        <v>1</v>
      </c>
      <c r="B9" s="427" t="s">
        <v>659</v>
      </c>
      <c r="C9" s="428" t="s">
        <v>660</v>
      </c>
      <c r="D9" s="428" t="s">
        <v>660</v>
      </c>
      <c r="E9" s="428">
        <v>2003</v>
      </c>
      <c r="F9" s="428" t="s">
        <v>661</v>
      </c>
      <c r="G9" s="428">
        <v>400</v>
      </c>
      <c r="H9" s="429" t="s">
        <v>564</v>
      </c>
      <c r="I9" s="430" t="s">
        <v>662</v>
      </c>
      <c r="J9" s="428" t="s">
        <v>663</v>
      </c>
      <c r="K9" s="206"/>
      <c r="L9" s="25"/>
    </row>
    <row r="10" spans="1:13" customFormat="1" ht="33.75" customHeight="1" x14ac:dyDescent="0.2">
      <c r="A10" s="58">
        <v>2</v>
      </c>
      <c r="B10" s="427" t="s">
        <v>664</v>
      </c>
      <c r="C10" s="428" t="s">
        <v>665</v>
      </c>
      <c r="D10" s="428" t="s">
        <v>665</v>
      </c>
      <c r="E10" s="428">
        <v>2006</v>
      </c>
      <c r="F10" s="428" t="s">
        <v>666</v>
      </c>
      <c r="G10" s="428">
        <v>400</v>
      </c>
      <c r="H10" s="429" t="s">
        <v>560</v>
      </c>
      <c r="I10" s="430" t="s">
        <v>667</v>
      </c>
      <c r="J10" s="428" t="s">
        <v>668</v>
      </c>
      <c r="K10" s="206"/>
      <c r="L10" s="25"/>
    </row>
    <row r="11" spans="1:13" customFormat="1" ht="27" customHeight="1" x14ac:dyDescent="0.2">
      <c r="A11" s="58">
        <v>3</v>
      </c>
      <c r="B11" s="427" t="s">
        <v>669</v>
      </c>
      <c r="C11" s="431" t="s">
        <v>670</v>
      </c>
      <c r="D11" s="431" t="s">
        <v>670</v>
      </c>
      <c r="E11" s="428">
        <v>1998</v>
      </c>
      <c r="F11" s="428" t="s">
        <v>671</v>
      </c>
      <c r="G11" s="428">
        <v>300</v>
      </c>
      <c r="H11" s="428">
        <v>10001009482</v>
      </c>
      <c r="I11" s="428" t="s">
        <v>672</v>
      </c>
      <c r="J11" s="428" t="s">
        <v>673</v>
      </c>
      <c r="K11" s="206"/>
      <c r="L11" s="25"/>
    </row>
    <row r="12" spans="1:13" customFormat="1" ht="27" customHeight="1" x14ac:dyDescent="0.2">
      <c r="A12" s="58">
        <v>4</v>
      </c>
      <c r="B12" s="427" t="s">
        <v>669</v>
      </c>
      <c r="C12" s="431" t="s">
        <v>674</v>
      </c>
      <c r="D12" s="431" t="s">
        <v>674</v>
      </c>
      <c r="E12" s="428">
        <v>2004</v>
      </c>
      <c r="F12" s="432" t="s">
        <v>675</v>
      </c>
      <c r="G12" s="433">
        <v>300</v>
      </c>
      <c r="H12" s="434" t="s">
        <v>572</v>
      </c>
      <c r="I12" s="428" t="s">
        <v>676</v>
      </c>
      <c r="J12" s="428" t="s">
        <v>677</v>
      </c>
      <c r="K12" s="206"/>
      <c r="L12" s="25"/>
    </row>
    <row r="13" spans="1:13" customFormat="1" ht="27" customHeight="1" x14ac:dyDescent="0.2">
      <c r="A13" s="58">
        <v>5</v>
      </c>
      <c r="B13" s="436" t="s">
        <v>669</v>
      </c>
      <c r="C13" s="437" t="s">
        <v>670</v>
      </c>
      <c r="D13" s="437" t="s">
        <v>670</v>
      </c>
      <c r="E13" s="438">
        <v>2000</v>
      </c>
      <c r="F13" s="435" t="s">
        <v>678</v>
      </c>
      <c r="G13" s="438">
        <v>300</v>
      </c>
      <c r="H13" s="439" t="s">
        <v>679</v>
      </c>
      <c r="I13" s="440" t="s">
        <v>680</v>
      </c>
      <c r="J13" s="440" t="s">
        <v>681</v>
      </c>
      <c r="K13" s="441"/>
      <c r="L13" s="25"/>
    </row>
    <row r="14" spans="1:13" customFormat="1" ht="27" customHeight="1" x14ac:dyDescent="0.2">
      <c r="A14" s="58">
        <v>6</v>
      </c>
      <c r="B14" s="427" t="s">
        <v>659</v>
      </c>
      <c r="C14" s="428" t="s">
        <v>660</v>
      </c>
      <c r="D14" s="428" t="s">
        <v>660</v>
      </c>
      <c r="E14" s="428">
        <v>2003</v>
      </c>
      <c r="F14" s="428" t="s">
        <v>661</v>
      </c>
      <c r="G14" s="428">
        <v>300</v>
      </c>
      <c r="H14" s="429" t="s">
        <v>564</v>
      </c>
      <c r="I14" s="430" t="s">
        <v>662</v>
      </c>
      <c r="J14" s="428" t="s">
        <v>663</v>
      </c>
      <c r="K14" s="25"/>
      <c r="L14" s="25"/>
    </row>
    <row r="15" spans="1:13" customFormat="1" ht="36.75" customHeight="1" x14ac:dyDescent="0.2">
      <c r="A15" s="58">
        <v>7</v>
      </c>
      <c r="B15" s="427" t="s">
        <v>664</v>
      </c>
      <c r="C15" s="428" t="s">
        <v>665</v>
      </c>
      <c r="D15" s="428" t="s">
        <v>665</v>
      </c>
      <c r="E15" s="428">
        <v>2006</v>
      </c>
      <c r="F15" s="428" t="s">
        <v>666</v>
      </c>
      <c r="G15" s="428">
        <v>300</v>
      </c>
      <c r="H15" s="429" t="s">
        <v>560</v>
      </c>
      <c r="I15" s="430" t="s">
        <v>667</v>
      </c>
      <c r="J15" s="428" t="s">
        <v>668</v>
      </c>
      <c r="K15" s="25"/>
      <c r="L15" s="25"/>
    </row>
    <row r="16" spans="1:13" customFormat="1" ht="15" x14ac:dyDescent="0.2">
      <c r="A16" s="58">
        <v>8</v>
      </c>
      <c r="B16" s="58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customFormat="1" ht="15" x14ac:dyDescent="0.2">
      <c r="A17" s="58">
        <v>9</v>
      </c>
      <c r="B17" s="58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customFormat="1" ht="15" x14ac:dyDescent="0.2">
      <c r="A18" s="58">
        <v>10</v>
      </c>
      <c r="B18" s="58"/>
      <c r="C18" s="25"/>
      <c r="D18" s="25"/>
      <c r="E18" s="25"/>
      <c r="F18" s="25"/>
      <c r="G18" s="25"/>
      <c r="H18" s="25"/>
      <c r="I18" s="206"/>
      <c r="J18" s="206"/>
      <c r="K18" s="206"/>
      <c r="L18" s="25"/>
    </row>
    <row r="19" spans="1:12" customFormat="1" ht="15" x14ac:dyDescent="0.2">
      <c r="A19" s="58">
        <v>11</v>
      </c>
      <c r="B19" s="58"/>
      <c r="C19" s="25"/>
      <c r="D19" s="25"/>
      <c r="E19" s="25"/>
      <c r="F19" s="25"/>
      <c r="G19" s="25"/>
      <c r="H19" s="25"/>
      <c r="I19" s="206"/>
      <c r="J19" s="206"/>
      <c r="K19" s="206"/>
      <c r="L19" s="25"/>
    </row>
    <row r="20" spans="1:12" customFormat="1" ht="15" x14ac:dyDescent="0.2">
      <c r="A20" s="58">
        <v>12</v>
      </c>
      <c r="B20" s="58"/>
      <c r="C20" s="25"/>
      <c r="D20" s="25"/>
      <c r="E20" s="25"/>
      <c r="F20" s="25"/>
      <c r="G20" s="25"/>
      <c r="H20" s="25"/>
      <c r="I20" s="206"/>
      <c r="J20" s="206"/>
      <c r="K20" s="206"/>
      <c r="L20" s="25"/>
    </row>
    <row r="21" spans="1:12" customFormat="1" ht="15" x14ac:dyDescent="0.2">
      <c r="A21" s="58">
        <v>13</v>
      </c>
      <c r="B21" s="58"/>
      <c r="C21" s="25"/>
      <c r="D21" s="25"/>
      <c r="E21" s="25"/>
      <c r="F21" s="25"/>
      <c r="G21" s="25"/>
      <c r="H21" s="25"/>
      <c r="I21" s="206"/>
      <c r="J21" s="206"/>
      <c r="K21" s="206"/>
      <c r="L21" s="25"/>
    </row>
    <row r="22" spans="1:12" customFormat="1" ht="15" x14ac:dyDescent="0.2">
      <c r="A22" s="58">
        <v>14</v>
      </c>
      <c r="B22" s="58"/>
      <c r="C22" s="25"/>
      <c r="D22" s="25"/>
      <c r="E22" s="25"/>
      <c r="F22" s="25"/>
      <c r="G22" s="25"/>
      <c r="H22" s="25"/>
      <c r="I22" s="206"/>
      <c r="J22" s="206"/>
      <c r="K22" s="206"/>
      <c r="L22" s="25"/>
    </row>
    <row r="23" spans="1:12" customFormat="1" ht="15" x14ac:dyDescent="0.2">
      <c r="A23" s="58">
        <v>15</v>
      </c>
      <c r="B23" s="58"/>
      <c r="C23" s="25"/>
      <c r="D23" s="25"/>
      <c r="E23" s="25"/>
      <c r="F23" s="25"/>
      <c r="G23" s="25"/>
      <c r="H23" s="25"/>
      <c r="I23" s="206"/>
      <c r="J23" s="206"/>
      <c r="K23" s="206"/>
      <c r="L23" s="25"/>
    </row>
    <row r="24" spans="1:12" customFormat="1" ht="15" x14ac:dyDescent="0.2">
      <c r="A24" s="58">
        <v>16</v>
      </c>
      <c r="B24" s="58"/>
      <c r="C24" s="25"/>
      <c r="D24" s="25"/>
      <c r="E24" s="25"/>
      <c r="F24" s="25"/>
      <c r="G24" s="25"/>
      <c r="H24" s="25"/>
      <c r="I24" s="206"/>
      <c r="J24" s="206"/>
      <c r="K24" s="206"/>
      <c r="L24" s="25"/>
    </row>
    <row r="25" spans="1:12" customFormat="1" ht="15" x14ac:dyDescent="0.2">
      <c r="A25" s="58">
        <v>17</v>
      </c>
      <c r="B25" s="58"/>
      <c r="C25" s="25"/>
      <c r="D25" s="25"/>
      <c r="E25" s="25"/>
      <c r="F25" s="25"/>
      <c r="G25" s="25"/>
      <c r="H25" s="25"/>
      <c r="I25" s="206"/>
      <c r="J25" s="206"/>
      <c r="K25" s="206"/>
      <c r="L25" s="25"/>
    </row>
    <row r="26" spans="1:12" customFormat="1" ht="15" x14ac:dyDescent="0.2">
      <c r="A26" s="58">
        <v>18</v>
      </c>
      <c r="B26" s="58"/>
      <c r="C26" s="25"/>
      <c r="D26" s="25"/>
      <c r="E26" s="25"/>
      <c r="F26" s="25"/>
      <c r="G26" s="25"/>
      <c r="H26" s="25"/>
      <c r="I26" s="206"/>
      <c r="J26" s="206"/>
      <c r="K26" s="206"/>
      <c r="L26" s="25"/>
    </row>
    <row r="27" spans="1:12" customFormat="1" ht="15" x14ac:dyDescent="0.2">
      <c r="A27" s="58" t="s">
        <v>278</v>
      </c>
      <c r="B27" s="58"/>
      <c r="C27" s="25"/>
      <c r="D27" s="25"/>
      <c r="E27" s="25"/>
      <c r="F27" s="25"/>
      <c r="G27" s="25"/>
      <c r="H27" s="25"/>
      <c r="I27" s="206"/>
      <c r="J27" s="206"/>
      <c r="K27" s="206"/>
      <c r="L27" s="25"/>
    </row>
    <row r="28" spans="1:12" x14ac:dyDescent="0.2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</row>
    <row r="29" spans="1:12" x14ac:dyDescent="0.2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</row>
    <row r="30" spans="1:12" x14ac:dyDescent="0.2">
      <c r="A30" s="212"/>
      <c r="B30" s="212"/>
      <c r="C30" s="211"/>
      <c r="D30" s="211"/>
      <c r="E30" s="211"/>
      <c r="F30" s="211"/>
      <c r="G30" s="211"/>
      <c r="H30" s="211"/>
      <c r="I30" s="211"/>
      <c r="J30" s="211"/>
      <c r="K30" s="211"/>
      <c r="L30" s="211"/>
    </row>
    <row r="31" spans="1:12" ht="15" x14ac:dyDescent="0.3">
      <c r="A31" s="170"/>
      <c r="B31" s="170"/>
      <c r="C31" s="172" t="s">
        <v>107</v>
      </c>
      <c r="D31" s="170"/>
      <c r="E31" s="170"/>
      <c r="F31" s="173"/>
      <c r="G31" s="170"/>
      <c r="H31" s="170"/>
      <c r="I31" s="170"/>
      <c r="J31" s="170"/>
      <c r="K31" s="170"/>
      <c r="L31" s="170"/>
    </row>
    <row r="32" spans="1:12" ht="15" x14ac:dyDescent="0.3">
      <c r="A32" s="170"/>
      <c r="B32" s="170"/>
      <c r="C32" s="170"/>
      <c r="D32" s="174"/>
      <c r="E32" s="170"/>
      <c r="G32" s="174"/>
      <c r="H32" s="217"/>
    </row>
    <row r="33" spans="3:7" ht="15" x14ac:dyDescent="0.3">
      <c r="C33" s="170"/>
      <c r="D33" s="176" t="s">
        <v>268</v>
      </c>
      <c r="E33" s="170"/>
      <c r="G33" s="177" t="s">
        <v>273</v>
      </c>
    </row>
    <row r="34" spans="3:7" ht="15" x14ac:dyDescent="0.3">
      <c r="C34" s="170"/>
      <c r="D34" s="178" t="s">
        <v>139</v>
      </c>
      <c r="E34" s="170"/>
      <c r="G34" s="170" t="s">
        <v>269</v>
      </c>
    </row>
    <row r="35" spans="3:7" ht="15" x14ac:dyDescent="0.3">
      <c r="C35" s="170"/>
      <c r="D35" s="17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71" customWidth="1"/>
    <col min="2" max="2" width="21.5703125" style="171" customWidth="1"/>
    <col min="3" max="3" width="19.140625" style="171" customWidth="1"/>
    <col min="4" max="4" width="23.7109375" style="171" customWidth="1"/>
    <col min="5" max="6" width="16.5703125" style="171" bestFit="1" customWidth="1"/>
    <col min="7" max="7" width="17" style="171" customWidth="1"/>
    <col min="8" max="8" width="19" style="171" customWidth="1"/>
    <col min="9" max="9" width="24.42578125" style="171" customWidth="1"/>
    <col min="10" max="16384" width="9.140625" style="171"/>
  </cols>
  <sheetData>
    <row r="1" spans="1:13" customFormat="1" ht="15" x14ac:dyDescent="0.2">
      <c r="A1" s="125" t="s">
        <v>463</v>
      </c>
      <c r="B1" s="126"/>
      <c r="C1" s="126"/>
      <c r="D1" s="126"/>
      <c r="E1" s="126"/>
      <c r="F1" s="126"/>
      <c r="G1" s="126"/>
      <c r="H1" s="132"/>
      <c r="I1" s="69" t="s">
        <v>109</v>
      </c>
    </row>
    <row r="2" spans="1:13" customFormat="1" ht="15" x14ac:dyDescent="0.3">
      <c r="A2" s="96" t="s">
        <v>140</v>
      </c>
      <c r="B2" s="126"/>
      <c r="C2" s="126"/>
      <c r="D2" s="126"/>
      <c r="E2" s="126"/>
      <c r="F2" s="126"/>
      <c r="G2" s="126"/>
      <c r="H2" s="132"/>
      <c r="I2" s="416" t="s">
        <v>645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9"/>
      <c r="I3" s="129"/>
      <c r="M3" s="171"/>
    </row>
    <row r="4" spans="1:13" customFormat="1" ht="15" x14ac:dyDescent="0.3">
      <c r="A4" s="67" t="str">
        <f>'ფორმა N2'!A4</f>
        <v>ანგარიშვალდებული პირის დასახელება:</v>
      </c>
      <c r="B4" s="67"/>
      <c r="C4" s="67"/>
      <c r="D4" s="126"/>
      <c r="E4" s="126"/>
      <c r="F4" s="126"/>
      <c r="G4" s="126"/>
      <c r="H4" s="126"/>
      <c r="I4" s="135"/>
    </row>
    <row r="5" spans="1:13" ht="15" x14ac:dyDescent="0.3">
      <c r="A5" s="208" t="str">
        <f>'ფორმა N1'!D4</f>
        <v>მოქალაქეთა  პოლიტიკური გაერთიანება "ეროვნული ფორუმი"</v>
      </c>
      <c r="B5" s="71"/>
      <c r="C5" s="71"/>
      <c r="D5" s="210"/>
      <c r="E5" s="210"/>
      <c r="F5" s="210"/>
      <c r="G5" s="210"/>
      <c r="H5" s="210"/>
      <c r="I5" s="209"/>
    </row>
    <row r="6" spans="1:13" customFormat="1" ht="13.5" x14ac:dyDescent="0.2">
      <c r="A6" s="130"/>
      <c r="B6" s="131"/>
      <c r="C6" s="131"/>
      <c r="D6" s="126"/>
      <c r="E6" s="126"/>
      <c r="F6" s="126"/>
      <c r="G6" s="126"/>
      <c r="H6" s="126"/>
      <c r="I6" s="126"/>
    </row>
    <row r="7" spans="1:13" customFormat="1" ht="60" x14ac:dyDescent="0.2">
      <c r="A7" s="138" t="s">
        <v>64</v>
      </c>
      <c r="B7" s="124" t="s">
        <v>385</v>
      </c>
      <c r="C7" s="124" t="s">
        <v>386</v>
      </c>
      <c r="D7" s="124" t="s">
        <v>391</v>
      </c>
      <c r="E7" s="124" t="s">
        <v>393</v>
      </c>
      <c r="F7" s="124" t="s">
        <v>387</v>
      </c>
      <c r="G7" s="124" t="s">
        <v>388</v>
      </c>
      <c r="H7" s="124" t="s">
        <v>400</v>
      </c>
      <c r="I7" s="124" t="s">
        <v>389</v>
      </c>
    </row>
    <row r="8" spans="1:13" customFormat="1" ht="15" x14ac:dyDescent="0.2">
      <c r="A8" s="122">
        <v>1</v>
      </c>
      <c r="B8" s="122">
        <v>2</v>
      </c>
      <c r="C8" s="124">
        <v>3</v>
      </c>
      <c r="D8" s="122">
        <v>6</v>
      </c>
      <c r="E8" s="124">
        <v>7</v>
      </c>
      <c r="F8" s="122">
        <v>8</v>
      </c>
      <c r="G8" s="122">
        <v>9</v>
      </c>
      <c r="H8" s="122">
        <v>10</v>
      </c>
      <c r="I8" s="124">
        <v>11</v>
      </c>
    </row>
    <row r="9" spans="1:13" customFormat="1" ht="15" x14ac:dyDescent="0.2">
      <c r="A9" s="58">
        <v>1</v>
      </c>
      <c r="B9" s="25"/>
      <c r="C9" s="25"/>
      <c r="D9" s="25"/>
      <c r="E9" s="25"/>
      <c r="F9" s="206"/>
      <c r="G9" s="206"/>
      <c r="H9" s="206"/>
      <c r="I9" s="25"/>
    </row>
    <row r="10" spans="1:13" customFormat="1" ht="15" x14ac:dyDescent="0.2">
      <c r="A10" s="58">
        <v>2</v>
      </c>
      <c r="B10" s="25"/>
      <c r="C10" s="25"/>
      <c r="D10" s="25"/>
      <c r="E10" s="25"/>
      <c r="F10" s="206"/>
      <c r="G10" s="206"/>
      <c r="H10" s="206"/>
      <c r="I10" s="25"/>
    </row>
    <row r="11" spans="1:13" customFormat="1" ht="15" x14ac:dyDescent="0.2">
      <c r="A11" s="58">
        <v>3</v>
      </c>
      <c r="B11" s="25"/>
      <c r="C11" s="25"/>
      <c r="D11" s="25"/>
      <c r="E11" s="25"/>
      <c r="F11" s="206"/>
      <c r="G11" s="206"/>
      <c r="H11" s="206"/>
      <c r="I11" s="25"/>
    </row>
    <row r="12" spans="1:13" customFormat="1" ht="15" x14ac:dyDescent="0.2">
      <c r="A12" s="58">
        <v>4</v>
      </c>
      <c r="B12" s="25"/>
      <c r="C12" s="25"/>
      <c r="D12" s="25"/>
      <c r="E12" s="25"/>
      <c r="F12" s="206"/>
      <c r="G12" s="206"/>
      <c r="H12" s="206"/>
      <c r="I12" s="25"/>
    </row>
    <row r="13" spans="1:13" customFormat="1" ht="15" x14ac:dyDescent="0.2">
      <c r="A13" s="58">
        <v>5</v>
      </c>
      <c r="B13" s="25"/>
      <c r="C13" s="25"/>
      <c r="D13" s="25"/>
      <c r="E13" s="25"/>
      <c r="F13" s="206"/>
      <c r="G13" s="206"/>
      <c r="H13" s="206"/>
      <c r="I13" s="25"/>
    </row>
    <row r="14" spans="1:13" customFormat="1" ht="15" x14ac:dyDescent="0.2">
      <c r="A14" s="58">
        <v>6</v>
      </c>
      <c r="B14" s="25"/>
      <c r="C14" s="25"/>
      <c r="D14" s="25"/>
      <c r="E14" s="25"/>
      <c r="F14" s="206"/>
      <c r="G14" s="206"/>
      <c r="H14" s="206"/>
      <c r="I14" s="25"/>
    </row>
    <row r="15" spans="1:13" customFormat="1" ht="15" x14ac:dyDescent="0.2">
      <c r="A15" s="58">
        <v>7</v>
      </c>
      <c r="B15" s="25"/>
      <c r="C15" s="25"/>
      <c r="D15" s="25"/>
      <c r="E15" s="25"/>
      <c r="F15" s="206"/>
      <c r="G15" s="206"/>
      <c r="H15" s="206"/>
      <c r="I15" s="25"/>
    </row>
    <row r="16" spans="1:13" customFormat="1" ht="15" x14ac:dyDescent="0.2">
      <c r="A16" s="58">
        <v>8</v>
      </c>
      <c r="B16" s="25"/>
      <c r="C16" s="25"/>
      <c r="D16" s="25"/>
      <c r="E16" s="25"/>
      <c r="F16" s="206"/>
      <c r="G16" s="206"/>
      <c r="H16" s="206"/>
      <c r="I16" s="25"/>
    </row>
    <row r="17" spans="1:9" customFormat="1" ht="15" x14ac:dyDescent="0.2">
      <c r="A17" s="58">
        <v>9</v>
      </c>
      <c r="B17" s="25"/>
      <c r="C17" s="25"/>
      <c r="D17" s="25"/>
      <c r="E17" s="25"/>
      <c r="F17" s="206"/>
      <c r="G17" s="206"/>
      <c r="H17" s="206"/>
      <c r="I17" s="25"/>
    </row>
    <row r="18" spans="1:9" customFormat="1" ht="15" x14ac:dyDescent="0.2">
      <c r="A18" s="58">
        <v>10</v>
      </c>
      <c r="B18" s="25"/>
      <c r="C18" s="25"/>
      <c r="D18" s="25"/>
      <c r="E18" s="25"/>
      <c r="F18" s="206"/>
      <c r="G18" s="206"/>
      <c r="H18" s="206"/>
      <c r="I18" s="25"/>
    </row>
    <row r="19" spans="1:9" customFormat="1" ht="15" x14ac:dyDescent="0.2">
      <c r="A19" s="58">
        <v>11</v>
      </c>
      <c r="B19" s="25"/>
      <c r="C19" s="25"/>
      <c r="D19" s="25"/>
      <c r="E19" s="25"/>
      <c r="F19" s="206"/>
      <c r="G19" s="206"/>
      <c r="H19" s="206"/>
      <c r="I19" s="25"/>
    </row>
    <row r="20" spans="1:9" customFormat="1" ht="15" x14ac:dyDescent="0.2">
      <c r="A20" s="58">
        <v>12</v>
      </c>
      <c r="B20" s="25"/>
      <c r="C20" s="25"/>
      <c r="D20" s="25"/>
      <c r="E20" s="25"/>
      <c r="F20" s="206"/>
      <c r="G20" s="206"/>
      <c r="H20" s="206"/>
      <c r="I20" s="25"/>
    </row>
    <row r="21" spans="1:9" customFormat="1" ht="15" x14ac:dyDescent="0.2">
      <c r="A21" s="58">
        <v>13</v>
      </c>
      <c r="B21" s="25"/>
      <c r="C21" s="25"/>
      <c r="D21" s="25"/>
      <c r="E21" s="25"/>
      <c r="F21" s="206"/>
      <c r="G21" s="206"/>
      <c r="H21" s="206"/>
      <c r="I21" s="25"/>
    </row>
    <row r="22" spans="1:9" customFormat="1" ht="15" x14ac:dyDescent="0.2">
      <c r="A22" s="58">
        <v>14</v>
      </c>
      <c r="B22" s="25"/>
      <c r="C22" s="25"/>
      <c r="D22" s="25"/>
      <c r="E22" s="25"/>
      <c r="F22" s="206"/>
      <c r="G22" s="206"/>
      <c r="H22" s="206"/>
      <c r="I22" s="25"/>
    </row>
    <row r="23" spans="1:9" customFormat="1" ht="15" x14ac:dyDescent="0.2">
      <c r="A23" s="58">
        <v>15</v>
      </c>
      <c r="B23" s="25"/>
      <c r="C23" s="25"/>
      <c r="D23" s="25"/>
      <c r="E23" s="25"/>
      <c r="F23" s="206"/>
      <c r="G23" s="206"/>
      <c r="H23" s="206"/>
      <c r="I23" s="25"/>
    </row>
    <row r="24" spans="1:9" customFormat="1" ht="15" x14ac:dyDescent="0.2">
      <c r="A24" s="58">
        <v>16</v>
      </c>
      <c r="B24" s="25"/>
      <c r="C24" s="25"/>
      <c r="D24" s="25"/>
      <c r="E24" s="25"/>
      <c r="F24" s="206"/>
      <c r="G24" s="206"/>
      <c r="H24" s="206"/>
      <c r="I24" s="25"/>
    </row>
    <row r="25" spans="1:9" customFormat="1" ht="15" x14ac:dyDescent="0.2">
      <c r="A25" s="58">
        <v>17</v>
      </c>
      <c r="B25" s="25"/>
      <c r="C25" s="25"/>
      <c r="D25" s="25"/>
      <c r="E25" s="25"/>
      <c r="F25" s="206"/>
      <c r="G25" s="206"/>
      <c r="H25" s="206"/>
      <c r="I25" s="25"/>
    </row>
    <row r="26" spans="1:9" customFormat="1" ht="15" x14ac:dyDescent="0.2">
      <c r="A26" s="58">
        <v>18</v>
      </c>
      <c r="B26" s="25"/>
      <c r="C26" s="25"/>
      <c r="D26" s="25"/>
      <c r="E26" s="25"/>
      <c r="F26" s="206"/>
      <c r="G26" s="206"/>
      <c r="H26" s="206"/>
      <c r="I26" s="25"/>
    </row>
    <row r="27" spans="1:9" customFormat="1" ht="15" x14ac:dyDescent="0.2">
      <c r="A27" s="58" t="s">
        <v>278</v>
      </c>
      <c r="B27" s="25"/>
      <c r="C27" s="25"/>
      <c r="D27" s="25"/>
      <c r="E27" s="25"/>
      <c r="F27" s="206"/>
      <c r="G27" s="206"/>
      <c r="H27" s="206"/>
      <c r="I27" s="25"/>
    </row>
    <row r="28" spans="1:9" x14ac:dyDescent="0.2">
      <c r="A28" s="211"/>
      <c r="B28" s="211"/>
      <c r="C28" s="211"/>
      <c r="D28" s="211"/>
      <c r="E28" s="211"/>
      <c r="F28" s="211"/>
      <c r="G28" s="211"/>
      <c r="H28" s="211"/>
      <c r="I28" s="211"/>
    </row>
    <row r="29" spans="1:9" x14ac:dyDescent="0.2">
      <c r="A29" s="211"/>
      <c r="B29" s="211"/>
      <c r="C29" s="211"/>
      <c r="D29" s="211"/>
      <c r="E29" s="211"/>
      <c r="F29" s="211"/>
      <c r="G29" s="211"/>
      <c r="H29" s="211"/>
      <c r="I29" s="211"/>
    </row>
    <row r="30" spans="1:9" x14ac:dyDescent="0.2">
      <c r="A30" s="212"/>
      <c r="B30" s="211"/>
      <c r="C30" s="211"/>
      <c r="D30" s="211"/>
      <c r="E30" s="211"/>
      <c r="F30" s="211"/>
      <c r="G30" s="211"/>
      <c r="H30" s="211"/>
      <c r="I30" s="211"/>
    </row>
    <row r="31" spans="1:9" ht="15" x14ac:dyDescent="0.3">
      <c r="A31" s="170"/>
      <c r="B31" s="172" t="s">
        <v>107</v>
      </c>
      <c r="C31" s="170"/>
      <c r="D31" s="170"/>
      <c r="E31" s="173"/>
      <c r="F31" s="170"/>
      <c r="G31" s="170"/>
      <c r="H31" s="170"/>
      <c r="I31" s="170"/>
    </row>
    <row r="32" spans="1:9" ht="15" x14ac:dyDescent="0.3">
      <c r="A32" s="170"/>
      <c r="B32" s="170"/>
      <c r="C32" s="174"/>
      <c r="D32" s="170"/>
      <c r="F32" s="174"/>
      <c r="G32" s="217"/>
    </row>
    <row r="33" spans="2:6" ht="15" x14ac:dyDescent="0.3">
      <c r="B33" s="170"/>
      <c r="C33" s="176" t="s">
        <v>268</v>
      </c>
      <c r="D33" s="170"/>
      <c r="F33" s="177" t="s">
        <v>273</v>
      </c>
    </row>
    <row r="34" spans="2:6" ht="15" x14ac:dyDescent="0.3">
      <c r="B34" s="170"/>
      <c r="C34" s="178" t="s">
        <v>139</v>
      </c>
      <c r="D34" s="170"/>
      <c r="F34" s="170" t="s">
        <v>269</v>
      </c>
    </row>
    <row r="35" spans="2:6" ht="15" x14ac:dyDescent="0.3">
      <c r="B35" s="170"/>
      <c r="C35" s="17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0" zoomScale="80" zoomScaleNormal="100" zoomScaleSheetLayoutView="80" workbookViewId="0">
      <selection activeCell="D35" sqref="D35"/>
    </sheetView>
  </sheetViews>
  <sheetFormatPr defaultRowHeight="15" x14ac:dyDescent="0.3"/>
  <cols>
    <col min="1" max="1" width="10" style="170" customWidth="1"/>
    <col min="2" max="2" width="20.28515625" style="170" customWidth="1"/>
    <col min="3" max="3" width="30" style="170" customWidth="1"/>
    <col min="4" max="4" width="29" style="170" customWidth="1"/>
    <col min="5" max="5" width="22.5703125" style="170" customWidth="1"/>
    <col min="6" max="6" width="20" style="170" customWidth="1"/>
    <col min="7" max="7" width="29.28515625" style="170" customWidth="1"/>
    <col min="8" max="8" width="27.140625" style="170" customWidth="1"/>
    <col min="9" max="9" width="26.42578125" style="170" customWidth="1"/>
    <col min="10" max="10" width="0.5703125" style="170" customWidth="1"/>
    <col min="11" max="16384" width="9.140625" style="170"/>
  </cols>
  <sheetData>
    <row r="1" spans="1:10" x14ac:dyDescent="0.3">
      <c r="A1" s="65" t="s">
        <v>405</v>
      </c>
      <c r="B1" s="67"/>
      <c r="C1" s="67"/>
      <c r="D1" s="67"/>
      <c r="E1" s="67"/>
      <c r="F1" s="67"/>
      <c r="G1" s="67"/>
      <c r="H1" s="67"/>
      <c r="I1" s="153" t="s">
        <v>198</v>
      </c>
      <c r="J1" s="154"/>
    </row>
    <row r="2" spans="1:10" x14ac:dyDescent="0.3">
      <c r="A2" s="67" t="s">
        <v>140</v>
      </c>
      <c r="B2" s="67"/>
      <c r="C2" s="67"/>
      <c r="D2" s="67"/>
      <c r="E2" s="67"/>
      <c r="F2" s="67"/>
      <c r="G2" s="67"/>
      <c r="H2" s="67"/>
      <c r="I2" s="416" t="s">
        <v>645</v>
      </c>
      <c r="J2" s="154"/>
    </row>
    <row r="3" spans="1:10" x14ac:dyDescent="0.3">
      <c r="A3" s="67"/>
      <c r="B3" s="67"/>
      <c r="C3" s="67"/>
      <c r="D3" s="67"/>
      <c r="E3" s="67"/>
      <c r="F3" s="67"/>
      <c r="G3" s="67"/>
      <c r="H3" s="67"/>
      <c r="I3" s="93"/>
      <c r="J3" s="154"/>
    </row>
    <row r="4" spans="1:10" x14ac:dyDescent="0.3">
      <c r="A4" s="68" t="str">
        <f>'[3]ფორმა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67"/>
      <c r="I4" s="67"/>
      <c r="J4" s="95"/>
    </row>
    <row r="5" spans="1:10" x14ac:dyDescent="0.3">
      <c r="A5" s="208" t="str">
        <f>'ფორმა N1'!D4</f>
        <v>მოქალაქეთა  პოლიტიკური გაერთიანება "ეროვნული ფორუმი"</v>
      </c>
      <c r="B5" s="208"/>
      <c r="C5" s="208"/>
      <c r="D5" s="208"/>
      <c r="E5" s="208"/>
      <c r="F5" s="208"/>
      <c r="G5" s="208"/>
      <c r="H5" s="208"/>
      <c r="I5" s="208"/>
      <c r="J5" s="177"/>
    </row>
    <row r="6" spans="1:10" x14ac:dyDescent="0.3">
      <c r="A6" s="68"/>
      <c r="B6" s="67"/>
      <c r="C6" s="67"/>
      <c r="D6" s="67"/>
      <c r="E6" s="67"/>
      <c r="F6" s="67"/>
      <c r="G6" s="67"/>
      <c r="H6" s="67"/>
      <c r="I6" s="67"/>
      <c r="J6" s="95"/>
    </row>
    <row r="7" spans="1:10" x14ac:dyDescent="0.3">
      <c r="A7" s="67"/>
      <c r="B7" s="67"/>
      <c r="C7" s="67"/>
      <c r="D7" s="67"/>
      <c r="E7" s="67"/>
      <c r="F7" s="67"/>
      <c r="G7" s="67"/>
      <c r="H7" s="67"/>
      <c r="I7" s="67"/>
      <c r="J7" s="96"/>
    </row>
    <row r="8" spans="1:10" ht="63.75" customHeight="1" x14ac:dyDescent="0.3">
      <c r="A8" s="155" t="s">
        <v>64</v>
      </c>
      <c r="B8" s="361" t="s">
        <v>377</v>
      </c>
      <c r="C8" s="362" t="s">
        <v>439</v>
      </c>
      <c r="D8" s="362" t="s">
        <v>440</v>
      </c>
      <c r="E8" s="362" t="s">
        <v>378</v>
      </c>
      <c r="F8" s="362" t="s">
        <v>397</v>
      </c>
      <c r="G8" s="362" t="s">
        <v>398</v>
      </c>
      <c r="H8" s="362" t="s">
        <v>444</v>
      </c>
      <c r="I8" s="156" t="s">
        <v>399</v>
      </c>
      <c r="J8" s="96"/>
    </row>
    <row r="9" spans="1:10" x14ac:dyDescent="0.3">
      <c r="A9" s="158">
        <v>1</v>
      </c>
      <c r="B9" s="442" t="s">
        <v>682</v>
      </c>
      <c r="C9" s="443" t="s">
        <v>683</v>
      </c>
      <c r="D9" s="444">
        <v>215119627</v>
      </c>
      <c r="E9" s="445" t="s">
        <v>684</v>
      </c>
      <c r="F9" s="446">
        <v>83.33</v>
      </c>
      <c r="G9" s="446">
        <v>83.33</v>
      </c>
      <c r="H9" s="446"/>
      <c r="I9" s="447">
        <f t="shared" ref="I9:I19" si="0">G9-H9</f>
        <v>83.33</v>
      </c>
      <c r="J9" s="96"/>
    </row>
    <row r="10" spans="1:10" x14ac:dyDescent="0.3">
      <c r="A10" s="158">
        <v>2</v>
      </c>
      <c r="B10" s="442">
        <v>41005</v>
      </c>
      <c r="C10" s="443" t="s">
        <v>685</v>
      </c>
      <c r="D10" s="444">
        <v>47001012083</v>
      </c>
      <c r="E10" s="445" t="s">
        <v>686</v>
      </c>
      <c r="F10" s="446">
        <f>G10</f>
        <v>245</v>
      </c>
      <c r="G10" s="446">
        <v>245</v>
      </c>
      <c r="H10" s="446">
        <v>45</v>
      </c>
      <c r="I10" s="447">
        <f t="shared" si="0"/>
        <v>200</v>
      </c>
      <c r="J10" s="96"/>
    </row>
    <row r="11" spans="1:10" x14ac:dyDescent="0.3">
      <c r="A11" s="158">
        <v>3</v>
      </c>
      <c r="B11" s="442" t="s">
        <v>687</v>
      </c>
      <c r="C11" s="443" t="s">
        <v>688</v>
      </c>
      <c r="D11" s="444">
        <v>45001015655</v>
      </c>
      <c r="E11" s="445" t="s">
        <v>686</v>
      </c>
      <c r="F11" s="446">
        <f>G11</f>
        <v>104.16</v>
      </c>
      <c r="G11" s="446">
        <v>104.16</v>
      </c>
      <c r="H11" s="446"/>
      <c r="I11" s="447">
        <f t="shared" si="0"/>
        <v>104.16</v>
      </c>
      <c r="J11" s="96"/>
    </row>
    <row r="12" spans="1:10" x14ac:dyDescent="0.3">
      <c r="A12" s="158">
        <v>4</v>
      </c>
      <c r="B12" s="442">
        <v>41160</v>
      </c>
      <c r="C12" s="443" t="s">
        <v>689</v>
      </c>
      <c r="D12" s="444">
        <v>31001014526</v>
      </c>
      <c r="E12" s="445" t="s">
        <v>686</v>
      </c>
      <c r="F12" s="446">
        <f>G12</f>
        <v>541.5</v>
      </c>
      <c r="G12" s="446">
        <v>541.5</v>
      </c>
      <c r="H12" s="446"/>
      <c r="I12" s="447">
        <f t="shared" si="0"/>
        <v>541.5</v>
      </c>
      <c r="J12" s="96"/>
    </row>
    <row r="13" spans="1:10" x14ac:dyDescent="0.3">
      <c r="A13" s="158">
        <v>5</v>
      </c>
      <c r="B13" s="442">
        <v>41190</v>
      </c>
      <c r="C13" s="443" t="s">
        <v>690</v>
      </c>
      <c r="D13" s="444">
        <v>35001049166</v>
      </c>
      <c r="E13" s="445" t="s">
        <v>686</v>
      </c>
      <c r="F13" s="446">
        <f>G13</f>
        <v>905.92</v>
      </c>
      <c r="G13" s="446">
        <v>905.92</v>
      </c>
      <c r="H13" s="446"/>
      <c r="I13" s="447">
        <f t="shared" si="0"/>
        <v>905.92</v>
      </c>
      <c r="J13" s="96"/>
    </row>
    <row r="14" spans="1:10" x14ac:dyDescent="0.3">
      <c r="A14" s="158">
        <v>6</v>
      </c>
      <c r="B14" s="442">
        <v>41129</v>
      </c>
      <c r="C14" s="443" t="s">
        <v>691</v>
      </c>
      <c r="D14" s="444">
        <v>23001002557</v>
      </c>
      <c r="E14" s="445" t="s">
        <v>686</v>
      </c>
      <c r="F14" s="446">
        <f>G14</f>
        <v>226.56</v>
      </c>
      <c r="G14" s="446">
        <v>226.56</v>
      </c>
      <c r="H14" s="446"/>
      <c r="I14" s="447">
        <f t="shared" si="0"/>
        <v>226.56</v>
      </c>
      <c r="J14" s="96"/>
    </row>
    <row r="15" spans="1:10" x14ac:dyDescent="0.3">
      <c r="A15" s="158">
        <v>7</v>
      </c>
      <c r="B15" s="442"/>
      <c r="C15" s="443" t="s">
        <v>692</v>
      </c>
      <c r="D15" s="444">
        <v>205177057</v>
      </c>
      <c r="E15" s="445" t="s">
        <v>693</v>
      </c>
      <c r="F15" s="446">
        <v>202158.66</v>
      </c>
      <c r="G15" s="446">
        <v>202158.66</v>
      </c>
      <c r="H15" s="446">
        <v>153158.66</v>
      </c>
      <c r="I15" s="447">
        <f t="shared" si="0"/>
        <v>49000</v>
      </c>
      <c r="J15" s="96"/>
    </row>
    <row r="16" spans="1:10" x14ac:dyDescent="0.3">
      <c r="A16" s="158">
        <v>8</v>
      </c>
      <c r="B16" s="442">
        <v>40914</v>
      </c>
      <c r="C16" s="443" t="s">
        <v>694</v>
      </c>
      <c r="D16" s="444">
        <v>205283637</v>
      </c>
      <c r="E16" s="445" t="s">
        <v>686</v>
      </c>
      <c r="F16" s="446"/>
      <c r="G16" s="446">
        <f>29407.67+6200.14+16501.82+16460.08</f>
        <v>68569.709999999992</v>
      </c>
      <c r="H16" s="446">
        <f>10649.74+24958.07</f>
        <v>35607.81</v>
      </c>
      <c r="I16" s="447">
        <f t="shared" si="0"/>
        <v>32961.899999999994</v>
      </c>
      <c r="J16" s="96"/>
    </row>
    <row r="17" spans="1:10" ht="30" x14ac:dyDescent="0.3">
      <c r="A17" s="158">
        <v>9</v>
      </c>
      <c r="B17" s="442">
        <v>40914</v>
      </c>
      <c r="C17" s="443" t="s">
        <v>694</v>
      </c>
      <c r="D17" s="444">
        <v>205283637</v>
      </c>
      <c r="E17" s="445" t="s">
        <v>695</v>
      </c>
      <c r="F17" s="446"/>
      <c r="G17" s="446">
        <f>25169.94+1274.89</f>
        <v>26444.829999999998</v>
      </c>
      <c r="H17" s="446">
        <f>5664+19505.94</f>
        <v>25169.94</v>
      </c>
      <c r="I17" s="447">
        <f t="shared" si="0"/>
        <v>1274.8899999999994</v>
      </c>
      <c r="J17" s="96"/>
    </row>
    <row r="18" spans="1:10" ht="30" x14ac:dyDescent="0.3">
      <c r="A18" s="158">
        <v>10</v>
      </c>
      <c r="B18" s="442">
        <v>41007</v>
      </c>
      <c r="C18" s="443" t="s">
        <v>696</v>
      </c>
      <c r="D18" s="444">
        <v>15733438150</v>
      </c>
      <c r="E18" s="445" t="s">
        <v>697</v>
      </c>
      <c r="F18" s="446">
        <v>43678.32</v>
      </c>
      <c r="G18" s="446">
        <f>F18</f>
        <v>43678.32</v>
      </c>
      <c r="H18" s="446"/>
      <c r="I18" s="447">
        <f t="shared" si="0"/>
        <v>43678.32</v>
      </c>
      <c r="J18" s="96"/>
    </row>
    <row r="19" spans="1:10" ht="30" x14ac:dyDescent="0.3">
      <c r="A19" s="158">
        <v>11</v>
      </c>
      <c r="B19" s="442" t="s">
        <v>698</v>
      </c>
      <c r="C19" s="443" t="s">
        <v>699</v>
      </c>
      <c r="D19" s="444">
        <v>9960111166</v>
      </c>
      <c r="E19" s="445" t="s">
        <v>697</v>
      </c>
      <c r="F19" s="446">
        <v>20501.29</v>
      </c>
      <c r="G19" s="446">
        <f>F19</f>
        <v>20501.29</v>
      </c>
      <c r="H19" s="446"/>
      <c r="I19" s="447">
        <f t="shared" si="0"/>
        <v>20501.29</v>
      </c>
      <c r="J19" s="96"/>
    </row>
    <row r="20" spans="1:10" x14ac:dyDescent="0.3">
      <c r="A20" s="158">
        <v>12</v>
      </c>
      <c r="B20" s="448">
        <v>42592</v>
      </c>
      <c r="C20" s="443" t="s">
        <v>700</v>
      </c>
      <c r="D20" s="444">
        <v>61006067166</v>
      </c>
      <c r="E20" s="445" t="s">
        <v>701</v>
      </c>
      <c r="F20" s="449">
        <v>1375</v>
      </c>
      <c r="G20" s="449">
        <v>1375</v>
      </c>
      <c r="H20" s="449"/>
      <c r="I20" s="450">
        <v>1375</v>
      </c>
      <c r="J20" s="96"/>
    </row>
    <row r="21" spans="1:10" x14ac:dyDescent="0.3">
      <c r="A21" s="158">
        <v>13</v>
      </c>
      <c r="B21" s="448">
        <v>42650</v>
      </c>
      <c r="C21" s="443" t="s">
        <v>702</v>
      </c>
      <c r="D21" s="451" t="s">
        <v>703</v>
      </c>
      <c r="E21" s="445" t="s">
        <v>701</v>
      </c>
      <c r="F21" s="449">
        <v>250</v>
      </c>
      <c r="G21" s="449">
        <v>250</v>
      </c>
      <c r="H21" s="449"/>
      <c r="I21" s="452">
        <v>250</v>
      </c>
      <c r="J21" s="96"/>
    </row>
    <row r="22" spans="1:10" x14ac:dyDescent="0.3">
      <c r="A22" s="158">
        <v>14</v>
      </c>
      <c r="B22" s="564" t="s">
        <v>1317</v>
      </c>
      <c r="C22" s="161" t="s">
        <v>1315</v>
      </c>
      <c r="D22" s="565">
        <v>20438817</v>
      </c>
      <c r="E22" s="160" t="s">
        <v>1316</v>
      </c>
      <c r="F22" s="158">
        <v>91</v>
      </c>
      <c r="G22" s="158">
        <v>91</v>
      </c>
      <c r="H22" s="158"/>
      <c r="I22" s="566">
        <v>91</v>
      </c>
      <c r="J22" s="96"/>
    </row>
    <row r="23" spans="1:10" x14ac:dyDescent="0.3">
      <c r="A23" s="158">
        <v>15</v>
      </c>
      <c r="B23" s="192"/>
      <c r="C23" s="161"/>
      <c r="D23" s="161"/>
      <c r="E23" s="160"/>
      <c r="F23" s="160"/>
      <c r="G23" s="160"/>
      <c r="H23" s="160"/>
      <c r="I23" s="160"/>
      <c r="J23" s="96"/>
    </row>
    <row r="24" spans="1:10" x14ac:dyDescent="0.3">
      <c r="A24" s="158">
        <v>16</v>
      </c>
      <c r="B24" s="192"/>
      <c r="C24" s="161"/>
      <c r="D24" s="161"/>
      <c r="E24" s="160"/>
      <c r="F24" s="160"/>
      <c r="G24" s="160"/>
      <c r="H24" s="160"/>
      <c r="I24" s="160"/>
      <c r="J24" s="96"/>
    </row>
    <row r="25" spans="1:10" x14ac:dyDescent="0.3">
      <c r="A25" s="158">
        <v>17</v>
      </c>
      <c r="B25" s="192"/>
      <c r="C25" s="161"/>
      <c r="D25" s="161"/>
      <c r="E25" s="160"/>
      <c r="F25" s="160"/>
      <c r="G25" s="160"/>
      <c r="H25" s="160"/>
      <c r="I25" s="160"/>
      <c r="J25" s="96"/>
    </row>
    <row r="26" spans="1:10" x14ac:dyDescent="0.3">
      <c r="A26" s="158">
        <v>18</v>
      </c>
      <c r="B26" s="192"/>
      <c r="C26" s="161"/>
      <c r="D26" s="161"/>
      <c r="E26" s="160"/>
      <c r="F26" s="160"/>
      <c r="G26" s="160"/>
      <c r="H26" s="160"/>
      <c r="I26" s="160"/>
      <c r="J26" s="96"/>
    </row>
    <row r="27" spans="1:10" x14ac:dyDescent="0.3">
      <c r="A27" s="158">
        <v>19</v>
      </c>
      <c r="B27" s="192"/>
      <c r="C27" s="161"/>
      <c r="D27" s="161"/>
      <c r="E27" s="160"/>
      <c r="F27" s="160"/>
      <c r="G27" s="160"/>
      <c r="H27" s="160"/>
      <c r="I27" s="160"/>
      <c r="J27" s="96"/>
    </row>
    <row r="28" spans="1:10" x14ac:dyDescent="0.3">
      <c r="A28" s="158">
        <v>20</v>
      </c>
      <c r="B28" s="192"/>
      <c r="C28" s="161"/>
      <c r="D28" s="161"/>
      <c r="E28" s="160"/>
      <c r="F28" s="160"/>
      <c r="G28" s="160"/>
      <c r="H28" s="160"/>
      <c r="I28" s="160"/>
      <c r="J28" s="96"/>
    </row>
    <row r="29" spans="1:10" x14ac:dyDescent="0.3">
      <c r="A29" s="158">
        <v>21</v>
      </c>
      <c r="B29" s="192"/>
      <c r="C29" s="163"/>
      <c r="D29" s="163"/>
      <c r="E29" s="162"/>
      <c r="F29" s="162"/>
      <c r="G29" s="162"/>
      <c r="H29" s="258"/>
      <c r="I29" s="160"/>
      <c r="J29" s="96"/>
    </row>
    <row r="30" spans="1:10" x14ac:dyDescent="0.3">
      <c r="A30" s="158">
        <v>22</v>
      </c>
      <c r="B30" s="192"/>
      <c r="C30" s="163"/>
      <c r="D30" s="163"/>
      <c r="E30" s="162"/>
      <c r="F30" s="162"/>
      <c r="G30" s="162"/>
      <c r="H30" s="258"/>
      <c r="I30" s="160"/>
      <c r="J30" s="96"/>
    </row>
    <row r="31" spans="1:10" x14ac:dyDescent="0.3">
      <c r="A31" s="158">
        <v>23</v>
      </c>
      <c r="B31" s="192"/>
      <c r="C31" s="163"/>
      <c r="D31" s="163"/>
      <c r="E31" s="162"/>
      <c r="F31" s="162"/>
      <c r="G31" s="162"/>
      <c r="H31" s="258"/>
      <c r="I31" s="160"/>
      <c r="J31" s="96"/>
    </row>
    <row r="32" spans="1:10" x14ac:dyDescent="0.3">
      <c r="A32" s="158">
        <v>24</v>
      </c>
      <c r="B32" s="192"/>
      <c r="C32" s="163"/>
      <c r="D32" s="163"/>
      <c r="E32" s="162"/>
      <c r="F32" s="162"/>
      <c r="G32" s="162"/>
      <c r="H32" s="258"/>
      <c r="I32" s="160"/>
      <c r="J32" s="96"/>
    </row>
    <row r="33" spans="1:12" x14ac:dyDescent="0.3">
      <c r="A33" s="158">
        <v>25</v>
      </c>
      <c r="B33" s="192"/>
      <c r="C33" s="163"/>
      <c r="D33" s="163"/>
      <c r="E33" s="162"/>
      <c r="F33" s="162"/>
      <c r="G33" s="162"/>
      <c r="H33" s="258"/>
      <c r="I33" s="160"/>
      <c r="J33" s="96"/>
    </row>
    <row r="34" spans="1:12" x14ac:dyDescent="0.3">
      <c r="A34" s="158">
        <v>26</v>
      </c>
      <c r="B34" s="192"/>
      <c r="C34" s="163"/>
      <c r="D34" s="163"/>
      <c r="E34" s="162"/>
      <c r="F34" s="162"/>
      <c r="G34" s="162"/>
      <c r="H34" s="258"/>
      <c r="I34" s="160"/>
      <c r="J34" s="96"/>
    </row>
    <row r="35" spans="1:12" x14ac:dyDescent="0.3">
      <c r="A35" s="158">
        <v>27</v>
      </c>
      <c r="B35" s="192"/>
      <c r="C35" s="163"/>
      <c r="D35" s="163"/>
      <c r="E35" s="162"/>
      <c r="F35" s="162"/>
      <c r="G35" s="162"/>
      <c r="H35" s="258"/>
      <c r="I35" s="160"/>
      <c r="J35" s="96"/>
    </row>
    <row r="36" spans="1:12" x14ac:dyDescent="0.3">
      <c r="A36" s="158">
        <v>28</v>
      </c>
      <c r="B36" s="192"/>
      <c r="C36" s="163"/>
      <c r="D36" s="163"/>
      <c r="E36" s="162"/>
      <c r="F36" s="162"/>
      <c r="G36" s="162"/>
      <c r="H36" s="258"/>
      <c r="I36" s="160"/>
      <c r="J36" s="96"/>
    </row>
    <row r="37" spans="1:12" x14ac:dyDescent="0.3">
      <c r="A37" s="158">
        <v>29</v>
      </c>
      <c r="B37" s="192"/>
      <c r="C37" s="163"/>
      <c r="D37" s="163"/>
      <c r="E37" s="162"/>
      <c r="F37" s="162"/>
      <c r="G37" s="162"/>
      <c r="H37" s="258"/>
      <c r="I37" s="160"/>
      <c r="J37" s="96"/>
    </row>
    <row r="38" spans="1:12" x14ac:dyDescent="0.3">
      <c r="A38" s="158" t="s">
        <v>278</v>
      </c>
      <c r="B38" s="192"/>
      <c r="C38" s="163"/>
      <c r="D38" s="163"/>
      <c r="E38" s="162"/>
      <c r="F38" s="162"/>
      <c r="G38" s="259"/>
      <c r="H38" s="264" t="s">
        <v>432</v>
      </c>
      <c r="I38" s="577">
        <f>SUM(I9:I37)</f>
        <v>151193.87</v>
      </c>
      <c r="J38" s="96"/>
    </row>
    <row r="40" spans="1:12" x14ac:dyDescent="0.3">
      <c r="A40" s="170" t="s">
        <v>464</v>
      </c>
    </row>
    <row r="42" spans="1:12" x14ac:dyDescent="0.3">
      <c r="B42" s="172" t="s">
        <v>107</v>
      </c>
      <c r="F42" s="173"/>
    </row>
    <row r="43" spans="1:12" x14ac:dyDescent="0.3">
      <c r="F43" s="171"/>
      <c r="I43" s="171"/>
      <c r="J43" s="171"/>
      <c r="K43" s="171"/>
      <c r="L43" s="171"/>
    </row>
    <row r="44" spans="1:12" x14ac:dyDescent="0.3">
      <c r="C44" s="174"/>
      <c r="F44" s="174"/>
      <c r="G44" s="174"/>
      <c r="H44" s="177"/>
      <c r="I44" s="175"/>
      <c r="J44" s="171"/>
      <c r="K44" s="171"/>
      <c r="L44" s="171"/>
    </row>
    <row r="45" spans="1:12" x14ac:dyDescent="0.3">
      <c r="A45" s="171"/>
      <c r="C45" s="176" t="s">
        <v>268</v>
      </c>
      <c r="F45" s="177" t="s">
        <v>273</v>
      </c>
      <c r="G45" s="176"/>
      <c r="H45" s="176"/>
      <c r="I45" s="175"/>
      <c r="J45" s="171"/>
      <c r="K45" s="171"/>
      <c r="L45" s="171"/>
    </row>
    <row r="46" spans="1:12" x14ac:dyDescent="0.3">
      <c r="A46" s="171"/>
      <c r="C46" s="178" t="s">
        <v>139</v>
      </c>
      <c r="F46" s="170" t="s">
        <v>269</v>
      </c>
      <c r="I46" s="171"/>
      <c r="J46" s="171"/>
      <c r="K46" s="171"/>
      <c r="L46" s="171"/>
    </row>
    <row r="47" spans="1:12" s="171" customFormat="1" x14ac:dyDescent="0.3">
      <c r="B47" s="170"/>
      <c r="C47" s="178"/>
      <c r="G47" s="178"/>
      <c r="H47" s="178"/>
    </row>
    <row r="48" spans="1:12" s="171" customFormat="1" ht="12.75" x14ac:dyDescent="0.2"/>
    <row r="49" s="171" customFormat="1" ht="12.75" x14ac:dyDescent="0.2"/>
    <row r="50" s="171" customFormat="1" ht="12.75" x14ac:dyDescent="0.2"/>
    <row r="51" s="17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2.75" x14ac:dyDescent="0.2"/>
  <cols>
    <col min="1" max="1" width="2.7109375" style="182" customWidth="1"/>
    <col min="2" max="2" width="9" style="182" customWidth="1"/>
    <col min="3" max="3" width="23.42578125" style="182" customWidth="1"/>
    <col min="4" max="4" width="13.28515625" style="182" customWidth="1"/>
    <col min="5" max="5" width="9.5703125" style="182" customWidth="1"/>
    <col min="6" max="6" width="11.5703125" style="182" customWidth="1"/>
    <col min="7" max="7" width="12.28515625" style="182" customWidth="1"/>
    <col min="8" max="8" width="15.28515625" style="182" customWidth="1"/>
    <col min="9" max="9" width="17.5703125" style="182" customWidth="1"/>
    <col min="10" max="11" width="12.42578125" style="182" customWidth="1"/>
    <col min="12" max="12" width="23.5703125" style="182" customWidth="1"/>
    <col min="13" max="13" width="18.5703125" style="182" customWidth="1"/>
    <col min="14" max="14" width="0.85546875" style="182" customWidth="1"/>
    <col min="15" max="16384" width="9.140625" style="182"/>
  </cols>
  <sheetData>
    <row r="1" spans="1:14" ht="13.5" x14ac:dyDescent="0.2">
      <c r="A1" s="179" t="s">
        <v>466</v>
      </c>
      <c r="B1" s="180"/>
      <c r="C1" s="180"/>
      <c r="D1" s="180"/>
      <c r="E1" s="180"/>
      <c r="F1" s="180"/>
      <c r="G1" s="180"/>
      <c r="H1" s="180"/>
      <c r="I1" s="183"/>
      <c r="J1" s="247"/>
      <c r="K1" s="247"/>
      <c r="L1" s="247"/>
      <c r="M1" s="247" t="s">
        <v>421</v>
      </c>
      <c r="N1" s="183"/>
    </row>
    <row r="2" spans="1:14" ht="12.75" customHeight="1" x14ac:dyDescent="0.2">
      <c r="A2" s="183" t="s">
        <v>317</v>
      </c>
      <c r="B2" s="180"/>
      <c r="C2" s="180"/>
      <c r="D2" s="181"/>
      <c r="E2" s="181"/>
      <c r="F2" s="181"/>
      <c r="G2" s="181"/>
      <c r="H2" s="181"/>
      <c r="I2" s="180"/>
      <c r="J2" s="180"/>
      <c r="K2" s="180"/>
      <c r="L2" s="661" t="s">
        <v>645</v>
      </c>
      <c r="M2" s="661"/>
      <c r="N2" s="183"/>
    </row>
    <row r="3" spans="1:14" x14ac:dyDescent="0.2">
      <c r="A3" s="183"/>
      <c r="B3" s="180"/>
      <c r="C3" s="180"/>
      <c r="D3" s="181"/>
      <c r="E3" s="181"/>
      <c r="F3" s="181"/>
      <c r="G3" s="181"/>
      <c r="H3" s="181"/>
      <c r="I3" s="180"/>
      <c r="J3" s="180"/>
      <c r="K3" s="180"/>
      <c r="L3" s="180"/>
      <c r="M3" s="180"/>
      <c r="N3" s="183"/>
    </row>
    <row r="4" spans="1:14" ht="15" x14ac:dyDescent="0.3">
      <c r="A4" s="105" t="s">
        <v>274</v>
      </c>
      <c r="B4" s="180"/>
      <c r="C4" s="180"/>
      <c r="D4" s="184"/>
      <c r="E4" s="248"/>
      <c r="F4" s="184"/>
      <c r="G4" s="181"/>
      <c r="H4" s="181"/>
      <c r="I4" s="181"/>
      <c r="J4" s="181"/>
      <c r="K4" s="181"/>
      <c r="L4" s="180"/>
      <c r="M4" s="181"/>
      <c r="N4" s="183"/>
    </row>
    <row r="5" spans="1:14" x14ac:dyDescent="0.2">
      <c r="A5" s="185" t="str">
        <f>'ფორმა N1'!D4</f>
        <v>მოქალაქეთა  პოლიტიკური გაერთიანება "ეროვნული ფორუმი"</v>
      </c>
      <c r="B5" s="185"/>
      <c r="C5" s="185"/>
      <c r="D5" s="185"/>
      <c r="E5" s="186"/>
      <c r="F5" s="186"/>
      <c r="G5" s="186"/>
      <c r="H5" s="186"/>
      <c r="I5" s="186"/>
      <c r="J5" s="186"/>
      <c r="K5" s="186"/>
      <c r="L5" s="186"/>
      <c r="M5" s="186"/>
      <c r="N5" s="183"/>
    </row>
    <row r="6" spans="1:14" ht="13.5" thickBot="1" x14ac:dyDescent="0.2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183"/>
    </row>
    <row r="7" spans="1:14" ht="51" x14ac:dyDescent="0.2">
      <c r="A7" s="250" t="s">
        <v>64</v>
      </c>
      <c r="B7" s="251" t="s">
        <v>422</v>
      </c>
      <c r="C7" s="251" t="s">
        <v>423</v>
      </c>
      <c r="D7" s="252" t="s">
        <v>424</v>
      </c>
      <c r="E7" s="252" t="s">
        <v>275</v>
      </c>
      <c r="F7" s="252" t="s">
        <v>425</v>
      </c>
      <c r="G7" s="252" t="s">
        <v>426</v>
      </c>
      <c r="H7" s="251" t="s">
        <v>427</v>
      </c>
      <c r="I7" s="253" t="s">
        <v>428</v>
      </c>
      <c r="J7" s="253" t="s">
        <v>429</v>
      </c>
      <c r="K7" s="254" t="s">
        <v>430</v>
      </c>
      <c r="L7" s="254" t="s">
        <v>431</v>
      </c>
      <c r="M7" s="252" t="s">
        <v>421</v>
      </c>
      <c r="N7" s="183"/>
    </row>
    <row r="8" spans="1:14" x14ac:dyDescent="0.2">
      <c r="A8" s="188">
        <v>1</v>
      </c>
      <c r="B8" s="189">
        <v>2</v>
      </c>
      <c r="C8" s="189">
        <v>3</v>
      </c>
      <c r="D8" s="190">
        <v>4</v>
      </c>
      <c r="E8" s="190">
        <v>5</v>
      </c>
      <c r="F8" s="190">
        <v>6</v>
      </c>
      <c r="G8" s="190">
        <v>7</v>
      </c>
      <c r="H8" s="190">
        <v>8</v>
      </c>
      <c r="I8" s="190">
        <v>9</v>
      </c>
      <c r="J8" s="190">
        <v>10</v>
      </c>
      <c r="K8" s="190">
        <v>11</v>
      </c>
      <c r="L8" s="190">
        <v>12</v>
      </c>
      <c r="M8" s="190">
        <v>13</v>
      </c>
      <c r="N8" s="183"/>
    </row>
    <row r="9" spans="1:14" ht="15" x14ac:dyDescent="0.25">
      <c r="A9" s="191">
        <v>1</v>
      </c>
      <c r="B9" s="192"/>
      <c r="C9" s="255"/>
      <c r="D9" s="191"/>
      <c r="E9" s="191"/>
      <c r="F9" s="191"/>
      <c r="G9" s="191"/>
      <c r="H9" s="191"/>
      <c r="I9" s="191"/>
      <c r="J9" s="191"/>
      <c r="K9" s="191"/>
      <c r="L9" s="191"/>
      <c r="M9" s="256" t="str">
        <f t="shared" ref="M9:M28" si="0">IF(ISBLANK(B9),"",$L$2)</f>
        <v/>
      </c>
      <c r="N9" s="183"/>
    </row>
    <row r="10" spans="1:14" ht="15" x14ac:dyDescent="0.25">
      <c r="A10" s="191">
        <v>2</v>
      </c>
      <c r="B10" s="192"/>
      <c r="C10" s="255"/>
      <c r="D10" s="191"/>
      <c r="E10" s="191"/>
      <c r="F10" s="191"/>
      <c r="G10" s="191"/>
      <c r="H10" s="191"/>
      <c r="I10" s="191"/>
      <c r="J10" s="191"/>
      <c r="K10" s="191"/>
      <c r="L10" s="191"/>
      <c r="M10" s="256" t="str">
        <f t="shared" si="0"/>
        <v/>
      </c>
      <c r="N10" s="183"/>
    </row>
    <row r="11" spans="1:14" ht="15" x14ac:dyDescent="0.25">
      <c r="A11" s="191">
        <v>3</v>
      </c>
      <c r="B11" s="192"/>
      <c r="C11" s="255"/>
      <c r="D11" s="191"/>
      <c r="E11" s="191"/>
      <c r="F11" s="191"/>
      <c r="G11" s="191"/>
      <c r="H11" s="191"/>
      <c r="I11" s="191"/>
      <c r="J11" s="191"/>
      <c r="K11" s="191"/>
      <c r="L11" s="191"/>
      <c r="M11" s="256" t="str">
        <f t="shared" si="0"/>
        <v/>
      </c>
      <c r="N11" s="183"/>
    </row>
    <row r="12" spans="1:14" ht="15" x14ac:dyDescent="0.25">
      <c r="A12" s="191">
        <v>4</v>
      </c>
      <c r="B12" s="192"/>
      <c r="C12" s="255"/>
      <c r="D12" s="191"/>
      <c r="E12" s="191"/>
      <c r="F12" s="191"/>
      <c r="G12" s="191"/>
      <c r="H12" s="191"/>
      <c r="I12" s="191"/>
      <c r="J12" s="191"/>
      <c r="K12" s="191"/>
      <c r="L12" s="191"/>
      <c r="M12" s="256" t="str">
        <f t="shared" si="0"/>
        <v/>
      </c>
      <c r="N12" s="183"/>
    </row>
    <row r="13" spans="1:14" ht="15" x14ac:dyDescent="0.25">
      <c r="A13" s="191">
        <v>5</v>
      </c>
      <c r="B13" s="192"/>
      <c r="C13" s="255"/>
      <c r="D13" s="191"/>
      <c r="E13" s="191"/>
      <c r="F13" s="191"/>
      <c r="G13" s="191"/>
      <c r="H13" s="191"/>
      <c r="I13" s="191"/>
      <c r="J13" s="191"/>
      <c r="K13" s="191"/>
      <c r="L13" s="191"/>
      <c r="M13" s="256" t="str">
        <f t="shared" si="0"/>
        <v/>
      </c>
      <c r="N13" s="183"/>
    </row>
    <row r="14" spans="1:14" ht="15" x14ac:dyDescent="0.25">
      <c r="A14" s="191">
        <v>6</v>
      </c>
      <c r="B14" s="192"/>
      <c r="C14" s="255"/>
      <c r="D14" s="191"/>
      <c r="E14" s="191"/>
      <c r="F14" s="191"/>
      <c r="G14" s="191"/>
      <c r="H14" s="191"/>
      <c r="I14" s="191"/>
      <c r="J14" s="191"/>
      <c r="K14" s="191"/>
      <c r="L14" s="191"/>
      <c r="M14" s="256" t="str">
        <f t="shared" si="0"/>
        <v/>
      </c>
      <c r="N14" s="183"/>
    </row>
    <row r="15" spans="1:14" ht="15" x14ac:dyDescent="0.25">
      <c r="A15" s="191">
        <v>7</v>
      </c>
      <c r="B15" s="192"/>
      <c r="C15" s="255"/>
      <c r="D15" s="191"/>
      <c r="E15" s="191"/>
      <c r="F15" s="191"/>
      <c r="G15" s="191"/>
      <c r="H15" s="191"/>
      <c r="I15" s="191"/>
      <c r="J15" s="191"/>
      <c r="K15" s="191"/>
      <c r="L15" s="191"/>
      <c r="M15" s="256" t="str">
        <f t="shared" si="0"/>
        <v/>
      </c>
      <c r="N15" s="183"/>
    </row>
    <row r="16" spans="1:14" ht="15" x14ac:dyDescent="0.25">
      <c r="A16" s="191">
        <v>8</v>
      </c>
      <c r="B16" s="192"/>
      <c r="C16" s="255"/>
      <c r="D16" s="191"/>
      <c r="E16" s="191"/>
      <c r="F16" s="191"/>
      <c r="G16" s="191"/>
      <c r="H16" s="191"/>
      <c r="I16" s="191"/>
      <c r="J16" s="191"/>
      <c r="K16" s="191"/>
      <c r="L16" s="191"/>
      <c r="M16" s="256" t="str">
        <f t="shared" si="0"/>
        <v/>
      </c>
      <c r="N16" s="183"/>
    </row>
    <row r="17" spans="1:14" ht="15" x14ac:dyDescent="0.25">
      <c r="A17" s="191">
        <v>9</v>
      </c>
      <c r="B17" s="192"/>
      <c r="C17" s="255"/>
      <c r="D17" s="191"/>
      <c r="E17" s="191"/>
      <c r="F17" s="191"/>
      <c r="G17" s="191"/>
      <c r="H17" s="191"/>
      <c r="I17" s="191"/>
      <c r="J17" s="191"/>
      <c r="K17" s="191"/>
      <c r="L17" s="191"/>
      <c r="M17" s="256" t="str">
        <f t="shared" si="0"/>
        <v/>
      </c>
      <c r="N17" s="183"/>
    </row>
    <row r="18" spans="1:14" ht="15" x14ac:dyDescent="0.25">
      <c r="A18" s="191">
        <v>10</v>
      </c>
      <c r="B18" s="192"/>
      <c r="C18" s="255"/>
      <c r="D18" s="191"/>
      <c r="E18" s="191"/>
      <c r="F18" s="191"/>
      <c r="G18" s="191"/>
      <c r="H18" s="191"/>
      <c r="I18" s="191"/>
      <c r="J18" s="191"/>
      <c r="K18" s="191"/>
      <c r="L18" s="191"/>
      <c r="M18" s="256" t="str">
        <f t="shared" si="0"/>
        <v/>
      </c>
      <c r="N18" s="183"/>
    </row>
    <row r="19" spans="1:14" ht="15" x14ac:dyDescent="0.25">
      <c r="A19" s="191">
        <v>11</v>
      </c>
      <c r="B19" s="192"/>
      <c r="C19" s="255"/>
      <c r="D19" s="191"/>
      <c r="E19" s="191"/>
      <c r="F19" s="191"/>
      <c r="G19" s="191"/>
      <c r="H19" s="191"/>
      <c r="I19" s="191"/>
      <c r="J19" s="191"/>
      <c r="K19" s="191"/>
      <c r="L19" s="191"/>
      <c r="M19" s="256" t="str">
        <f t="shared" si="0"/>
        <v/>
      </c>
      <c r="N19" s="183"/>
    </row>
    <row r="20" spans="1:14" ht="15" x14ac:dyDescent="0.25">
      <c r="A20" s="191">
        <v>12</v>
      </c>
      <c r="B20" s="192"/>
      <c r="C20" s="255"/>
      <c r="D20" s="191"/>
      <c r="E20" s="191"/>
      <c r="F20" s="191"/>
      <c r="G20" s="191"/>
      <c r="H20" s="191"/>
      <c r="I20" s="191"/>
      <c r="J20" s="191"/>
      <c r="K20" s="191"/>
      <c r="L20" s="191"/>
      <c r="M20" s="256" t="str">
        <f t="shared" si="0"/>
        <v/>
      </c>
      <c r="N20" s="183"/>
    </row>
    <row r="21" spans="1:14" ht="15" x14ac:dyDescent="0.25">
      <c r="A21" s="191">
        <v>13</v>
      </c>
      <c r="B21" s="192"/>
      <c r="C21" s="255"/>
      <c r="D21" s="191"/>
      <c r="E21" s="191"/>
      <c r="F21" s="191"/>
      <c r="G21" s="191"/>
      <c r="H21" s="191"/>
      <c r="I21" s="191"/>
      <c r="J21" s="191"/>
      <c r="K21" s="191"/>
      <c r="L21" s="191"/>
      <c r="M21" s="256" t="str">
        <f t="shared" si="0"/>
        <v/>
      </c>
      <c r="N21" s="183"/>
    </row>
    <row r="22" spans="1:14" ht="15" x14ac:dyDescent="0.25">
      <c r="A22" s="191">
        <v>14</v>
      </c>
      <c r="B22" s="192"/>
      <c r="C22" s="255"/>
      <c r="D22" s="191"/>
      <c r="E22" s="191"/>
      <c r="F22" s="191"/>
      <c r="G22" s="191"/>
      <c r="H22" s="191"/>
      <c r="I22" s="191"/>
      <c r="J22" s="191"/>
      <c r="K22" s="191"/>
      <c r="L22" s="191"/>
      <c r="M22" s="256" t="str">
        <f t="shared" si="0"/>
        <v/>
      </c>
      <c r="N22" s="183"/>
    </row>
    <row r="23" spans="1:14" ht="15" x14ac:dyDescent="0.25">
      <c r="A23" s="191">
        <v>15</v>
      </c>
      <c r="B23" s="192"/>
      <c r="C23" s="255"/>
      <c r="D23" s="191"/>
      <c r="E23" s="191"/>
      <c r="F23" s="191"/>
      <c r="G23" s="191"/>
      <c r="H23" s="191"/>
      <c r="I23" s="191"/>
      <c r="J23" s="191"/>
      <c r="K23" s="191"/>
      <c r="L23" s="191"/>
      <c r="M23" s="256" t="str">
        <f t="shared" si="0"/>
        <v/>
      </c>
      <c r="N23" s="183"/>
    </row>
    <row r="24" spans="1:14" ht="15" x14ac:dyDescent="0.25">
      <c r="A24" s="191">
        <v>16</v>
      </c>
      <c r="B24" s="192"/>
      <c r="C24" s="255"/>
      <c r="D24" s="191"/>
      <c r="E24" s="191"/>
      <c r="F24" s="191"/>
      <c r="G24" s="191"/>
      <c r="H24" s="191"/>
      <c r="I24" s="191"/>
      <c r="J24" s="191"/>
      <c r="K24" s="191"/>
      <c r="L24" s="191"/>
      <c r="M24" s="256" t="str">
        <f t="shared" si="0"/>
        <v/>
      </c>
      <c r="N24" s="183"/>
    </row>
    <row r="25" spans="1:14" ht="15" x14ac:dyDescent="0.25">
      <c r="A25" s="191">
        <v>17</v>
      </c>
      <c r="B25" s="192"/>
      <c r="C25" s="255"/>
      <c r="D25" s="191"/>
      <c r="E25" s="191"/>
      <c r="F25" s="191"/>
      <c r="G25" s="191"/>
      <c r="H25" s="191"/>
      <c r="I25" s="191"/>
      <c r="J25" s="191"/>
      <c r="K25" s="191"/>
      <c r="L25" s="191"/>
      <c r="M25" s="256" t="str">
        <f t="shared" si="0"/>
        <v/>
      </c>
      <c r="N25" s="183"/>
    </row>
    <row r="26" spans="1:14" ht="15" x14ac:dyDescent="0.25">
      <c r="A26" s="191">
        <v>18</v>
      </c>
      <c r="B26" s="192"/>
      <c r="C26" s="255"/>
      <c r="D26" s="191"/>
      <c r="E26" s="191"/>
      <c r="F26" s="191"/>
      <c r="G26" s="191"/>
      <c r="H26" s="191"/>
      <c r="I26" s="191"/>
      <c r="J26" s="191"/>
      <c r="K26" s="191"/>
      <c r="L26" s="191"/>
      <c r="M26" s="256" t="str">
        <f t="shared" si="0"/>
        <v/>
      </c>
      <c r="N26" s="183"/>
    </row>
    <row r="27" spans="1:14" ht="15" x14ac:dyDescent="0.25">
      <c r="A27" s="191">
        <v>19</v>
      </c>
      <c r="B27" s="192"/>
      <c r="C27" s="255"/>
      <c r="D27" s="191"/>
      <c r="E27" s="191"/>
      <c r="F27" s="191"/>
      <c r="G27" s="191"/>
      <c r="H27" s="191"/>
      <c r="I27" s="191"/>
      <c r="J27" s="191"/>
      <c r="K27" s="191"/>
      <c r="L27" s="191"/>
      <c r="M27" s="256" t="str">
        <f t="shared" si="0"/>
        <v/>
      </c>
      <c r="N27" s="183"/>
    </row>
    <row r="28" spans="1:14" ht="15" x14ac:dyDescent="0.25">
      <c r="A28" s="257" t="s">
        <v>278</v>
      </c>
      <c r="B28" s="192"/>
      <c r="C28" s="255"/>
      <c r="D28" s="191"/>
      <c r="E28" s="191"/>
      <c r="F28" s="191"/>
      <c r="G28" s="191"/>
      <c r="H28" s="191"/>
      <c r="I28" s="191"/>
      <c r="J28" s="191"/>
      <c r="K28" s="191"/>
      <c r="L28" s="191"/>
      <c r="M28" s="256" t="str">
        <f t="shared" si="0"/>
        <v/>
      </c>
      <c r="N28" s="183"/>
    </row>
    <row r="29" spans="1:14" s="198" customFormat="1" x14ac:dyDescent="0.2"/>
    <row r="32" spans="1:14" s="21" customFormat="1" ht="15" x14ac:dyDescent="0.3">
      <c r="B32" s="193" t="s">
        <v>107</v>
      </c>
    </row>
    <row r="33" spans="2:13" s="21" customFormat="1" ht="15" x14ac:dyDescent="0.3">
      <c r="B33" s="193"/>
    </row>
    <row r="34" spans="2:13" s="21" customFormat="1" ht="15" x14ac:dyDescent="0.3">
      <c r="C34" s="195"/>
      <c r="D34" s="194"/>
      <c r="E34" s="194"/>
      <c r="H34" s="195"/>
      <c r="I34" s="195"/>
      <c r="J34" s="194"/>
      <c r="K34" s="194"/>
      <c r="L34" s="194"/>
    </row>
    <row r="35" spans="2:13" s="21" customFormat="1" ht="15" x14ac:dyDescent="0.3">
      <c r="C35" s="196" t="s">
        <v>268</v>
      </c>
      <c r="D35" s="194"/>
      <c r="E35" s="194"/>
      <c r="H35" s="193" t="s">
        <v>319</v>
      </c>
      <c r="M35" s="194"/>
    </row>
    <row r="36" spans="2:13" s="21" customFormat="1" ht="15" x14ac:dyDescent="0.3">
      <c r="C36" s="196" t="s">
        <v>139</v>
      </c>
      <c r="D36" s="194"/>
      <c r="E36" s="194"/>
      <c r="H36" s="197" t="s">
        <v>269</v>
      </c>
      <c r="M36" s="194"/>
    </row>
    <row r="37" spans="2:13" ht="15" x14ac:dyDescent="0.3">
      <c r="C37" s="196"/>
      <c r="F37" s="197"/>
      <c r="J37" s="199"/>
      <c r="K37" s="199"/>
      <c r="L37" s="199"/>
      <c r="M37" s="199"/>
    </row>
    <row r="38" spans="2:13" ht="15" x14ac:dyDescent="0.3">
      <c r="C38" s="196"/>
    </row>
  </sheetData>
  <sheetProtection insertColumns="0" insertRows="0" deleteRows="0"/>
  <mergeCells count="1">
    <mergeCell ref="L2:M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 B9:B28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8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93"/>
  <sheetViews>
    <sheetView showGridLines="0" view="pageBreakPreview" zoomScale="80" zoomScaleNormal="100" zoomScaleSheetLayoutView="80" workbookViewId="0">
      <selection activeCell="M13" sqref="M13"/>
    </sheetView>
  </sheetViews>
  <sheetFormatPr defaultRowHeight="15" x14ac:dyDescent="0.3"/>
  <cols>
    <col min="1" max="1" width="14.28515625" style="21" bestFit="1" customWidth="1"/>
    <col min="2" max="2" width="80" style="24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7" s="6" customFormat="1" x14ac:dyDescent="0.3">
      <c r="A1" s="65" t="s">
        <v>272</v>
      </c>
      <c r="B1" s="237"/>
      <c r="C1" s="638" t="s">
        <v>109</v>
      </c>
      <c r="D1" s="638"/>
      <c r="E1" s="104"/>
    </row>
    <row r="2" spans="1:7" s="6" customFormat="1" x14ac:dyDescent="0.3">
      <c r="A2" s="67" t="s">
        <v>140</v>
      </c>
      <c r="B2" s="237"/>
      <c r="C2" s="628" t="s">
        <v>645</v>
      </c>
      <c r="D2" s="639"/>
      <c r="E2" s="639"/>
    </row>
    <row r="3" spans="1:7" s="6" customFormat="1" x14ac:dyDescent="0.3">
      <c r="A3" s="67"/>
      <c r="B3" s="237"/>
      <c r="C3" s="66"/>
      <c r="D3" s="66"/>
      <c r="E3" s="104"/>
    </row>
    <row r="4" spans="1:7" s="2" customFormat="1" x14ac:dyDescent="0.3">
      <c r="A4" s="68" t="str">
        <f>'ფორმა N2'!A4</f>
        <v>ანგარიშვალდებული პირის დასახელება:</v>
      </c>
      <c r="B4" s="238"/>
      <c r="C4" s="67"/>
      <c r="D4" s="67"/>
      <c r="E4" s="99"/>
      <c r="G4" s="6"/>
    </row>
    <row r="5" spans="1:7" s="2" customFormat="1" x14ac:dyDescent="0.3">
      <c r="A5" s="108" t="str">
        <f>'ფორმა N1'!D4</f>
        <v>მოქალაქეთა  პოლიტიკური გაერთიანება "ეროვნული ფორუმი"</v>
      </c>
      <c r="B5" s="239"/>
      <c r="C5" s="49"/>
      <c r="D5" s="49"/>
      <c r="E5" s="99"/>
    </row>
    <row r="6" spans="1:7" s="2" customFormat="1" x14ac:dyDescent="0.3">
      <c r="A6" s="68"/>
      <c r="B6" s="238"/>
      <c r="C6" s="67"/>
      <c r="D6" s="67"/>
      <c r="E6" s="99"/>
    </row>
    <row r="7" spans="1:7" s="6" customFormat="1" ht="18" x14ac:dyDescent="0.3">
      <c r="A7" s="91"/>
      <c r="B7" s="103"/>
      <c r="C7" s="69"/>
      <c r="D7" s="69"/>
      <c r="E7" s="104"/>
    </row>
    <row r="8" spans="1:7" s="6" customFormat="1" ht="30" x14ac:dyDescent="0.3">
      <c r="A8" s="97" t="s">
        <v>64</v>
      </c>
      <c r="B8" s="70" t="s">
        <v>249</v>
      </c>
      <c r="C8" s="70" t="s">
        <v>66</v>
      </c>
      <c r="D8" s="70" t="s">
        <v>67</v>
      </c>
      <c r="E8" s="104"/>
      <c r="F8" s="20"/>
    </row>
    <row r="9" spans="1:7" s="7" customFormat="1" x14ac:dyDescent="0.3">
      <c r="A9" s="226">
        <v>1</v>
      </c>
      <c r="B9" s="226" t="s">
        <v>65</v>
      </c>
      <c r="C9" s="551">
        <f>SUM(C10,C26)</f>
        <v>952543.62</v>
      </c>
      <c r="D9" s="551">
        <f>SUM(D10,D26)</f>
        <v>820597.98</v>
      </c>
      <c r="E9" s="104"/>
    </row>
    <row r="10" spans="1:7" s="7" customFormat="1" x14ac:dyDescent="0.3">
      <c r="A10" s="78">
        <v>1.1000000000000001</v>
      </c>
      <c r="B10" s="78" t="s">
        <v>80</v>
      </c>
      <c r="C10" s="551">
        <f>SUM(C11,C12,C16,C19,C25)</f>
        <v>940323.62</v>
      </c>
      <c r="D10" s="551">
        <f>SUM(D11,D12,D16,D19,D25)</f>
        <v>820597.98</v>
      </c>
      <c r="E10" s="104"/>
    </row>
    <row r="11" spans="1:7" s="9" customFormat="1" ht="18" x14ac:dyDescent="0.3">
      <c r="A11" s="79" t="s">
        <v>30</v>
      </c>
      <c r="B11" s="79" t="s">
        <v>79</v>
      </c>
      <c r="C11" s="552"/>
      <c r="D11" s="552"/>
      <c r="E11" s="104"/>
    </row>
    <row r="12" spans="1:7" s="10" customFormat="1" x14ac:dyDescent="0.3">
      <c r="A12" s="79" t="s">
        <v>31</v>
      </c>
      <c r="B12" s="79" t="s">
        <v>308</v>
      </c>
      <c r="C12" s="553">
        <f>SUM(C13:C15)</f>
        <v>108201.98</v>
      </c>
      <c r="D12" s="553">
        <f>SUM(D13:D15)</f>
        <v>108201.98</v>
      </c>
      <c r="E12" s="104"/>
    </row>
    <row r="13" spans="1:7" s="3" customFormat="1" x14ac:dyDescent="0.3">
      <c r="A13" s="88" t="s">
        <v>81</v>
      </c>
      <c r="B13" s="88" t="s">
        <v>311</v>
      </c>
      <c r="C13" s="552">
        <f>107701.98</f>
        <v>107701.98</v>
      </c>
      <c r="D13" s="552">
        <f>107701.98</f>
        <v>107701.98</v>
      </c>
      <c r="E13" s="104"/>
    </row>
    <row r="14" spans="1:7" s="3" customFormat="1" x14ac:dyDescent="0.3">
      <c r="A14" s="88" t="s">
        <v>507</v>
      </c>
      <c r="B14" s="88" t="s">
        <v>506</v>
      </c>
      <c r="C14" s="552">
        <v>500</v>
      </c>
      <c r="D14" s="552">
        <v>500</v>
      </c>
      <c r="E14" s="104"/>
    </row>
    <row r="15" spans="1:7" s="3" customFormat="1" x14ac:dyDescent="0.3">
      <c r="A15" s="88" t="s">
        <v>508</v>
      </c>
      <c r="B15" s="88" t="s">
        <v>97</v>
      </c>
      <c r="C15" s="552"/>
      <c r="D15" s="552"/>
      <c r="E15" s="104"/>
    </row>
    <row r="16" spans="1:7" s="3" customFormat="1" x14ac:dyDescent="0.3">
      <c r="A16" s="79" t="s">
        <v>82</v>
      </c>
      <c r="B16" s="79" t="s">
        <v>83</v>
      </c>
      <c r="C16" s="553">
        <f>SUM(C17:C18)</f>
        <v>832121.64</v>
      </c>
      <c r="D16" s="553">
        <f>SUM(D17:D18)</f>
        <v>712396</v>
      </c>
      <c r="E16" s="104"/>
    </row>
    <row r="17" spans="1:5" s="3" customFormat="1" x14ac:dyDescent="0.3">
      <c r="A17" s="88" t="s">
        <v>84</v>
      </c>
      <c r="B17" s="88" t="s">
        <v>86</v>
      </c>
      <c r="C17" s="552">
        <f>301592</f>
        <v>301592</v>
      </c>
      <c r="D17" s="552">
        <f>301592</f>
        <v>301592</v>
      </c>
      <c r="E17" s="104"/>
    </row>
    <row r="18" spans="1:5" s="3" customFormat="1" ht="30" x14ac:dyDescent="0.3">
      <c r="A18" s="88" t="s">
        <v>85</v>
      </c>
      <c r="B18" s="88" t="s">
        <v>110</v>
      </c>
      <c r="C18" s="554">
        <f>410804+119725.64</f>
        <v>530529.64</v>
      </c>
      <c r="D18" s="552">
        <f>421104-10300</f>
        <v>410804</v>
      </c>
      <c r="E18" s="104"/>
    </row>
    <row r="19" spans="1:5" s="3" customFormat="1" x14ac:dyDescent="0.3">
      <c r="A19" s="79" t="s">
        <v>87</v>
      </c>
      <c r="B19" s="79" t="s">
        <v>418</v>
      </c>
      <c r="C19" s="553">
        <f>SUM(C20:C23)</f>
        <v>0</v>
      </c>
      <c r="D19" s="553">
        <f>SUM(D20:D23)</f>
        <v>0</v>
      </c>
      <c r="E19" s="104"/>
    </row>
    <row r="20" spans="1:5" s="3" customFormat="1" x14ac:dyDescent="0.3">
      <c r="A20" s="88" t="s">
        <v>88</v>
      </c>
      <c r="B20" s="88" t="s">
        <v>89</v>
      </c>
      <c r="C20" s="552"/>
      <c r="D20" s="552"/>
      <c r="E20" s="104"/>
    </row>
    <row r="21" spans="1:5" s="3" customFormat="1" ht="30" x14ac:dyDescent="0.3">
      <c r="A21" s="88" t="s">
        <v>92</v>
      </c>
      <c r="B21" s="88" t="s">
        <v>90</v>
      </c>
      <c r="C21" s="552"/>
      <c r="D21" s="552"/>
      <c r="E21" s="104"/>
    </row>
    <row r="22" spans="1:5" s="3" customFormat="1" x14ac:dyDescent="0.3">
      <c r="A22" s="88" t="s">
        <v>93</v>
      </c>
      <c r="B22" s="88" t="s">
        <v>91</v>
      </c>
      <c r="C22" s="552"/>
      <c r="D22" s="552"/>
      <c r="E22" s="104"/>
    </row>
    <row r="23" spans="1:5" s="3" customFormat="1" x14ac:dyDescent="0.3">
      <c r="A23" s="88" t="s">
        <v>94</v>
      </c>
      <c r="B23" s="88" t="s">
        <v>446</v>
      </c>
      <c r="C23" s="552"/>
      <c r="D23" s="552"/>
      <c r="E23" s="104"/>
    </row>
    <row r="24" spans="1:5" s="3" customFormat="1" x14ac:dyDescent="0.3">
      <c r="A24" s="79" t="s">
        <v>95</v>
      </c>
      <c r="B24" s="79" t="s">
        <v>447</v>
      </c>
      <c r="C24" s="555"/>
      <c r="D24" s="552"/>
      <c r="E24" s="104"/>
    </row>
    <row r="25" spans="1:5" s="3" customFormat="1" x14ac:dyDescent="0.3">
      <c r="A25" s="79" t="s">
        <v>251</v>
      </c>
      <c r="B25" s="79" t="s">
        <v>453</v>
      </c>
      <c r="C25" s="552"/>
      <c r="D25" s="552"/>
      <c r="E25" s="104"/>
    </row>
    <row r="26" spans="1:5" x14ac:dyDescent="0.3">
      <c r="A26" s="78">
        <v>1.2</v>
      </c>
      <c r="B26" s="78" t="s">
        <v>96</v>
      </c>
      <c r="C26" s="551">
        <f>SUM(C27,C31,C35)</f>
        <v>12220</v>
      </c>
      <c r="D26" s="551">
        <f>SUM(D27,D31,D35)</f>
        <v>0</v>
      </c>
      <c r="E26" s="104"/>
    </row>
    <row r="27" spans="1:5" x14ac:dyDescent="0.3">
      <c r="A27" s="79" t="s">
        <v>32</v>
      </c>
      <c r="B27" s="79" t="s">
        <v>311</v>
      </c>
      <c r="C27" s="553">
        <f>SUM(C28:C30)</f>
        <v>11500</v>
      </c>
      <c r="D27" s="553">
        <f>SUM(D28:D30)</f>
        <v>0</v>
      </c>
      <c r="E27" s="104"/>
    </row>
    <row r="28" spans="1:5" x14ac:dyDescent="0.3">
      <c r="A28" s="232" t="s">
        <v>98</v>
      </c>
      <c r="B28" s="232" t="s">
        <v>309</v>
      </c>
      <c r="C28" s="554">
        <f>11500-4200</f>
        <v>7300</v>
      </c>
      <c r="D28" s="552"/>
      <c r="E28" s="104"/>
    </row>
    <row r="29" spans="1:5" x14ac:dyDescent="0.3">
      <c r="A29" s="232" t="s">
        <v>99</v>
      </c>
      <c r="B29" s="232" t="s">
        <v>312</v>
      </c>
      <c r="C29" s="554">
        <v>200</v>
      </c>
      <c r="D29" s="552"/>
      <c r="E29" s="104"/>
    </row>
    <row r="30" spans="1:5" x14ac:dyDescent="0.3">
      <c r="A30" s="232" t="s">
        <v>455</v>
      </c>
      <c r="B30" s="232" t="s">
        <v>310</v>
      </c>
      <c r="C30" s="554">
        <v>4000</v>
      </c>
      <c r="D30" s="552"/>
      <c r="E30" s="104"/>
    </row>
    <row r="31" spans="1:5" x14ac:dyDescent="0.3">
      <c r="A31" s="79" t="s">
        <v>33</v>
      </c>
      <c r="B31" s="79" t="s">
        <v>506</v>
      </c>
      <c r="C31" s="556">
        <f>SUM(C32:C33)</f>
        <v>720</v>
      </c>
      <c r="D31" s="553">
        <f>SUM(D32:D34)</f>
        <v>0</v>
      </c>
      <c r="E31" s="104"/>
    </row>
    <row r="32" spans="1:5" x14ac:dyDescent="0.3">
      <c r="A32" s="232" t="s">
        <v>12</v>
      </c>
      <c r="B32" s="232" t="s">
        <v>509</v>
      </c>
      <c r="C32" s="554">
        <v>600</v>
      </c>
      <c r="D32" s="552"/>
      <c r="E32" s="104"/>
    </row>
    <row r="33" spans="1:6" x14ac:dyDescent="0.3">
      <c r="A33" s="232" t="s">
        <v>13</v>
      </c>
      <c r="B33" s="232" t="s">
        <v>510</v>
      </c>
      <c r="C33" s="554">
        <v>120</v>
      </c>
      <c r="D33" s="552"/>
      <c r="E33" s="104"/>
    </row>
    <row r="34" spans="1:6" x14ac:dyDescent="0.3">
      <c r="A34" s="232" t="s">
        <v>281</v>
      </c>
      <c r="B34" s="232" t="s">
        <v>511</v>
      </c>
      <c r="D34" s="552"/>
      <c r="E34" s="104"/>
    </row>
    <row r="35" spans="1:6" s="22" customFormat="1" x14ac:dyDescent="0.3">
      <c r="A35" s="79" t="s">
        <v>34</v>
      </c>
      <c r="B35" s="246" t="s">
        <v>452</v>
      </c>
      <c r="C35" s="552"/>
      <c r="D35" s="552"/>
    </row>
    <row r="36" spans="1:6" s="2" customFormat="1" x14ac:dyDescent="0.3">
      <c r="A36" s="1"/>
      <c r="B36" s="240"/>
      <c r="E36" s="5"/>
    </row>
    <row r="37" spans="1:6" s="2" customFormat="1" x14ac:dyDescent="0.3">
      <c r="B37" s="240"/>
      <c r="E37" s="5"/>
    </row>
    <row r="38" spans="1:6" x14ac:dyDescent="0.3">
      <c r="A38" s="1"/>
    </row>
    <row r="39" spans="1:6" x14ac:dyDescent="0.3">
      <c r="A39" s="2"/>
    </row>
    <row r="40" spans="1:6" s="2" customFormat="1" x14ac:dyDescent="0.3">
      <c r="A40" s="60" t="s">
        <v>107</v>
      </c>
      <c r="B40" s="240"/>
      <c r="E40" s="5"/>
    </row>
    <row r="41" spans="1:6" s="2" customFormat="1" x14ac:dyDescent="0.3">
      <c r="B41" s="240"/>
      <c r="E41"/>
      <c r="F41"/>
    </row>
    <row r="42" spans="1:6" s="2" customFormat="1" x14ac:dyDescent="0.3">
      <c r="B42" s="240"/>
      <c r="D42" s="12"/>
      <c r="E42"/>
      <c r="F42"/>
    </row>
    <row r="43" spans="1:6" s="2" customFormat="1" x14ac:dyDescent="0.3">
      <c r="A43"/>
      <c r="B43" s="242" t="s">
        <v>450</v>
      </c>
      <c r="D43" s="12"/>
      <c r="E43"/>
      <c r="F43"/>
    </row>
    <row r="44" spans="1:6" s="2" customFormat="1" x14ac:dyDescent="0.3">
      <c r="A44"/>
      <c r="B44" s="240" t="s">
        <v>270</v>
      </c>
      <c r="D44" s="12"/>
      <c r="E44"/>
      <c r="F44"/>
    </row>
    <row r="45" spans="1:6" customFormat="1" ht="12.75" x14ac:dyDescent="0.2">
      <c r="B45" s="243" t="s">
        <v>139</v>
      </c>
    </row>
    <row r="46" spans="1:6" customFormat="1" ht="12.75" x14ac:dyDescent="0.2">
      <c r="B46" s="244"/>
    </row>
    <row r="49" s="21" customFormat="1" x14ac:dyDescent="0.3"/>
    <row r="50" s="21" customFormat="1" x14ac:dyDescent="0.3"/>
    <row r="51" s="21" customFormat="1" x14ac:dyDescent="0.3"/>
    <row r="52" s="21" customFormat="1" x14ac:dyDescent="0.3"/>
    <row r="53" s="21" customFormat="1" x14ac:dyDescent="0.3"/>
    <row r="54" s="21" customFormat="1" x14ac:dyDescent="0.3"/>
    <row r="55" s="21" customFormat="1" x14ac:dyDescent="0.3"/>
    <row r="56" s="21" customFormat="1" x14ac:dyDescent="0.3"/>
    <row r="57" s="21" customFormat="1" x14ac:dyDescent="0.3"/>
    <row r="58" s="21" customFormat="1" x14ac:dyDescent="0.3"/>
    <row r="59" s="21" customFormat="1" x14ac:dyDescent="0.3"/>
    <row r="60" s="21" customFormat="1" x14ac:dyDescent="0.3"/>
    <row r="61" s="21" customFormat="1" x14ac:dyDescent="0.3"/>
    <row r="62" s="21" customFormat="1" x14ac:dyDescent="0.3"/>
    <row r="63" s="21" customFormat="1" x14ac:dyDescent="0.3"/>
    <row r="64" s="21" customFormat="1" x14ac:dyDescent="0.3"/>
    <row r="65" s="21" customFormat="1" x14ac:dyDescent="0.3"/>
    <row r="66" s="21" customFormat="1" x14ac:dyDescent="0.3"/>
    <row r="67" s="21" customFormat="1" x14ac:dyDescent="0.3"/>
    <row r="68" s="21" customFormat="1" x14ac:dyDescent="0.3"/>
    <row r="69" s="21" customFormat="1" x14ac:dyDescent="0.3"/>
    <row r="70" s="21" customFormat="1" x14ac:dyDescent="0.3"/>
    <row r="71" s="21" customFormat="1" x14ac:dyDescent="0.3"/>
    <row r="72" s="21" customFormat="1" x14ac:dyDescent="0.3"/>
    <row r="73" s="21" customFormat="1" x14ac:dyDescent="0.3"/>
    <row r="74" s="21" customFormat="1" x14ac:dyDescent="0.3"/>
    <row r="75" s="21" customFormat="1" x14ac:dyDescent="0.3"/>
    <row r="76" s="21" customFormat="1" x14ac:dyDescent="0.3"/>
    <row r="77" s="21" customFormat="1" x14ac:dyDescent="0.3"/>
    <row r="78" s="21" customFormat="1" x14ac:dyDescent="0.3"/>
    <row r="79" s="21" customFormat="1" x14ac:dyDescent="0.3"/>
    <row r="80" s="21" customFormat="1" x14ac:dyDescent="0.3"/>
    <row r="81" s="21" customFormat="1" x14ac:dyDescent="0.3"/>
    <row r="82" s="21" customFormat="1" x14ac:dyDescent="0.3"/>
    <row r="83" s="21" customFormat="1" x14ac:dyDescent="0.3"/>
    <row r="84" s="21" customFormat="1" x14ac:dyDescent="0.3"/>
    <row r="85" s="21" customFormat="1" x14ac:dyDescent="0.3"/>
    <row r="86" s="21" customFormat="1" x14ac:dyDescent="0.3"/>
    <row r="87" s="21" customFormat="1" x14ac:dyDescent="0.3"/>
    <row r="88" s="21" customFormat="1" x14ac:dyDescent="0.3"/>
    <row r="89" s="21" customFormat="1" x14ac:dyDescent="0.3"/>
    <row r="90" s="21" customFormat="1" x14ac:dyDescent="0.3"/>
    <row r="91" s="21" customFormat="1" x14ac:dyDescent="0.3"/>
    <row r="92" s="21" customFormat="1" x14ac:dyDescent="0.3"/>
    <row r="93" s="21" customFormat="1" x14ac:dyDescent="0.3"/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52">
        <v>40907</v>
      </c>
      <c r="C2" t="s">
        <v>200</v>
      </c>
      <c r="E2" t="s">
        <v>231</v>
      </c>
      <c r="G2" s="53" t="s">
        <v>237</v>
      </c>
    </row>
    <row r="3" spans="1:7" ht="15" x14ac:dyDescent="0.2">
      <c r="A3" s="52">
        <v>40908</v>
      </c>
      <c r="C3" t="s">
        <v>201</v>
      </c>
      <c r="E3" t="s">
        <v>232</v>
      </c>
      <c r="G3" s="53" t="s">
        <v>238</v>
      </c>
    </row>
    <row r="4" spans="1:7" ht="15" x14ac:dyDescent="0.2">
      <c r="A4" s="52">
        <v>40909</v>
      </c>
      <c r="C4" t="s">
        <v>202</v>
      </c>
      <c r="E4" t="s">
        <v>233</v>
      </c>
      <c r="G4" s="53" t="s">
        <v>239</v>
      </c>
    </row>
    <row r="5" spans="1:7" x14ac:dyDescent="0.2">
      <c r="A5" s="52">
        <v>40910</v>
      </c>
      <c r="C5" t="s">
        <v>203</v>
      </c>
      <c r="E5" t="s">
        <v>234</v>
      </c>
    </row>
    <row r="6" spans="1:7" x14ac:dyDescent="0.2">
      <c r="A6" s="52">
        <v>40911</v>
      </c>
      <c r="C6" t="s">
        <v>204</v>
      </c>
    </row>
    <row r="7" spans="1:7" x14ac:dyDescent="0.2">
      <c r="A7" s="52">
        <v>40912</v>
      </c>
      <c r="C7" t="s">
        <v>205</v>
      </c>
    </row>
    <row r="8" spans="1:7" x14ac:dyDescent="0.2">
      <c r="A8" s="52">
        <v>40913</v>
      </c>
      <c r="C8" t="s">
        <v>206</v>
      </c>
    </row>
    <row r="9" spans="1:7" x14ac:dyDescent="0.2">
      <c r="A9" s="52">
        <v>40914</v>
      </c>
      <c r="C9" t="s">
        <v>207</v>
      </c>
    </row>
    <row r="10" spans="1:7" x14ac:dyDescent="0.2">
      <c r="A10" s="52">
        <v>40915</v>
      </c>
      <c r="C10" t="s">
        <v>208</v>
      </c>
    </row>
    <row r="11" spans="1:7" x14ac:dyDescent="0.2">
      <c r="A11" s="52">
        <v>40916</v>
      </c>
      <c r="C11" t="s">
        <v>209</v>
      </c>
    </row>
    <row r="12" spans="1:7" x14ac:dyDescent="0.2">
      <c r="A12" s="52">
        <v>40917</v>
      </c>
      <c r="C12" t="s">
        <v>210</v>
      </c>
    </row>
    <row r="13" spans="1:7" x14ac:dyDescent="0.2">
      <c r="A13" s="52">
        <v>40918</v>
      </c>
      <c r="C13" t="s">
        <v>211</v>
      </c>
    </row>
    <row r="14" spans="1:7" x14ac:dyDescent="0.2">
      <c r="A14" s="52">
        <v>40919</v>
      </c>
      <c r="C14" t="s">
        <v>212</v>
      </c>
    </row>
    <row r="15" spans="1:7" x14ac:dyDescent="0.2">
      <c r="A15" s="52">
        <v>40920</v>
      </c>
      <c r="C15" t="s">
        <v>213</v>
      </c>
    </row>
    <row r="16" spans="1:7" x14ac:dyDescent="0.2">
      <c r="A16" s="52">
        <v>40921</v>
      </c>
      <c r="C16" t="s">
        <v>214</v>
      </c>
    </row>
    <row r="17" spans="1:3" x14ac:dyDescent="0.2">
      <c r="A17" s="52">
        <v>40922</v>
      </c>
      <c r="C17" t="s">
        <v>215</v>
      </c>
    </row>
    <row r="18" spans="1:3" x14ac:dyDescent="0.2">
      <c r="A18" s="52">
        <v>40923</v>
      </c>
      <c r="C18" t="s">
        <v>216</v>
      </c>
    </row>
    <row r="19" spans="1:3" x14ac:dyDescent="0.2">
      <c r="A19" s="52">
        <v>40924</v>
      </c>
      <c r="C19" t="s">
        <v>217</v>
      </c>
    </row>
    <row r="20" spans="1:3" x14ac:dyDescent="0.2">
      <c r="A20" s="52">
        <v>40925</v>
      </c>
      <c r="C20" t="s">
        <v>218</v>
      </c>
    </row>
    <row r="21" spans="1:3" x14ac:dyDescent="0.2">
      <c r="A21" s="52">
        <v>40926</v>
      </c>
    </row>
    <row r="22" spans="1:3" x14ac:dyDescent="0.2">
      <c r="A22" s="52">
        <v>40927</v>
      </c>
    </row>
    <row r="23" spans="1:3" x14ac:dyDescent="0.2">
      <c r="A23" s="52">
        <v>40928</v>
      </c>
    </row>
    <row r="24" spans="1:3" x14ac:dyDescent="0.2">
      <c r="A24" s="52">
        <v>40929</v>
      </c>
    </row>
    <row r="25" spans="1:3" x14ac:dyDescent="0.2">
      <c r="A25" s="52">
        <v>40930</v>
      </c>
    </row>
    <row r="26" spans="1:3" x14ac:dyDescent="0.2">
      <c r="A26" s="52">
        <v>40931</v>
      </c>
    </row>
    <row r="27" spans="1:3" x14ac:dyDescent="0.2">
      <c r="A27" s="52">
        <v>40932</v>
      </c>
    </row>
    <row r="28" spans="1:3" x14ac:dyDescent="0.2">
      <c r="A28" s="52">
        <v>40933</v>
      </c>
    </row>
    <row r="29" spans="1:3" x14ac:dyDescent="0.2">
      <c r="A29" s="52">
        <v>40934</v>
      </c>
    </row>
    <row r="30" spans="1:3" x14ac:dyDescent="0.2">
      <c r="A30" s="52">
        <v>40935</v>
      </c>
    </row>
    <row r="31" spans="1:3" x14ac:dyDescent="0.2">
      <c r="A31" s="52">
        <v>40936</v>
      </c>
    </row>
    <row r="32" spans="1:3" x14ac:dyDescent="0.2">
      <c r="A32" s="52">
        <v>40937</v>
      </c>
    </row>
    <row r="33" spans="1:1" x14ac:dyDescent="0.2">
      <c r="A33" s="52">
        <v>40938</v>
      </c>
    </row>
    <row r="34" spans="1:1" x14ac:dyDescent="0.2">
      <c r="A34" s="52">
        <v>40939</v>
      </c>
    </row>
    <row r="35" spans="1:1" x14ac:dyDescent="0.2">
      <c r="A35" s="52">
        <v>40941</v>
      </c>
    </row>
    <row r="36" spans="1:1" x14ac:dyDescent="0.2">
      <c r="A36" s="52">
        <v>40942</v>
      </c>
    </row>
    <row r="37" spans="1:1" x14ac:dyDescent="0.2">
      <c r="A37" s="52">
        <v>40943</v>
      </c>
    </row>
    <row r="38" spans="1:1" x14ac:dyDescent="0.2">
      <c r="A38" s="52">
        <v>40944</v>
      </c>
    </row>
    <row r="39" spans="1:1" x14ac:dyDescent="0.2">
      <c r="A39" s="52">
        <v>40945</v>
      </c>
    </row>
    <row r="40" spans="1:1" x14ac:dyDescent="0.2">
      <c r="A40" s="52">
        <v>40946</v>
      </c>
    </row>
    <row r="41" spans="1:1" x14ac:dyDescent="0.2">
      <c r="A41" s="52">
        <v>40947</v>
      </c>
    </row>
    <row r="42" spans="1:1" x14ac:dyDescent="0.2">
      <c r="A42" s="52">
        <v>40948</v>
      </c>
    </row>
    <row r="43" spans="1:1" x14ac:dyDescent="0.2">
      <c r="A43" s="52">
        <v>40949</v>
      </c>
    </row>
    <row r="44" spans="1:1" x14ac:dyDescent="0.2">
      <c r="A44" s="52">
        <v>40950</v>
      </c>
    </row>
    <row r="45" spans="1:1" x14ac:dyDescent="0.2">
      <c r="A45" s="52">
        <v>40951</v>
      </c>
    </row>
    <row r="46" spans="1:1" x14ac:dyDescent="0.2">
      <c r="A46" s="52">
        <v>40952</v>
      </c>
    </row>
    <row r="47" spans="1:1" x14ac:dyDescent="0.2">
      <c r="A47" s="52">
        <v>40953</v>
      </c>
    </row>
    <row r="48" spans="1:1" x14ac:dyDescent="0.2">
      <c r="A48" s="52">
        <v>40954</v>
      </c>
    </row>
    <row r="49" spans="1:1" x14ac:dyDescent="0.2">
      <c r="A49" s="52">
        <v>40955</v>
      </c>
    </row>
    <row r="50" spans="1:1" x14ac:dyDescent="0.2">
      <c r="A50" s="52">
        <v>40956</v>
      </c>
    </row>
    <row r="51" spans="1:1" x14ac:dyDescent="0.2">
      <c r="A51" s="52">
        <v>40957</v>
      </c>
    </row>
    <row r="52" spans="1:1" x14ac:dyDescent="0.2">
      <c r="A52" s="52">
        <v>40958</v>
      </c>
    </row>
    <row r="53" spans="1:1" x14ac:dyDescent="0.2">
      <c r="A53" s="52">
        <v>40959</v>
      </c>
    </row>
    <row r="54" spans="1:1" x14ac:dyDescent="0.2">
      <c r="A54" s="52">
        <v>40960</v>
      </c>
    </row>
    <row r="55" spans="1:1" x14ac:dyDescent="0.2">
      <c r="A55" s="52">
        <v>40961</v>
      </c>
    </row>
    <row r="56" spans="1:1" x14ac:dyDescent="0.2">
      <c r="A56" s="52">
        <v>40962</v>
      </c>
    </row>
    <row r="57" spans="1:1" x14ac:dyDescent="0.2">
      <c r="A57" s="52">
        <v>40963</v>
      </c>
    </row>
    <row r="58" spans="1:1" x14ac:dyDescent="0.2">
      <c r="A58" s="52">
        <v>40964</v>
      </c>
    </row>
    <row r="59" spans="1:1" x14ac:dyDescent="0.2">
      <c r="A59" s="52">
        <v>40965</v>
      </c>
    </row>
    <row r="60" spans="1:1" x14ac:dyDescent="0.2">
      <c r="A60" s="52">
        <v>40966</v>
      </c>
    </row>
    <row r="61" spans="1:1" x14ac:dyDescent="0.2">
      <c r="A61" s="52">
        <v>40967</v>
      </c>
    </row>
    <row r="62" spans="1:1" x14ac:dyDescent="0.2">
      <c r="A62" s="52">
        <v>40968</v>
      </c>
    </row>
    <row r="63" spans="1:1" x14ac:dyDescent="0.2">
      <c r="A63" s="52">
        <v>40969</v>
      </c>
    </row>
    <row r="64" spans="1:1" x14ac:dyDescent="0.2">
      <c r="A64" s="52">
        <v>40970</v>
      </c>
    </row>
    <row r="65" spans="1:1" x14ac:dyDescent="0.2">
      <c r="A65" s="52">
        <v>40971</v>
      </c>
    </row>
    <row r="66" spans="1:1" x14ac:dyDescent="0.2">
      <c r="A66" s="52">
        <v>40972</v>
      </c>
    </row>
    <row r="67" spans="1:1" x14ac:dyDescent="0.2">
      <c r="A67" s="52">
        <v>40973</v>
      </c>
    </row>
    <row r="68" spans="1:1" x14ac:dyDescent="0.2">
      <c r="A68" s="52">
        <v>40974</v>
      </c>
    </row>
    <row r="69" spans="1:1" x14ac:dyDescent="0.2">
      <c r="A69" s="52">
        <v>40975</v>
      </c>
    </row>
    <row r="70" spans="1:1" x14ac:dyDescent="0.2">
      <c r="A70" s="52">
        <v>40976</v>
      </c>
    </row>
    <row r="71" spans="1:1" x14ac:dyDescent="0.2">
      <c r="A71" s="52">
        <v>40977</v>
      </c>
    </row>
    <row r="72" spans="1:1" x14ac:dyDescent="0.2">
      <c r="A72" s="52">
        <v>40978</v>
      </c>
    </row>
    <row r="73" spans="1:1" x14ac:dyDescent="0.2">
      <c r="A73" s="52">
        <v>40979</v>
      </c>
    </row>
    <row r="74" spans="1:1" x14ac:dyDescent="0.2">
      <c r="A74" s="52">
        <v>40980</v>
      </c>
    </row>
    <row r="75" spans="1:1" x14ac:dyDescent="0.2">
      <c r="A75" s="52">
        <v>40981</v>
      </c>
    </row>
    <row r="76" spans="1:1" x14ac:dyDescent="0.2">
      <c r="A76" s="52">
        <v>40982</v>
      </c>
    </row>
    <row r="77" spans="1:1" x14ac:dyDescent="0.2">
      <c r="A77" s="52">
        <v>40983</v>
      </c>
    </row>
    <row r="78" spans="1:1" x14ac:dyDescent="0.2">
      <c r="A78" s="52">
        <v>40984</v>
      </c>
    </row>
    <row r="79" spans="1:1" x14ac:dyDescent="0.2">
      <c r="A79" s="52">
        <v>40985</v>
      </c>
    </row>
    <row r="80" spans="1:1" x14ac:dyDescent="0.2">
      <c r="A80" s="52">
        <v>40986</v>
      </c>
    </row>
    <row r="81" spans="1:1" x14ac:dyDescent="0.2">
      <c r="A81" s="52">
        <v>40987</v>
      </c>
    </row>
    <row r="82" spans="1:1" x14ac:dyDescent="0.2">
      <c r="A82" s="52">
        <v>40988</v>
      </c>
    </row>
    <row r="83" spans="1:1" x14ac:dyDescent="0.2">
      <c r="A83" s="52">
        <v>40989</v>
      </c>
    </row>
    <row r="84" spans="1:1" x14ac:dyDescent="0.2">
      <c r="A84" s="52">
        <v>40990</v>
      </c>
    </row>
    <row r="85" spans="1:1" x14ac:dyDescent="0.2">
      <c r="A85" s="52">
        <v>40991</v>
      </c>
    </row>
    <row r="86" spans="1:1" x14ac:dyDescent="0.2">
      <c r="A86" s="52">
        <v>40992</v>
      </c>
    </row>
    <row r="87" spans="1:1" x14ac:dyDescent="0.2">
      <c r="A87" s="52">
        <v>40993</v>
      </c>
    </row>
    <row r="88" spans="1:1" x14ac:dyDescent="0.2">
      <c r="A88" s="52">
        <v>40994</v>
      </c>
    </row>
    <row r="89" spans="1:1" x14ac:dyDescent="0.2">
      <c r="A89" s="52">
        <v>40995</v>
      </c>
    </row>
    <row r="90" spans="1:1" x14ac:dyDescent="0.2">
      <c r="A90" s="52">
        <v>40996</v>
      </c>
    </row>
    <row r="91" spans="1:1" x14ac:dyDescent="0.2">
      <c r="A91" s="52">
        <v>40997</v>
      </c>
    </row>
    <row r="92" spans="1:1" x14ac:dyDescent="0.2">
      <c r="A92" s="52">
        <v>40998</v>
      </c>
    </row>
    <row r="93" spans="1:1" x14ac:dyDescent="0.2">
      <c r="A93" s="52">
        <v>40999</v>
      </c>
    </row>
    <row r="94" spans="1:1" x14ac:dyDescent="0.2">
      <c r="A94" s="52">
        <v>41000</v>
      </c>
    </row>
    <row r="95" spans="1:1" x14ac:dyDescent="0.2">
      <c r="A95" s="52">
        <v>41001</v>
      </c>
    </row>
    <row r="96" spans="1:1" x14ac:dyDescent="0.2">
      <c r="A96" s="52">
        <v>41002</v>
      </c>
    </row>
    <row r="97" spans="1:1" x14ac:dyDescent="0.2">
      <c r="A97" s="52">
        <v>41003</v>
      </c>
    </row>
    <row r="98" spans="1:1" x14ac:dyDescent="0.2">
      <c r="A98" s="52">
        <v>41004</v>
      </c>
    </row>
    <row r="99" spans="1:1" x14ac:dyDescent="0.2">
      <c r="A99" s="52">
        <v>41005</v>
      </c>
    </row>
    <row r="100" spans="1:1" x14ac:dyDescent="0.2">
      <c r="A100" s="52">
        <v>41006</v>
      </c>
    </row>
    <row r="101" spans="1:1" x14ac:dyDescent="0.2">
      <c r="A101" s="52">
        <v>41007</v>
      </c>
    </row>
    <row r="102" spans="1:1" x14ac:dyDescent="0.2">
      <c r="A102" s="52">
        <v>41008</v>
      </c>
    </row>
    <row r="103" spans="1:1" x14ac:dyDescent="0.2">
      <c r="A103" s="52">
        <v>41009</v>
      </c>
    </row>
    <row r="104" spans="1:1" x14ac:dyDescent="0.2">
      <c r="A104" s="52">
        <v>41010</v>
      </c>
    </row>
    <row r="105" spans="1:1" x14ac:dyDescent="0.2">
      <c r="A105" s="52">
        <v>41011</v>
      </c>
    </row>
    <row r="106" spans="1:1" x14ac:dyDescent="0.2">
      <c r="A106" s="52">
        <v>41012</v>
      </c>
    </row>
    <row r="107" spans="1:1" x14ac:dyDescent="0.2">
      <c r="A107" s="52">
        <v>41013</v>
      </c>
    </row>
    <row r="108" spans="1:1" x14ac:dyDescent="0.2">
      <c r="A108" s="52">
        <v>41014</v>
      </c>
    </row>
    <row r="109" spans="1:1" x14ac:dyDescent="0.2">
      <c r="A109" s="52">
        <v>41015</v>
      </c>
    </row>
    <row r="110" spans="1:1" x14ac:dyDescent="0.2">
      <c r="A110" s="52">
        <v>41016</v>
      </c>
    </row>
    <row r="111" spans="1:1" x14ac:dyDescent="0.2">
      <c r="A111" s="52">
        <v>41017</v>
      </c>
    </row>
    <row r="112" spans="1:1" x14ac:dyDescent="0.2">
      <c r="A112" s="52">
        <v>41018</v>
      </c>
    </row>
    <row r="113" spans="1:1" x14ac:dyDescent="0.2">
      <c r="A113" s="52">
        <v>41019</v>
      </c>
    </row>
    <row r="114" spans="1:1" x14ac:dyDescent="0.2">
      <c r="A114" s="52">
        <v>41020</v>
      </c>
    </row>
    <row r="115" spans="1:1" x14ac:dyDescent="0.2">
      <c r="A115" s="52">
        <v>41021</v>
      </c>
    </row>
    <row r="116" spans="1:1" x14ac:dyDescent="0.2">
      <c r="A116" s="52">
        <v>41022</v>
      </c>
    </row>
    <row r="117" spans="1:1" x14ac:dyDescent="0.2">
      <c r="A117" s="52">
        <v>41023</v>
      </c>
    </row>
    <row r="118" spans="1:1" x14ac:dyDescent="0.2">
      <c r="A118" s="52">
        <v>41024</v>
      </c>
    </row>
    <row r="119" spans="1:1" x14ac:dyDescent="0.2">
      <c r="A119" s="52">
        <v>41025</v>
      </c>
    </row>
    <row r="120" spans="1:1" x14ac:dyDescent="0.2">
      <c r="A120" s="52">
        <v>41026</v>
      </c>
    </row>
    <row r="121" spans="1:1" x14ac:dyDescent="0.2">
      <c r="A121" s="52">
        <v>41027</v>
      </c>
    </row>
    <row r="122" spans="1:1" x14ac:dyDescent="0.2">
      <c r="A122" s="52">
        <v>41028</v>
      </c>
    </row>
    <row r="123" spans="1:1" x14ac:dyDescent="0.2">
      <c r="A123" s="52">
        <v>41029</v>
      </c>
    </row>
    <row r="124" spans="1:1" x14ac:dyDescent="0.2">
      <c r="A124" s="52">
        <v>41030</v>
      </c>
    </row>
    <row r="125" spans="1:1" x14ac:dyDescent="0.2">
      <c r="A125" s="52">
        <v>41031</v>
      </c>
    </row>
    <row r="126" spans="1:1" x14ac:dyDescent="0.2">
      <c r="A126" s="52">
        <v>41032</v>
      </c>
    </row>
    <row r="127" spans="1:1" x14ac:dyDescent="0.2">
      <c r="A127" s="52">
        <v>41033</v>
      </c>
    </row>
    <row r="128" spans="1:1" x14ac:dyDescent="0.2">
      <c r="A128" s="52">
        <v>41034</v>
      </c>
    </row>
    <row r="129" spans="1:1" x14ac:dyDescent="0.2">
      <c r="A129" s="52">
        <v>41035</v>
      </c>
    </row>
    <row r="130" spans="1:1" x14ac:dyDescent="0.2">
      <c r="A130" s="52">
        <v>41036</v>
      </c>
    </row>
    <row r="131" spans="1:1" x14ac:dyDescent="0.2">
      <c r="A131" s="52">
        <v>41037</v>
      </c>
    </row>
    <row r="132" spans="1:1" x14ac:dyDescent="0.2">
      <c r="A132" s="52">
        <v>41038</v>
      </c>
    </row>
    <row r="133" spans="1:1" x14ac:dyDescent="0.2">
      <c r="A133" s="52">
        <v>41039</v>
      </c>
    </row>
    <row r="134" spans="1:1" x14ac:dyDescent="0.2">
      <c r="A134" s="52">
        <v>41040</v>
      </c>
    </row>
    <row r="135" spans="1:1" x14ac:dyDescent="0.2">
      <c r="A135" s="52">
        <v>41041</v>
      </c>
    </row>
    <row r="136" spans="1:1" x14ac:dyDescent="0.2">
      <c r="A136" s="52">
        <v>41042</v>
      </c>
    </row>
    <row r="137" spans="1:1" x14ac:dyDescent="0.2">
      <c r="A137" s="52">
        <v>41043</v>
      </c>
    </row>
    <row r="138" spans="1:1" x14ac:dyDescent="0.2">
      <c r="A138" s="52">
        <v>41044</v>
      </c>
    </row>
    <row r="139" spans="1:1" x14ac:dyDescent="0.2">
      <c r="A139" s="52">
        <v>41045</v>
      </c>
    </row>
    <row r="140" spans="1:1" x14ac:dyDescent="0.2">
      <c r="A140" s="52">
        <v>41046</v>
      </c>
    </row>
    <row r="141" spans="1:1" x14ac:dyDescent="0.2">
      <c r="A141" s="52">
        <v>41047</v>
      </c>
    </row>
    <row r="142" spans="1:1" x14ac:dyDescent="0.2">
      <c r="A142" s="52">
        <v>41048</v>
      </c>
    </row>
    <row r="143" spans="1:1" x14ac:dyDescent="0.2">
      <c r="A143" s="52">
        <v>41049</v>
      </c>
    </row>
    <row r="144" spans="1:1" x14ac:dyDescent="0.2">
      <c r="A144" s="52">
        <v>41050</v>
      </c>
    </row>
    <row r="145" spans="1:1" x14ac:dyDescent="0.2">
      <c r="A145" s="52">
        <v>41051</v>
      </c>
    </row>
    <row r="146" spans="1:1" x14ac:dyDescent="0.2">
      <c r="A146" s="52">
        <v>41052</v>
      </c>
    </row>
    <row r="147" spans="1:1" x14ac:dyDescent="0.2">
      <c r="A147" s="52">
        <v>41053</v>
      </c>
    </row>
    <row r="148" spans="1:1" x14ac:dyDescent="0.2">
      <c r="A148" s="52">
        <v>41054</v>
      </c>
    </row>
    <row r="149" spans="1:1" x14ac:dyDescent="0.2">
      <c r="A149" s="52">
        <v>41055</v>
      </c>
    </row>
    <row r="150" spans="1:1" x14ac:dyDescent="0.2">
      <c r="A150" s="52">
        <v>41056</v>
      </c>
    </row>
    <row r="151" spans="1:1" x14ac:dyDescent="0.2">
      <c r="A151" s="52">
        <v>41057</v>
      </c>
    </row>
    <row r="152" spans="1:1" x14ac:dyDescent="0.2">
      <c r="A152" s="52">
        <v>41058</v>
      </c>
    </row>
    <row r="153" spans="1:1" x14ac:dyDescent="0.2">
      <c r="A153" s="52">
        <v>41059</v>
      </c>
    </row>
    <row r="154" spans="1:1" x14ac:dyDescent="0.2">
      <c r="A154" s="52">
        <v>41060</v>
      </c>
    </row>
    <row r="155" spans="1:1" x14ac:dyDescent="0.2">
      <c r="A155" s="52">
        <v>41061</v>
      </c>
    </row>
    <row r="156" spans="1:1" x14ac:dyDescent="0.2">
      <c r="A156" s="52">
        <v>41062</v>
      </c>
    </row>
    <row r="157" spans="1:1" x14ac:dyDescent="0.2">
      <c r="A157" s="52">
        <v>41063</v>
      </c>
    </row>
    <row r="158" spans="1:1" x14ac:dyDescent="0.2">
      <c r="A158" s="52">
        <v>41064</v>
      </c>
    </row>
    <row r="159" spans="1:1" x14ac:dyDescent="0.2">
      <c r="A159" s="52">
        <v>41065</v>
      </c>
    </row>
    <row r="160" spans="1:1" x14ac:dyDescent="0.2">
      <c r="A160" s="52">
        <v>41066</v>
      </c>
    </row>
    <row r="161" spans="1:1" x14ac:dyDescent="0.2">
      <c r="A161" s="52">
        <v>41067</v>
      </c>
    </row>
    <row r="162" spans="1:1" x14ac:dyDescent="0.2">
      <c r="A162" s="52">
        <v>41068</v>
      </c>
    </row>
    <row r="163" spans="1:1" x14ac:dyDescent="0.2">
      <c r="A163" s="52">
        <v>41069</v>
      </c>
    </row>
    <row r="164" spans="1:1" x14ac:dyDescent="0.2">
      <c r="A164" s="52">
        <v>41070</v>
      </c>
    </row>
    <row r="165" spans="1:1" x14ac:dyDescent="0.2">
      <c r="A165" s="52">
        <v>41071</v>
      </c>
    </row>
    <row r="166" spans="1:1" x14ac:dyDescent="0.2">
      <c r="A166" s="52">
        <v>41072</v>
      </c>
    </row>
    <row r="167" spans="1:1" x14ac:dyDescent="0.2">
      <c r="A167" s="52">
        <v>41073</v>
      </c>
    </row>
    <row r="168" spans="1:1" x14ac:dyDescent="0.2">
      <c r="A168" s="52">
        <v>41074</v>
      </c>
    </row>
    <row r="169" spans="1:1" x14ac:dyDescent="0.2">
      <c r="A169" s="52">
        <v>41075</v>
      </c>
    </row>
    <row r="170" spans="1:1" x14ac:dyDescent="0.2">
      <c r="A170" s="52">
        <v>41076</v>
      </c>
    </row>
    <row r="171" spans="1:1" x14ac:dyDescent="0.2">
      <c r="A171" s="52">
        <v>41077</v>
      </c>
    </row>
    <row r="172" spans="1:1" x14ac:dyDescent="0.2">
      <c r="A172" s="52">
        <v>41078</v>
      </c>
    </row>
    <row r="173" spans="1:1" x14ac:dyDescent="0.2">
      <c r="A173" s="52">
        <v>41079</v>
      </c>
    </row>
    <row r="174" spans="1:1" x14ac:dyDescent="0.2">
      <c r="A174" s="52">
        <v>41080</v>
      </c>
    </row>
    <row r="175" spans="1:1" x14ac:dyDescent="0.2">
      <c r="A175" s="52">
        <v>41081</v>
      </c>
    </row>
    <row r="176" spans="1:1" x14ac:dyDescent="0.2">
      <c r="A176" s="52">
        <v>41082</v>
      </c>
    </row>
    <row r="177" spans="1:1" x14ac:dyDescent="0.2">
      <c r="A177" s="52">
        <v>41083</v>
      </c>
    </row>
    <row r="178" spans="1:1" x14ac:dyDescent="0.2">
      <c r="A178" s="52">
        <v>41084</v>
      </c>
    </row>
    <row r="179" spans="1:1" x14ac:dyDescent="0.2">
      <c r="A179" s="52">
        <v>41085</v>
      </c>
    </row>
    <row r="180" spans="1:1" x14ac:dyDescent="0.2">
      <c r="A180" s="52">
        <v>41086</v>
      </c>
    </row>
    <row r="181" spans="1:1" x14ac:dyDescent="0.2">
      <c r="A181" s="52">
        <v>41087</v>
      </c>
    </row>
    <row r="182" spans="1:1" x14ac:dyDescent="0.2">
      <c r="A182" s="52">
        <v>41088</v>
      </c>
    </row>
    <row r="183" spans="1:1" x14ac:dyDescent="0.2">
      <c r="A183" s="52">
        <v>41089</v>
      </c>
    </row>
    <row r="184" spans="1:1" x14ac:dyDescent="0.2">
      <c r="A184" s="52">
        <v>41090</v>
      </c>
    </row>
    <row r="185" spans="1:1" x14ac:dyDescent="0.2">
      <c r="A185" s="52">
        <v>41091</v>
      </c>
    </row>
    <row r="186" spans="1:1" x14ac:dyDescent="0.2">
      <c r="A186" s="52">
        <v>41092</v>
      </c>
    </row>
    <row r="187" spans="1:1" x14ac:dyDescent="0.2">
      <c r="A187" s="52">
        <v>41093</v>
      </c>
    </row>
    <row r="188" spans="1:1" x14ac:dyDescent="0.2">
      <c r="A188" s="52">
        <v>41094</v>
      </c>
    </row>
    <row r="189" spans="1:1" x14ac:dyDescent="0.2">
      <c r="A189" s="52">
        <v>41095</v>
      </c>
    </row>
    <row r="190" spans="1:1" x14ac:dyDescent="0.2">
      <c r="A190" s="52">
        <v>41096</v>
      </c>
    </row>
    <row r="191" spans="1:1" x14ac:dyDescent="0.2">
      <c r="A191" s="52">
        <v>41097</v>
      </c>
    </row>
    <row r="192" spans="1:1" x14ac:dyDescent="0.2">
      <c r="A192" s="52">
        <v>41098</v>
      </c>
    </row>
    <row r="193" spans="1:1" x14ac:dyDescent="0.2">
      <c r="A193" s="52">
        <v>41099</v>
      </c>
    </row>
    <row r="194" spans="1:1" x14ac:dyDescent="0.2">
      <c r="A194" s="52">
        <v>41100</v>
      </c>
    </row>
    <row r="195" spans="1:1" x14ac:dyDescent="0.2">
      <c r="A195" s="52">
        <v>41101</v>
      </c>
    </row>
    <row r="196" spans="1:1" x14ac:dyDescent="0.2">
      <c r="A196" s="52">
        <v>41102</v>
      </c>
    </row>
    <row r="197" spans="1:1" x14ac:dyDescent="0.2">
      <c r="A197" s="52">
        <v>41103</v>
      </c>
    </row>
    <row r="198" spans="1:1" x14ac:dyDescent="0.2">
      <c r="A198" s="52">
        <v>41104</v>
      </c>
    </row>
    <row r="199" spans="1:1" x14ac:dyDescent="0.2">
      <c r="A199" s="52">
        <v>41105</v>
      </c>
    </row>
    <row r="200" spans="1:1" x14ac:dyDescent="0.2">
      <c r="A200" s="52">
        <v>41106</v>
      </c>
    </row>
    <row r="201" spans="1:1" x14ac:dyDescent="0.2">
      <c r="A201" s="52">
        <v>41107</v>
      </c>
    </row>
    <row r="202" spans="1:1" x14ac:dyDescent="0.2">
      <c r="A202" s="52">
        <v>41108</v>
      </c>
    </row>
    <row r="203" spans="1:1" x14ac:dyDescent="0.2">
      <c r="A203" s="52">
        <v>41109</v>
      </c>
    </row>
    <row r="204" spans="1:1" x14ac:dyDescent="0.2">
      <c r="A204" s="52">
        <v>41110</v>
      </c>
    </row>
    <row r="205" spans="1:1" x14ac:dyDescent="0.2">
      <c r="A205" s="52">
        <v>41111</v>
      </c>
    </row>
    <row r="206" spans="1:1" x14ac:dyDescent="0.2">
      <c r="A206" s="52">
        <v>41112</v>
      </c>
    </row>
    <row r="207" spans="1:1" x14ac:dyDescent="0.2">
      <c r="A207" s="52">
        <v>41113</v>
      </c>
    </row>
    <row r="208" spans="1:1" x14ac:dyDescent="0.2">
      <c r="A208" s="52">
        <v>41114</v>
      </c>
    </row>
    <row r="209" spans="1:1" x14ac:dyDescent="0.2">
      <c r="A209" s="52">
        <v>41115</v>
      </c>
    </row>
    <row r="210" spans="1:1" x14ac:dyDescent="0.2">
      <c r="A210" s="52">
        <v>41116</v>
      </c>
    </row>
    <row r="211" spans="1:1" x14ac:dyDescent="0.2">
      <c r="A211" s="52">
        <v>41117</v>
      </c>
    </row>
    <row r="212" spans="1:1" x14ac:dyDescent="0.2">
      <c r="A212" s="52">
        <v>41118</v>
      </c>
    </row>
    <row r="213" spans="1:1" x14ac:dyDescent="0.2">
      <c r="A213" s="52">
        <v>41119</v>
      </c>
    </row>
    <row r="214" spans="1:1" x14ac:dyDescent="0.2">
      <c r="A214" s="52">
        <v>41120</v>
      </c>
    </row>
    <row r="215" spans="1:1" x14ac:dyDescent="0.2">
      <c r="A215" s="52">
        <v>41121</v>
      </c>
    </row>
    <row r="216" spans="1:1" x14ac:dyDescent="0.2">
      <c r="A216" s="52">
        <v>41122</v>
      </c>
    </row>
    <row r="217" spans="1:1" x14ac:dyDescent="0.2">
      <c r="A217" s="52">
        <v>41123</v>
      </c>
    </row>
    <row r="218" spans="1:1" x14ac:dyDescent="0.2">
      <c r="A218" s="52">
        <v>41124</v>
      </c>
    </row>
    <row r="219" spans="1:1" x14ac:dyDescent="0.2">
      <c r="A219" s="52">
        <v>41125</v>
      </c>
    </row>
    <row r="220" spans="1:1" x14ac:dyDescent="0.2">
      <c r="A220" s="52">
        <v>41126</v>
      </c>
    </row>
    <row r="221" spans="1:1" x14ac:dyDescent="0.2">
      <c r="A221" s="52">
        <v>41127</v>
      </c>
    </row>
    <row r="222" spans="1:1" x14ac:dyDescent="0.2">
      <c r="A222" s="52">
        <v>41128</v>
      </c>
    </row>
    <row r="223" spans="1:1" x14ac:dyDescent="0.2">
      <c r="A223" s="52">
        <v>41129</v>
      </c>
    </row>
    <row r="224" spans="1:1" x14ac:dyDescent="0.2">
      <c r="A224" s="52">
        <v>41130</v>
      </c>
    </row>
    <row r="225" spans="1:1" x14ac:dyDescent="0.2">
      <c r="A225" s="52">
        <v>41131</v>
      </c>
    </row>
    <row r="226" spans="1:1" x14ac:dyDescent="0.2">
      <c r="A226" s="52">
        <v>41132</v>
      </c>
    </row>
    <row r="227" spans="1:1" x14ac:dyDescent="0.2">
      <c r="A227" s="52">
        <v>41133</v>
      </c>
    </row>
    <row r="228" spans="1:1" x14ac:dyDescent="0.2">
      <c r="A228" s="52">
        <v>41134</v>
      </c>
    </row>
    <row r="229" spans="1:1" x14ac:dyDescent="0.2">
      <c r="A229" s="52">
        <v>41135</v>
      </c>
    </row>
    <row r="230" spans="1:1" x14ac:dyDescent="0.2">
      <c r="A230" s="52">
        <v>41136</v>
      </c>
    </row>
    <row r="231" spans="1:1" x14ac:dyDescent="0.2">
      <c r="A231" s="52">
        <v>41137</v>
      </c>
    </row>
    <row r="232" spans="1:1" x14ac:dyDescent="0.2">
      <c r="A232" s="52">
        <v>41138</v>
      </c>
    </row>
    <row r="233" spans="1:1" x14ac:dyDescent="0.2">
      <c r="A233" s="52">
        <v>41139</v>
      </c>
    </row>
    <row r="234" spans="1:1" x14ac:dyDescent="0.2">
      <c r="A234" s="52">
        <v>41140</v>
      </c>
    </row>
    <row r="235" spans="1:1" x14ac:dyDescent="0.2">
      <c r="A235" s="52">
        <v>41141</v>
      </c>
    </row>
    <row r="236" spans="1:1" x14ac:dyDescent="0.2">
      <c r="A236" s="52">
        <v>41142</v>
      </c>
    </row>
    <row r="237" spans="1:1" x14ac:dyDescent="0.2">
      <c r="A237" s="52">
        <v>41143</v>
      </c>
    </row>
    <row r="238" spans="1:1" x14ac:dyDescent="0.2">
      <c r="A238" s="52">
        <v>41144</v>
      </c>
    </row>
    <row r="239" spans="1:1" x14ac:dyDescent="0.2">
      <c r="A239" s="52">
        <v>41145</v>
      </c>
    </row>
    <row r="240" spans="1:1" x14ac:dyDescent="0.2">
      <c r="A240" s="52">
        <v>41146</v>
      </c>
    </row>
    <row r="241" spans="1:1" x14ac:dyDescent="0.2">
      <c r="A241" s="52">
        <v>41147</v>
      </c>
    </row>
    <row r="242" spans="1:1" x14ac:dyDescent="0.2">
      <c r="A242" s="52">
        <v>41148</v>
      </c>
    </row>
    <row r="243" spans="1:1" x14ac:dyDescent="0.2">
      <c r="A243" s="52">
        <v>41149</v>
      </c>
    </row>
    <row r="244" spans="1:1" x14ac:dyDescent="0.2">
      <c r="A244" s="52">
        <v>41150</v>
      </c>
    </row>
    <row r="245" spans="1:1" x14ac:dyDescent="0.2">
      <c r="A245" s="52">
        <v>41151</v>
      </c>
    </row>
    <row r="246" spans="1:1" x14ac:dyDescent="0.2">
      <c r="A246" s="52">
        <v>41152</v>
      </c>
    </row>
    <row r="247" spans="1:1" x14ac:dyDescent="0.2">
      <c r="A247" s="52">
        <v>41153</v>
      </c>
    </row>
    <row r="248" spans="1:1" x14ac:dyDescent="0.2">
      <c r="A248" s="52">
        <v>41154</v>
      </c>
    </row>
    <row r="249" spans="1:1" x14ac:dyDescent="0.2">
      <c r="A249" s="52">
        <v>41155</v>
      </c>
    </row>
    <row r="250" spans="1:1" x14ac:dyDescent="0.2">
      <c r="A250" s="52">
        <v>41156</v>
      </c>
    </row>
    <row r="251" spans="1:1" x14ac:dyDescent="0.2">
      <c r="A251" s="52">
        <v>41157</v>
      </c>
    </row>
    <row r="252" spans="1:1" x14ac:dyDescent="0.2">
      <c r="A252" s="52">
        <v>41158</v>
      </c>
    </row>
    <row r="253" spans="1:1" x14ac:dyDescent="0.2">
      <c r="A253" s="52">
        <v>41159</v>
      </c>
    </row>
    <row r="254" spans="1:1" x14ac:dyDescent="0.2">
      <c r="A254" s="52">
        <v>41160</v>
      </c>
    </row>
    <row r="255" spans="1:1" x14ac:dyDescent="0.2">
      <c r="A255" s="52">
        <v>41161</v>
      </c>
    </row>
    <row r="256" spans="1:1" x14ac:dyDescent="0.2">
      <c r="A256" s="52">
        <v>41162</v>
      </c>
    </row>
    <row r="257" spans="1:1" x14ac:dyDescent="0.2">
      <c r="A257" s="52">
        <v>41163</v>
      </c>
    </row>
    <row r="258" spans="1:1" x14ac:dyDescent="0.2">
      <c r="A258" s="52">
        <v>41164</v>
      </c>
    </row>
    <row r="259" spans="1:1" x14ac:dyDescent="0.2">
      <c r="A259" s="52">
        <v>41165</v>
      </c>
    </row>
    <row r="260" spans="1:1" x14ac:dyDescent="0.2">
      <c r="A260" s="52">
        <v>41166</v>
      </c>
    </row>
    <row r="261" spans="1:1" x14ac:dyDescent="0.2">
      <c r="A261" s="52">
        <v>41167</v>
      </c>
    </row>
    <row r="262" spans="1:1" x14ac:dyDescent="0.2">
      <c r="A262" s="52">
        <v>41168</v>
      </c>
    </row>
    <row r="263" spans="1:1" x14ac:dyDescent="0.2">
      <c r="A263" s="52">
        <v>41169</v>
      </c>
    </row>
    <row r="264" spans="1:1" x14ac:dyDescent="0.2">
      <c r="A264" s="52">
        <v>41170</v>
      </c>
    </row>
    <row r="265" spans="1:1" x14ac:dyDescent="0.2">
      <c r="A265" s="52">
        <v>41171</v>
      </c>
    </row>
    <row r="266" spans="1:1" x14ac:dyDescent="0.2">
      <c r="A266" s="52">
        <v>41172</v>
      </c>
    </row>
    <row r="267" spans="1:1" x14ac:dyDescent="0.2">
      <c r="A267" s="52">
        <v>41173</v>
      </c>
    </row>
    <row r="268" spans="1:1" x14ac:dyDescent="0.2">
      <c r="A268" s="52">
        <v>41174</v>
      </c>
    </row>
    <row r="269" spans="1:1" x14ac:dyDescent="0.2">
      <c r="A269" s="52">
        <v>41175</v>
      </c>
    </row>
    <row r="270" spans="1:1" x14ac:dyDescent="0.2">
      <c r="A270" s="52">
        <v>41176</v>
      </c>
    </row>
    <row r="271" spans="1:1" x14ac:dyDescent="0.2">
      <c r="A271" s="52">
        <v>41177</v>
      </c>
    </row>
    <row r="272" spans="1:1" x14ac:dyDescent="0.2">
      <c r="A272" s="52">
        <v>41178</v>
      </c>
    </row>
    <row r="273" spans="1:1" x14ac:dyDescent="0.2">
      <c r="A273" s="52">
        <v>41179</v>
      </c>
    </row>
    <row r="274" spans="1:1" x14ac:dyDescent="0.2">
      <c r="A274" s="52">
        <v>41180</v>
      </c>
    </row>
    <row r="275" spans="1:1" x14ac:dyDescent="0.2">
      <c r="A275" s="52">
        <v>41181</v>
      </c>
    </row>
    <row r="276" spans="1:1" x14ac:dyDescent="0.2">
      <c r="A276" s="52">
        <v>41182</v>
      </c>
    </row>
    <row r="277" spans="1:1" x14ac:dyDescent="0.2">
      <c r="A277" s="52">
        <v>41183</v>
      </c>
    </row>
    <row r="278" spans="1:1" x14ac:dyDescent="0.2">
      <c r="A278" s="52">
        <v>41184</v>
      </c>
    </row>
    <row r="279" spans="1:1" x14ac:dyDescent="0.2">
      <c r="A279" s="52">
        <v>41185</v>
      </c>
    </row>
    <row r="280" spans="1:1" x14ac:dyDescent="0.2">
      <c r="A280" s="52">
        <v>41186</v>
      </c>
    </row>
    <row r="281" spans="1:1" x14ac:dyDescent="0.2">
      <c r="A281" s="52">
        <v>41187</v>
      </c>
    </row>
    <row r="282" spans="1:1" x14ac:dyDescent="0.2">
      <c r="A282" s="52">
        <v>41188</v>
      </c>
    </row>
    <row r="283" spans="1:1" x14ac:dyDescent="0.2">
      <c r="A283" s="52">
        <v>41189</v>
      </c>
    </row>
    <row r="284" spans="1:1" x14ac:dyDescent="0.2">
      <c r="A284" s="52">
        <v>41190</v>
      </c>
    </row>
    <row r="285" spans="1:1" x14ac:dyDescent="0.2">
      <c r="A285" s="52">
        <v>41191</v>
      </c>
    </row>
    <row r="286" spans="1:1" x14ac:dyDescent="0.2">
      <c r="A286" s="52">
        <v>41192</v>
      </c>
    </row>
    <row r="287" spans="1:1" x14ac:dyDescent="0.2">
      <c r="A287" s="52">
        <v>41193</v>
      </c>
    </row>
    <row r="288" spans="1:1" x14ac:dyDescent="0.2">
      <c r="A288" s="52">
        <v>41194</v>
      </c>
    </row>
    <row r="289" spans="1:1" x14ac:dyDescent="0.2">
      <c r="A289" s="52">
        <v>41195</v>
      </c>
    </row>
    <row r="290" spans="1:1" x14ac:dyDescent="0.2">
      <c r="A290" s="52">
        <v>41196</v>
      </c>
    </row>
    <row r="291" spans="1:1" x14ac:dyDescent="0.2">
      <c r="A291" s="52">
        <v>41197</v>
      </c>
    </row>
    <row r="292" spans="1:1" x14ac:dyDescent="0.2">
      <c r="A292" s="52">
        <v>41198</v>
      </c>
    </row>
    <row r="293" spans="1:1" x14ac:dyDescent="0.2">
      <c r="A293" s="52">
        <v>41199</v>
      </c>
    </row>
    <row r="294" spans="1:1" x14ac:dyDescent="0.2">
      <c r="A294" s="52">
        <v>41200</v>
      </c>
    </row>
    <row r="295" spans="1:1" x14ac:dyDescent="0.2">
      <c r="A295" s="52">
        <v>41201</v>
      </c>
    </row>
    <row r="296" spans="1:1" x14ac:dyDescent="0.2">
      <c r="A296" s="52">
        <v>41202</v>
      </c>
    </row>
    <row r="297" spans="1:1" x14ac:dyDescent="0.2">
      <c r="A297" s="52">
        <v>41203</v>
      </c>
    </row>
    <row r="298" spans="1:1" x14ac:dyDescent="0.2">
      <c r="A298" s="52">
        <v>41204</v>
      </c>
    </row>
    <row r="299" spans="1:1" x14ac:dyDescent="0.2">
      <c r="A299" s="52">
        <v>41205</v>
      </c>
    </row>
    <row r="300" spans="1:1" x14ac:dyDescent="0.2">
      <c r="A300" s="52">
        <v>41206</v>
      </c>
    </row>
    <row r="301" spans="1:1" x14ac:dyDescent="0.2">
      <c r="A301" s="52">
        <v>41207</v>
      </c>
    </row>
    <row r="302" spans="1:1" x14ac:dyDescent="0.2">
      <c r="A302" s="52">
        <v>41208</v>
      </c>
    </row>
    <row r="303" spans="1:1" x14ac:dyDescent="0.2">
      <c r="A303" s="52">
        <v>41209</v>
      </c>
    </row>
    <row r="304" spans="1:1" x14ac:dyDescent="0.2">
      <c r="A304" s="52">
        <v>41210</v>
      </c>
    </row>
    <row r="305" spans="1:1" x14ac:dyDescent="0.2">
      <c r="A305" s="52">
        <v>41211</v>
      </c>
    </row>
    <row r="306" spans="1:1" x14ac:dyDescent="0.2">
      <c r="A306" s="52">
        <v>41212</v>
      </c>
    </row>
    <row r="307" spans="1:1" x14ac:dyDescent="0.2">
      <c r="A307" s="52">
        <v>41213</v>
      </c>
    </row>
    <row r="308" spans="1:1" x14ac:dyDescent="0.2">
      <c r="A308" s="52">
        <v>41214</v>
      </c>
    </row>
    <row r="309" spans="1:1" x14ac:dyDescent="0.2">
      <c r="A309" s="52">
        <v>41215</v>
      </c>
    </row>
    <row r="310" spans="1:1" x14ac:dyDescent="0.2">
      <c r="A310" s="52">
        <v>41216</v>
      </c>
    </row>
    <row r="311" spans="1:1" x14ac:dyDescent="0.2">
      <c r="A311" s="52">
        <v>41217</v>
      </c>
    </row>
    <row r="312" spans="1:1" x14ac:dyDescent="0.2">
      <c r="A312" s="52">
        <v>41218</v>
      </c>
    </row>
    <row r="313" spans="1:1" x14ac:dyDescent="0.2">
      <c r="A313" s="52">
        <v>41219</v>
      </c>
    </row>
    <row r="314" spans="1:1" x14ac:dyDescent="0.2">
      <c r="A314" s="52">
        <v>41220</v>
      </c>
    </row>
    <row r="315" spans="1:1" x14ac:dyDescent="0.2">
      <c r="A315" s="52">
        <v>41221</v>
      </c>
    </row>
    <row r="316" spans="1:1" x14ac:dyDescent="0.2">
      <c r="A316" s="52">
        <v>41222</v>
      </c>
    </row>
    <row r="317" spans="1:1" x14ac:dyDescent="0.2">
      <c r="A317" s="52">
        <v>41223</v>
      </c>
    </row>
    <row r="318" spans="1:1" x14ac:dyDescent="0.2">
      <c r="A318" s="52">
        <v>41224</v>
      </c>
    </row>
    <row r="319" spans="1:1" x14ac:dyDescent="0.2">
      <c r="A319" s="52">
        <v>41225</v>
      </c>
    </row>
    <row r="320" spans="1:1" x14ac:dyDescent="0.2">
      <c r="A320" s="52">
        <v>41226</v>
      </c>
    </row>
    <row r="321" spans="1:1" x14ac:dyDescent="0.2">
      <c r="A321" s="52">
        <v>41227</v>
      </c>
    </row>
    <row r="322" spans="1:1" x14ac:dyDescent="0.2">
      <c r="A322" s="52">
        <v>41228</v>
      </c>
    </row>
    <row r="323" spans="1:1" x14ac:dyDescent="0.2">
      <c r="A323" s="52">
        <v>41229</v>
      </c>
    </row>
    <row r="324" spans="1:1" x14ac:dyDescent="0.2">
      <c r="A324" s="52">
        <v>41230</v>
      </c>
    </row>
    <row r="325" spans="1:1" x14ac:dyDescent="0.2">
      <c r="A325" s="52">
        <v>41231</v>
      </c>
    </row>
    <row r="326" spans="1:1" x14ac:dyDescent="0.2">
      <c r="A326" s="52">
        <v>41232</v>
      </c>
    </row>
    <row r="327" spans="1:1" x14ac:dyDescent="0.2">
      <c r="A327" s="52">
        <v>41233</v>
      </c>
    </row>
    <row r="328" spans="1:1" x14ac:dyDescent="0.2">
      <c r="A328" s="52">
        <v>41234</v>
      </c>
    </row>
    <row r="329" spans="1:1" x14ac:dyDescent="0.2">
      <c r="A329" s="52">
        <v>41235</v>
      </c>
    </row>
    <row r="330" spans="1:1" x14ac:dyDescent="0.2">
      <c r="A330" s="52">
        <v>41236</v>
      </c>
    </row>
    <row r="331" spans="1:1" x14ac:dyDescent="0.2">
      <c r="A331" s="52">
        <v>41237</v>
      </c>
    </row>
    <row r="332" spans="1:1" x14ac:dyDescent="0.2">
      <c r="A332" s="52">
        <v>41238</v>
      </c>
    </row>
    <row r="333" spans="1:1" x14ac:dyDescent="0.2">
      <c r="A333" s="52">
        <v>41239</v>
      </c>
    </row>
    <row r="334" spans="1:1" x14ac:dyDescent="0.2">
      <c r="A334" s="52">
        <v>41240</v>
      </c>
    </row>
    <row r="335" spans="1:1" x14ac:dyDescent="0.2">
      <c r="A335" s="52">
        <v>41241</v>
      </c>
    </row>
    <row r="336" spans="1:1" x14ac:dyDescent="0.2">
      <c r="A336" s="52">
        <v>41242</v>
      </c>
    </row>
    <row r="337" spans="1:1" x14ac:dyDescent="0.2">
      <c r="A337" s="52">
        <v>41243</v>
      </c>
    </row>
    <row r="338" spans="1:1" x14ac:dyDescent="0.2">
      <c r="A338" s="52">
        <v>41244</v>
      </c>
    </row>
    <row r="339" spans="1:1" x14ac:dyDescent="0.2">
      <c r="A339" s="52">
        <v>41245</v>
      </c>
    </row>
    <row r="340" spans="1:1" x14ac:dyDescent="0.2">
      <c r="A340" s="52">
        <v>41246</v>
      </c>
    </row>
    <row r="341" spans="1:1" x14ac:dyDescent="0.2">
      <c r="A341" s="52">
        <v>41247</v>
      </c>
    </row>
    <row r="342" spans="1:1" x14ac:dyDescent="0.2">
      <c r="A342" s="52">
        <v>41248</v>
      </c>
    </row>
    <row r="343" spans="1:1" x14ac:dyDescent="0.2">
      <c r="A343" s="52">
        <v>41249</v>
      </c>
    </row>
    <row r="344" spans="1:1" x14ac:dyDescent="0.2">
      <c r="A344" s="52">
        <v>41250</v>
      </c>
    </row>
    <row r="345" spans="1:1" x14ac:dyDescent="0.2">
      <c r="A345" s="52">
        <v>41251</v>
      </c>
    </row>
    <row r="346" spans="1:1" x14ac:dyDescent="0.2">
      <c r="A346" s="52">
        <v>41252</v>
      </c>
    </row>
    <row r="347" spans="1:1" x14ac:dyDescent="0.2">
      <c r="A347" s="52">
        <v>41253</v>
      </c>
    </row>
    <row r="348" spans="1:1" x14ac:dyDescent="0.2">
      <c r="A348" s="52">
        <v>41254</v>
      </c>
    </row>
    <row r="349" spans="1:1" x14ac:dyDescent="0.2">
      <c r="A349" s="52">
        <v>41255</v>
      </c>
    </row>
    <row r="350" spans="1:1" x14ac:dyDescent="0.2">
      <c r="A350" s="52">
        <v>41256</v>
      </c>
    </row>
    <row r="351" spans="1:1" x14ac:dyDescent="0.2">
      <c r="A351" s="52">
        <v>41257</v>
      </c>
    </row>
    <row r="352" spans="1:1" x14ac:dyDescent="0.2">
      <c r="A352" s="52">
        <v>41258</v>
      </c>
    </row>
    <row r="353" spans="1:1" x14ac:dyDescent="0.2">
      <c r="A353" s="52">
        <v>41259</v>
      </c>
    </row>
    <row r="354" spans="1:1" x14ac:dyDescent="0.2">
      <c r="A354" s="52">
        <v>41260</v>
      </c>
    </row>
    <row r="355" spans="1:1" x14ac:dyDescent="0.2">
      <c r="A355" s="52">
        <v>41261</v>
      </c>
    </row>
    <row r="356" spans="1:1" x14ac:dyDescent="0.2">
      <c r="A356" s="52">
        <v>41262</v>
      </c>
    </row>
    <row r="357" spans="1:1" x14ac:dyDescent="0.2">
      <c r="A357" s="52">
        <v>41263</v>
      </c>
    </row>
    <row r="358" spans="1:1" x14ac:dyDescent="0.2">
      <c r="A358" s="52">
        <v>41264</v>
      </c>
    </row>
    <row r="359" spans="1:1" x14ac:dyDescent="0.2">
      <c r="A359" s="52">
        <v>41265</v>
      </c>
    </row>
    <row r="360" spans="1:1" x14ac:dyDescent="0.2">
      <c r="A360" s="52">
        <v>41266</v>
      </c>
    </row>
    <row r="361" spans="1:1" x14ac:dyDescent="0.2">
      <c r="A361" s="52">
        <v>41267</v>
      </c>
    </row>
    <row r="362" spans="1:1" x14ac:dyDescent="0.2">
      <c r="A362" s="52">
        <v>41268</v>
      </c>
    </row>
    <row r="363" spans="1:1" x14ac:dyDescent="0.2">
      <c r="A363" s="52">
        <v>41269</v>
      </c>
    </row>
    <row r="364" spans="1:1" x14ac:dyDescent="0.2">
      <c r="A364" s="52">
        <v>41270</v>
      </c>
    </row>
    <row r="365" spans="1:1" x14ac:dyDescent="0.2">
      <c r="A365" s="52">
        <v>41271</v>
      </c>
    </row>
    <row r="366" spans="1:1" x14ac:dyDescent="0.2">
      <c r="A366" s="52">
        <v>41272</v>
      </c>
    </row>
    <row r="367" spans="1:1" x14ac:dyDescent="0.2">
      <c r="A367" s="52">
        <v>41273</v>
      </c>
    </row>
    <row r="368" spans="1:1" x14ac:dyDescent="0.2">
      <c r="A368" s="52">
        <v>41274</v>
      </c>
    </row>
    <row r="369" spans="1:1" x14ac:dyDescent="0.2">
      <c r="A369" s="52">
        <v>41275</v>
      </c>
    </row>
    <row r="370" spans="1:1" x14ac:dyDescent="0.2">
      <c r="A370" s="52">
        <v>41276</v>
      </c>
    </row>
    <row r="371" spans="1:1" x14ac:dyDescent="0.2">
      <c r="A371" s="52">
        <v>41277</v>
      </c>
    </row>
    <row r="372" spans="1:1" x14ac:dyDescent="0.2">
      <c r="A372" s="52">
        <v>41278</v>
      </c>
    </row>
    <row r="373" spans="1:1" x14ac:dyDescent="0.2">
      <c r="A373" s="52">
        <v>41279</v>
      </c>
    </row>
    <row r="374" spans="1:1" x14ac:dyDescent="0.2">
      <c r="A374" s="52">
        <v>41280</v>
      </c>
    </row>
    <row r="375" spans="1:1" x14ac:dyDescent="0.2">
      <c r="A375" s="52">
        <v>41281</v>
      </c>
    </row>
    <row r="376" spans="1:1" x14ac:dyDescent="0.2">
      <c r="A376" s="52">
        <v>41282</v>
      </c>
    </row>
    <row r="377" spans="1:1" x14ac:dyDescent="0.2">
      <c r="A377" s="52">
        <v>41283</v>
      </c>
    </row>
    <row r="378" spans="1:1" x14ac:dyDescent="0.2">
      <c r="A378" s="52">
        <v>41284</v>
      </c>
    </row>
    <row r="379" spans="1:1" x14ac:dyDescent="0.2">
      <c r="A379" s="52">
        <v>41285</v>
      </c>
    </row>
    <row r="380" spans="1:1" x14ac:dyDescent="0.2">
      <c r="A380" s="52">
        <v>41286</v>
      </c>
    </row>
    <row r="381" spans="1:1" x14ac:dyDescent="0.2">
      <c r="A381" s="52">
        <v>41287</v>
      </c>
    </row>
    <row r="382" spans="1:1" x14ac:dyDescent="0.2">
      <c r="A382" s="52">
        <v>41288</v>
      </c>
    </row>
    <row r="383" spans="1:1" x14ac:dyDescent="0.2">
      <c r="A383" s="52">
        <v>41289</v>
      </c>
    </row>
    <row r="384" spans="1:1" x14ac:dyDescent="0.2">
      <c r="A384" s="52">
        <v>41290</v>
      </c>
    </row>
    <row r="385" spans="1:1" x14ac:dyDescent="0.2">
      <c r="A385" s="52">
        <v>41291</v>
      </c>
    </row>
    <row r="386" spans="1:1" x14ac:dyDescent="0.2">
      <c r="A386" s="52">
        <v>41292</v>
      </c>
    </row>
    <row r="387" spans="1:1" x14ac:dyDescent="0.2">
      <c r="A387" s="52">
        <v>41293</v>
      </c>
    </row>
    <row r="388" spans="1:1" x14ac:dyDescent="0.2">
      <c r="A388" s="52">
        <v>41294</v>
      </c>
    </row>
    <row r="389" spans="1:1" x14ac:dyDescent="0.2">
      <c r="A389" s="52">
        <v>41295</v>
      </c>
    </row>
    <row r="390" spans="1:1" x14ac:dyDescent="0.2">
      <c r="A390" s="52">
        <v>41296</v>
      </c>
    </row>
    <row r="391" spans="1:1" x14ac:dyDescent="0.2">
      <c r="A391" s="52">
        <v>41297</v>
      </c>
    </row>
    <row r="392" spans="1:1" x14ac:dyDescent="0.2">
      <c r="A392" s="52">
        <v>41298</v>
      </c>
    </row>
    <row r="393" spans="1:1" x14ac:dyDescent="0.2">
      <c r="A393" s="52">
        <v>41299</v>
      </c>
    </row>
    <row r="394" spans="1:1" x14ac:dyDescent="0.2">
      <c r="A394" s="52">
        <v>41300</v>
      </c>
    </row>
    <row r="395" spans="1:1" x14ac:dyDescent="0.2">
      <c r="A395" s="52">
        <v>41301</v>
      </c>
    </row>
    <row r="396" spans="1:1" x14ac:dyDescent="0.2">
      <c r="A396" s="52">
        <v>41302</v>
      </c>
    </row>
    <row r="397" spans="1:1" x14ac:dyDescent="0.2">
      <c r="A397" s="52">
        <v>41303</v>
      </c>
    </row>
    <row r="398" spans="1:1" x14ac:dyDescent="0.2">
      <c r="A398" s="52">
        <v>41304</v>
      </c>
    </row>
    <row r="399" spans="1:1" x14ac:dyDescent="0.2">
      <c r="A399" s="52">
        <v>41305</v>
      </c>
    </row>
    <row r="400" spans="1:1" x14ac:dyDescent="0.2">
      <c r="A400" s="52">
        <v>41306</v>
      </c>
    </row>
    <row r="401" spans="1:1" x14ac:dyDescent="0.2">
      <c r="A401" s="52">
        <v>41307</v>
      </c>
    </row>
    <row r="402" spans="1:1" x14ac:dyDescent="0.2">
      <c r="A402" s="52">
        <v>41308</v>
      </c>
    </row>
    <row r="403" spans="1:1" x14ac:dyDescent="0.2">
      <c r="A403" s="52">
        <v>41309</v>
      </c>
    </row>
    <row r="404" spans="1:1" x14ac:dyDescent="0.2">
      <c r="A404" s="52">
        <v>41310</v>
      </c>
    </row>
    <row r="405" spans="1:1" x14ac:dyDescent="0.2">
      <c r="A405" s="52">
        <v>41311</v>
      </c>
    </row>
    <row r="406" spans="1:1" x14ac:dyDescent="0.2">
      <c r="A406" s="52">
        <v>41312</v>
      </c>
    </row>
    <row r="407" spans="1:1" x14ac:dyDescent="0.2">
      <c r="A407" s="52">
        <v>41313</v>
      </c>
    </row>
    <row r="408" spans="1:1" x14ac:dyDescent="0.2">
      <c r="A408" s="52">
        <v>41314</v>
      </c>
    </row>
    <row r="409" spans="1:1" x14ac:dyDescent="0.2">
      <c r="A409" s="52">
        <v>41315</v>
      </c>
    </row>
    <row r="410" spans="1:1" x14ac:dyDescent="0.2">
      <c r="A410" s="52">
        <v>41316</v>
      </c>
    </row>
    <row r="411" spans="1:1" x14ac:dyDescent="0.2">
      <c r="A411" s="52">
        <v>41317</v>
      </c>
    </row>
    <row r="412" spans="1:1" x14ac:dyDescent="0.2">
      <c r="A412" s="52">
        <v>41318</v>
      </c>
    </row>
    <row r="413" spans="1:1" x14ac:dyDescent="0.2">
      <c r="A413" s="52">
        <v>41319</v>
      </c>
    </row>
    <row r="414" spans="1:1" x14ac:dyDescent="0.2">
      <c r="A414" s="52">
        <v>41320</v>
      </c>
    </row>
    <row r="415" spans="1:1" x14ac:dyDescent="0.2">
      <c r="A415" s="52">
        <v>41321</v>
      </c>
    </row>
    <row r="416" spans="1:1" x14ac:dyDescent="0.2">
      <c r="A416" s="52">
        <v>41322</v>
      </c>
    </row>
    <row r="417" spans="1:1" x14ac:dyDescent="0.2">
      <c r="A417" s="52">
        <v>41323</v>
      </c>
    </row>
    <row r="418" spans="1:1" x14ac:dyDescent="0.2">
      <c r="A418" s="52">
        <v>41324</v>
      </c>
    </row>
    <row r="419" spans="1:1" x14ac:dyDescent="0.2">
      <c r="A419" s="52">
        <v>41325</v>
      </c>
    </row>
    <row r="420" spans="1:1" x14ac:dyDescent="0.2">
      <c r="A420" s="52">
        <v>41326</v>
      </c>
    </row>
    <row r="421" spans="1:1" x14ac:dyDescent="0.2">
      <c r="A421" s="52">
        <v>41327</v>
      </c>
    </row>
    <row r="422" spans="1:1" x14ac:dyDescent="0.2">
      <c r="A422" s="52">
        <v>41328</v>
      </c>
    </row>
    <row r="423" spans="1:1" x14ac:dyDescent="0.2">
      <c r="A423" s="52">
        <v>41329</v>
      </c>
    </row>
    <row r="424" spans="1:1" x14ac:dyDescent="0.2">
      <c r="A424" s="52">
        <v>41330</v>
      </c>
    </row>
    <row r="425" spans="1:1" x14ac:dyDescent="0.2">
      <c r="A425" s="52">
        <v>41331</v>
      </c>
    </row>
    <row r="426" spans="1:1" x14ac:dyDescent="0.2">
      <c r="A426" s="52">
        <v>41332</v>
      </c>
    </row>
    <row r="427" spans="1:1" x14ac:dyDescent="0.2">
      <c r="A427" s="52">
        <v>41333</v>
      </c>
    </row>
    <row r="428" spans="1:1" x14ac:dyDescent="0.2">
      <c r="A428" s="52">
        <v>41334</v>
      </c>
    </row>
    <row r="429" spans="1:1" x14ac:dyDescent="0.2">
      <c r="A429" s="52">
        <v>41335</v>
      </c>
    </row>
    <row r="430" spans="1:1" x14ac:dyDescent="0.2">
      <c r="A430" s="52">
        <v>41336</v>
      </c>
    </row>
    <row r="431" spans="1:1" x14ac:dyDescent="0.2">
      <c r="A431" s="52">
        <v>41337</v>
      </c>
    </row>
    <row r="432" spans="1:1" x14ac:dyDescent="0.2">
      <c r="A432" s="52">
        <v>41338</v>
      </c>
    </row>
    <row r="433" spans="1:1" x14ac:dyDescent="0.2">
      <c r="A433" s="52">
        <v>41339</v>
      </c>
    </row>
    <row r="434" spans="1:1" x14ac:dyDescent="0.2">
      <c r="A434" s="52">
        <v>41340</v>
      </c>
    </row>
    <row r="435" spans="1:1" x14ac:dyDescent="0.2">
      <c r="A435" s="52">
        <v>41341</v>
      </c>
    </row>
    <row r="436" spans="1:1" x14ac:dyDescent="0.2">
      <c r="A436" s="52">
        <v>41342</v>
      </c>
    </row>
    <row r="437" spans="1:1" x14ac:dyDescent="0.2">
      <c r="A437" s="52">
        <v>41343</v>
      </c>
    </row>
    <row r="438" spans="1:1" x14ac:dyDescent="0.2">
      <c r="A438" s="52">
        <v>41344</v>
      </c>
    </row>
    <row r="439" spans="1:1" x14ac:dyDescent="0.2">
      <c r="A439" s="52">
        <v>41345</v>
      </c>
    </row>
    <row r="440" spans="1:1" x14ac:dyDescent="0.2">
      <c r="A440" s="52">
        <v>41346</v>
      </c>
    </row>
    <row r="441" spans="1:1" x14ac:dyDescent="0.2">
      <c r="A441" s="52">
        <v>41347</v>
      </c>
    </row>
    <row r="442" spans="1:1" x14ac:dyDescent="0.2">
      <c r="A442" s="52">
        <v>41348</v>
      </c>
    </row>
    <row r="443" spans="1:1" x14ac:dyDescent="0.2">
      <c r="A443" s="52">
        <v>41349</v>
      </c>
    </row>
    <row r="444" spans="1:1" x14ac:dyDescent="0.2">
      <c r="A444" s="52">
        <v>41350</v>
      </c>
    </row>
    <row r="445" spans="1:1" x14ac:dyDescent="0.2">
      <c r="A445" s="52">
        <v>41351</v>
      </c>
    </row>
    <row r="446" spans="1:1" x14ac:dyDescent="0.2">
      <c r="A446" s="52">
        <v>41352</v>
      </c>
    </row>
    <row r="447" spans="1:1" x14ac:dyDescent="0.2">
      <c r="A447" s="52">
        <v>41353</v>
      </c>
    </row>
    <row r="448" spans="1:1" x14ac:dyDescent="0.2">
      <c r="A448" s="52">
        <v>41354</v>
      </c>
    </row>
    <row r="449" spans="1:1" x14ac:dyDescent="0.2">
      <c r="A449" s="52">
        <v>41355</v>
      </c>
    </row>
    <row r="450" spans="1:1" x14ac:dyDescent="0.2">
      <c r="A450" s="52">
        <v>41356</v>
      </c>
    </row>
    <row r="451" spans="1:1" x14ac:dyDescent="0.2">
      <c r="A451" s="52">
        <v>41357</v>
      </c>
    </row>
    <row r="452" spans="1:1" x14ac:dyDescent="0.2">
      <c r="A452" s="52">
        <v>41358</v>
      </c>
    </row>
    <row r="453" spans="1:1" x14ac:dyDescent="0.2">
      <c r="A453" s="52">
        <v>41359</v>
      </c>
    </row>
    <row r="454" spans="1:1" x14ac:dyDescent="0.2">
      <c r="A454" s="52">
        <v>41360</v>
      </c>
    </row>
    <row r="455" spans="1:1" x14ac:dyDescent="0.2">
      <c r="A455" s="52">
        <v>41361</v>
      </c>
    </row>
    <row r="456" spans="1:1" x14ac:dyDescent="0.2">
      <c r="A456" s="52">
        <v>41362</v>
      </c>
    </row>
    <row r="457" spans="1:1" x14ac:dyDescent="0.2">
      <c r="A457" s="52">
        <v>41363</v>
      </c>
    </row>
    <row r="458" spans="1:1" x14ac:dyDescent="0.2">
      <c r="A458" s="52">
        <v>41364</v>
      </c>
    </row>
    <row r="459" spans="1:1" x14ac:dyDescent="0.2">
      <c r="A459" s="52">
        <v>41365</v>
      </c>
    </row>
    <row r="460" spans="1:1" x14ac:dyDescent="0.2">
      <c r="A460" s="52">
        <v>41366</v>
      </c>
    </row>
    <row r="461" spans="1:1" x14ac:dyDescent="0.2">
      <c r="A461" s="52">
        <v>41367</v>
      </c>
    </row>
    <row r="462" spans="1:1" x14ac:dyDescent="0.2">
      <c r="A462" s="52">
        <v>41368</v>
      </c>
    </row>
    <row r="463" spans="1:1" x14ac:dyDescent="0.2">
      <c r="A463" s="52">
        <v>41369</v>
      </c>
    </row>
    <row r="464" spans="1:1" x14ac:dyDescent="0.2">
      <c r="A464" s="52">
        <v>41370</v>
      </c>
    </row>
    <row r="465" spans="1:1" x14ac:dyDescent="0.2">
      <c r="A465" s="52">
        <v>41371</v>
      </c>
    </row>
    <row r="466" spans="1:1" x14ac:dyDescent="0.2">
      <c r="A466" s="52">
        <v>41372</v>
      </c>
    </row>
    <row r="467" spans="1:1" x14ac:dyDescent="0.2">
      <c r="A467" s="52">
        <v>41373</v>
      </c>
    </row>
    <row r="468" spans="1:1" x14ac:dyDescent="0.2">
      <c r="A468" s="52">
        <v>41374</v>
      </c>
    </row>
    <row r="469" spans="1:1" x14ac:dyDescent="0.2">
      <c r="A469" s="52">
        <v>41375</v>
      </c>
    </row>
    <row r="470" spans="1:1" x14ac:dyDescent="0.2">
      <c r="A470" s="52">
        <v>41376</v>
      </c>
    </row>
    <row r="471" spans="1:1" x14ac:dyDescent="0.2">
      <c r="A471" s="52">
        <v>41377</v>
      </c>
    </row>
    <row r="472" spans="1:1" x14ac:dyDescent="0.2">
      <c r="A472" s="52">
        <v>41378</v>
      </c>
    </row>
    <row r="473" spans="1:1" x14ac:dyDescent="0.2">
      <c r="A473" s="52">
        <v>41379</v>
      </c>
    </row>
    <row r="474" spans="1:1" x14ac:dyDescent="0.2">
      <c r="A474" s="52">
        <v>41380</v>
      </c>
    </row>
    <row r="475" spans="1:1" x14ac:dyDescent="0.2">
      <c r="A475" s="52">
        <v>41381</v>
      </c>
    </row>
    <row r="476" spans="1:1" x14ac:dyDescent="0.2">
      <c r="A476" s="52">
        <v>41382</v>
      </c>
    </row>
    <row r="477" spans="1:1" x14ac:dyDescent="0.2">
      <c r="A477" s="52">
        <v>41383</v>
      </c>
    </row>
    <row r="478" spans="1:1" x14ac:dyDescent="0.2">
      <c r="A478" s="52">
        <v>41384</v>
      </c>
    </row>
    <row r="479" spans="1:1" x14ac:dyDescent="0.2">
      <c r="A479" s="52">
        <v>41385</v>
      </c>
    </row>
    <row r="480" spans="1:1" x14ac:dyDescent="0.2">
      <c r="A480" s="52">
        <v>41386</v>
      </c>
    </row>
    <row r="481" spans="1:1" x14ac:dyDescent="0.2">
      <c r="A481" s="52">
        <v>41387</v>
      </c>
    </row>
    <row r="482" spans="1:1" x14ac:dyDescent="0.2">
      <c r="A482" s="52">
        <v>41388</v>
      </c>
    </row>
    <row r="483" spans="1:1" x14ac:dyDescent="0.2">
      <c r="A483" s="52">
        <v>41389</v>
      </c>
    </row>
    <row r="484" spans="1:1" x14ac:dyDescent="0.2">
      <c r="A484" s="52">
        <v>41390</v>
      </c>
    </row>
    <row r="485" spans="1:1" x14ac:dyDescent="0.2">
      <c r="A485" s="52">
        <v>41391</v>
      </c>
    </row>
    <row r="486" spans="1:1" x14ac:dyDescent="0.2">
      <c r="A486" s="52">
        <v>41392</v>
      </c>
    </row>
    <row r="487" spans="1:1" x14ac:dyDescent="0.2">
      <c r="A487" s="52">
        <v>41393</v>
      </c>
    </row>
    <row r="488" spans="1:1" x14ac:dyDescent="0.2">
      <c r="A488" s="52">
        <v>41394</v>
      </c>
    </row>
    <row r="489" spans="1:1" x14ac:dyDescent="0.2">
      <c r="A489" s="52">
        <v>41395</v>
      </c>
    </row>
    <row r="490" spans="1:1" x14ac:dyDescent="0.2">
      <c r="A490" s="52">
        <v>41396</v>
      </c>
    </row>
    <row r="491" spans="1:1" x14ac:dyDescent="0.2">
      <c r="A491" s="52">
        <v>41397</v>
      </c>
    </row>
    <row r="492" spans="1:1" x14ac:dyDescent="0.2">
      <c r="A492" s="52">
        <v>41398</v>
      </c>
    </row>
    <row r="493" spans="1:1" x14ac:dyDescent="0.2">
      <c r="A493" s="52">
        <v>41399</v>
      </c>
    </row>
    <row r="494" spans="1:1" x14ac:dyDescent="0.2">
      <c r="A494" s="52">
        <v>41400</v>
      </c>
    </row>
    <row r="495" spans="1:1" x14ac:dyDescent="0.2">
      <c r="A495" s="52">
        <v>41401</v>
      </c>
    </row>
    <row r="496" spans="1:1" x14ac:dyDescent="0.2">
      <c r="A496" s="52">
        <v>41402</v>
      </c>
    </row>
    <row r="497" spans="1:1" x14ac:dyDescent="0.2">
      <c r="A497" s="52">
        <v>41403</v>
      </c>
    </row>
    <row r="498" spans="1:1" x14ac:dyDescent="0.2">
      <c r="A498" s="52">
        <v>41404</v>
      </c>
    </row>
    <row r="499" spans="1:1" x14ac:dyDescent="0.2">
      <c r="A499" s="52">
        <v>41405</v>
      </c>
    </row>
    <row r="500" spans="1:1" x14ac:dyDescent="0.2">
      <c r="A500" s="52">
        <v>41406</v>
      </c>
    </row>
    <row r="501" spans="1:1" x14ac:dyDescent="0.2">
      <c r="A501" s="52">
        <v>41407</v>
      </c>
    </row>
    <row r="502" spans="1:1" x14ac:dyDescent="0.2">
      <c r="A502" s="52">
        <v>41408</v>
      </c>
    </row>
    <row r="503" spans="1:1" x14ac:dyDescent="0.2">
      <c r="A503" s="52">
        <v>41409</v>
      </c>
    </row>
    <row r="504" spans="1:1" x14ac:dyDescent="0.2">
      <c r="A504" s="52">
        <v>41410</v>
      </c>
    </row>
    <row r="505" spans="1:1" x14ac:dyDescent="0.2">
      <c r="A505" s="52">
        <v>41411</v>
      </c>
    </row>
    <row r="506" spans="1:1" x14ac:dyDescent="0.2">
      <c r="A506" s="52">
        <v>41412</v>
      </c>
    </row>
    <row r="507" spans="1:1" x14ac:dyDescent="0.2">
      <c r="A507" s="52">
        <v>41413</v>
      </c>
    </row>
    <row r="508" spans="1:1" x14ac:dyDescent="0.2">
      <c r="A508" s="52">
        <v>41414</v>
      </c>
    </row>
    <row r="509" spans="1:1" x14ac:dyDescent="0.2">
      <c r="A509" s="52">
        <v>41415</v>
      </c>
    </row>
    <row r="510" spans="1:1" x14ac:dyDescent="0.2">
      <c r="A510" s="52">
        <v>41416</v>
      </c>
    </row>
    <row r="511" spans="1:1" x14ac:dyDescent="0.2">
      <c r="A511" s="52">
        <v>41417</v>
      </c>
    </row>
    <row r="512" spans="1:1" x14ac:dyDescent="0.2">
      <c r="A512" s="52">
        <v>41418</v>
      </c>
    </row>
    <row r="513" spans="1:1" x14ac:dyDescent="0.2">
      <c r="A513" s="52">
        <v>41419</v>
      </c>
    </row>
    <row r="514" spans="1:1" x14ac:dyDescent="0.2">
      <c r="A514" s="52">
        <v>41420</v>
      </c>
    </row>
    <row r="515" spans="1:1" x14ac:dyDescent="0.2">
      <c r="A515" s="52">
        <v>41421</v>
      </c>
    </row>
    <row r="516" spans="1:1" x14ac:dyDescent="0.2">
      <c r="A516" s="52">
        <v>41422</v>
      </c>
    </row>
    <row r="517" spans="1:1" x14ac:dyDescent="0.2">
      <c r="A517" s="52">
        <v>41423</v>
      </c>
    </row>
    <row r="518" spans="1:1" x14ac:dyDescent="0.2">
      <c r="A518" s="52">
        <v>41424</v>
      </c>
    </row>
    <row r="519" spans="1:1" x14ac:dyDescent="0.2">
      <c r="A519" s="52">
        <v>41425</v>
      </c>
    </row>
    <row r="520" spans="1:1" x14ac:dyDescent="0.2">
      <c r="A520" s="52">
        <v>41426</v>
      </c>
    </row>
    <row r="521" spans="1:1" x14ac:dyDescent="0.2">
      <c r="A521" s="52">
        <v>41427</v>
      </c>
    </row>
    <row r="522" spans="1:1" x14ac:dyDescent="0.2">
      <c r="A522" s="52">
        <v>41428</v>
      </c>
    </row>
    <row r="523" spans="1:1" x14ac:dyDescent="0.2">
      <c r="A523" s="52">
        <v>41429</v>
      </c>
    </row>
    <row r="524" spans="1:1" x14ac:dyDescent="0.2">
      <c r="A524" s="52">
        <v>41430</v>
      </c>
    </row>
    <row r="525" spans="1:1" x14ac:dyDescent="0.2">
      <c r="A525" s="52">
        <v>41431</v>
      </c>
    </row>
    <row r="526" spans="1:1" x14ac:dyDescent="0.2">
      <c r="A526" s="52">
        <v>41432</v>
      </c>
    </row>
    <row r="527" spans="1:1" x14ac:dyDescent="0.2">
      <c r="A527" s="52">
        <v>41433</v>
      </c>
    </row>
    <row r="528" spans="1:1" x14ac:dyDescent="0.2">
      <c r="A528" s="52">
        <v>41434</v>
      </c>
    </row>
    <row r="529" spans="1:1" x14ac:dyDescent="0.2">
      <c r="A529" s="52">
        <v>41435</v>
      </c>
    </row>
    <row r="530" spans="1:1" x14ac:dyDescent="0.2">
      <c r="A530" s="52">
        <v>41436</v>
      </c>
    </row>
    <row r="531" spans="1:1" x14ac:dyDescent="0.2">
      <c r="A531" s="52">
        <v>41437</v>
      </c>
    </row>
    <row r="532" spans="1:1" x14ac:dyDescent="0.2">
      <c r="A532" s="52">
        <v>41438</v>
      </c>
    </row>
    <row r="533" spans="1:1" x14ac:dyDescent="0.2">
      <c r="A533" s="52">
        <v>41439</v>
      </c>
    </row>
    <row r="534" spans="1:1" x14ac:dyDescent="0.2">
      <c r="A534" s="52">
        <v>41440</v>
      </c>
    </row>
    <row r="535" spans="1:1" x14ac:dyDescent="0.2">
      <c r="A535" s="52">
        <v>41441</v>
      </c>
    </row>
    <row r="536" spans="1:1" x14ac:dyDescent="0.2">
      <c r="A536" s="52">
        <v>41442</v>
      </c>
    </row>
    <row r="537" spans="1:1" x14ac:dyDescent="0.2">
      <c r="A537" s="52">
        <v>41443</v>
      </c>
    </row>
    <row r="538" spans="1:1" x14ac:dyDescent="0.2">
      <c r="A538" s="52">
        <v>41444</v>
      </c>
    </row>
    <row r="539" spans="1:1" x14ac:dyDescent="0.2">
      <c r="A539" s="52">
        <v>41445</v>
      </c>
    </row>
    <row r="540" spans="1:1" x14ac:dyDescent="0.2">
      <c r="A540" s="52">
        <v>41446</v>
      </c>
    </row>
    <row r="541" spans="1:1" x14ac:dyDescent="0.2">
      <c r="A541" s="52">
        <v>41447</v>
      </c>
    </row>
    <row r="542" spans="1:1" x14ac:dyDescent="0.2">
      <c r="A542" s="52">
        <v>41448</v>
      </c>
    </row>
    <row r="543" spans="1:1" x14ac:dyDescent="0.2">
      <c r="A543" s="52">
        <v>41449</v>
      </c>
    </row>
    <row r="544" spans="1:1" x14ac:dyDescent="0.2">
      <c r="A544" s="52">
        <v>41450</v>
      </c>
    </row>
    <row r="545" spans="1:1" x14ac:dyDescent="0.2">
      <c r="A545" s="52">
        <v>41451</v>
      </c>
    </row>
    <row r="546" spans="1:1" x14ac:dyDescent="0.2">
      <c r="A546" s="52">
        <v>41452</v>
      </c>
    </row>
    <row r="547" spans="1:1" x14ac:dyDescent="0.2">
      <c r="A547" s="52">
        <v>41453</v>
      </c>
    </row>
    <row r="548" spans="1:1" x14ac:dyDescent="0.2">
      <c r="A548" s="52">
        <v>41454</v>
      </c>
    </row>
    <row r="549" spans="1:1" x14ac:dyDescent="0.2">
      <c r="A549" s="52">
        <v>41455</v>
      </c>
    </row>
    <row r="550" spans="1:1" x14ac:dyDescent="0.2">
      <c r="A550" s="52">
        <v>41456</v>
      </c>
    </row>
    <row r="551" spans="1:1" x14ac:dyDescent="0.2">
      <c r="A551" s="52">
        <v>41457</v>
      </c>
    </row>
    <row r="552" spans="1:1" x14ac:dyDescent="0.2">
      <c r="A552" s="52">
        <v>41458</v>
      </c>
    </row>
    <row r="553" spans="1:1" x14ac:dyDescent="0.2">
      <c r="A553" s="52">
        <v>41459</v>
      </c>
    </row>
    <row r="554" spans="1:1" x14ac:dyDescent="0.2">
      <c r="A554" s="52">
        <v>41460</v>
      </c>
    </row>
    <row r="555" spans="1:1" x14ac:dyDescent="0.2">
      <c r="A555" s="52">
        <v>41461</v>
      </c>
    </row>
    <row r="556" spans="1:1" x14ac:dyDescent="0.2">
      <c r="A556" s="52">
        <v>41462</v>
      </c>
    </row>
    <row r="557" spans="1:1" x14ac:dyDescent="0.2">
      <c r="A557" s="52">
        <v>41463</v>
      </c>
    </row>
    <row r="558" spans="1:1" x14ac:dyDescent="0.2">
      <c r="A558" s="52">
        <v>41464</v>
      </c>
    </row>
    <row r="559" spans="1:1" x14ac:dyDescent="0.2">
      <c r="A559" s="52">
        <v>41465</v>
      </c>
    </row>
    <row r="560" spans="1:1" x14ac:dyDescent="0.2">
      <c r="A560" s="52">
        <v>41466</v>
      </c>
    </row>
    <row r="561" spans="1:1" x14ac:dyDescent="0.2">
      <c r="A561" s="52">
        <v>41467</v>
      </c>
    </row>
    <row r="562" spans="1:1" x14ac:dyDescent="0.2">
      <c r="A562" s="52">
        <v>41468</v>
      </c>
    </row>
    <row r="563" spans="1:1" x14ac:dyDescent="0.2">
      <c r="A563" s="52">
        <v>41469</v>
      </c>
    </row>
    <row r="564" spans="1:1" x14ac:dyDescent="0.2">
      <c r="A564" s="52">
        <v>41470</v>
      </c>
    </row>
    <row r="565" spans="1:1" x14ac:dyDescent="0.2">
      <c r="A565" s="52">
        <v>41471</v>
      </c>
    </row>
    <row r="566" spans="1:1" x14ac:dyDescent="0.2">
      <c r="A566" s="52">
        <v>41472</v>
      </c>
    </row>
    <row r="567" spans="1:1" x14ac:dyDescent="0.2">
      <c r="A567" s="52">
        <v>41473</v>
      </c>
    </row>
    <row r="568" spans="1:1" x14ac:dyDescent="0.2">
      <c r="A568" s="52">
        <v>41474</v>
      </c>
    </row>
    <row r="569" spans="1:1" x14ac:dyDescent="0.2">
      <c r="A569" s="52">
        <v>41475</v>
      </c>
    </row>
    <row r="570" spans="1:1" x14ac:dyDescent="0.2">
      <c r="A570" s="52">
        <v>41476</v>
      </c>
    </row>
    <row r="571" spans="1:1" x14ac:dyDescent="0.2">
      <c r="A571" s="52">
        <v>41477</v>
      </c>
    </row>
    <row r="572" spans="1:1" x14ac:dyDescent="0.2">
      <c r="A572" s="52">
        <v>41478</v>
      </c>
    </row>
    <row r="573" spans="1:1" x14ac:dyDescent="0.2">
      <c r="A573" s="52">
        <v>41479</v>
      </c>
    </row>
    <row r="574" spans="1:1" x14ac:dyDescent="0.2">
      <c r="A574" s="52">
        <v>41480</v>
      </c>
    </row>
    <row r="575" spans="1:1" x14ac:dyDescent="0.2">
      <c r="A575" s="52">
        <v>41481</v>
      </c>
    </row>
    <row r="576" spans="1:1" x14ac:dyDescent="0.2">
      <c r="A576" s="52">
        <v>41482</v>
      </c>
    </row>
    <row r="577" spans="1:1" x14ac:dyDescent="0.2">
      <c r="A577" s="52">
        <v>41483</v>
      </c>
    </row>
    <row r="578" spans="1:1" x14ac:dyDescent="0.2">
      <c r="A578" s="52">
        <v>41484</v>
      </c>
    </row>
    <row r="579" spans="1:1" x14ac:dyDescent="0.2">
      <c r="A579" s="52">
        <v>41485</v>
      </c>
    </row>
    <row r="580" spans="1:1" x14ac:dyDescent="0.2">
      <c r="A580" s="52">
        <v>41486</v>
      </c>
    </row>
    <row r="581" spans="1:1" x14ac:dyDescent="0.2">
      <c r="A581" s="52">
        <v>41487</v>
      </c>
    </row>
    <row r="582" spans="1:1" x14ac:dyDescent="0.2">
      <c r="A582" s="52">
        <v>41488</v>
      </c>
    </row>
    <row r="583" spans="1:1" x14ac:dyDescent="0.2">
      <c r="A583" s="52">
        <v>41489</v>
      </c>
    </row>
    <row r="584" spans="1:1" x14ac:dyDescent="0.2">
      <c r="A584" s="52">
        <v>41490</v>
      </c>
    </row>
    <row r="585" spans="1:1" x14ac:dyDescent="0.2">
      <c r="A585" s="52">
        <v>41491</v>
      </c>
    </row>
    <row r="586" spans="1:1" x14ac:dyDescent="0.2">
      <c r="A586" s="52">
        <v>41492</v>
      </c>
    </row>
    <row r="587" spans="1:1" x14ac:dyDescent="0.2">
      <c r="A587" s="52">
        <v>41493</v>
      </c>
    </row>
    <row r="588" spans="1:1" x14ac:dyDescent="0.2">
      <c r="A588" s="52">
        <v>41494</v>
      </c>
    </row>
    <row r="589" spans="1:1" x14ac:dyDescent="0.2">
      <c r="A589" s="52">
        <v>41495</v>
      </c>
    </row>
    <row r="590" spans="1:1" x14ac:dyDescent="0.2">
      <c r="A590" s="52">
        <v>41496</v>
      </c>
    </row>
    <row r="591" spans="1:1" x14ac:dyDescent="0.2">
      <c r="A591" s="52">
        <v>41497</v>
      </c>
    </row>
    <row r="592" spans="1:1" x14ac:dyDescent="0.2">
      <c r="A592" s="52">
        <v>41498</v>
      </c>
    </row>
    <row r="593" spans="1:1" x14ac:dyDescent="0.2">
      <c r="A593" s="52">
        <v>41499</v>
      </c>
    </row>
    <row r="594" spans="1:1" x14ac:dyDescent="0.2">
      <c r="A594" s="52">
        <v>41500</v>
      </c>
    </row>
    <row r="595" spans="1:1" x14ac:dyDescent="0.2">
      <c r="A595" s="52">
        <v>41501</v>
      </c>
    </row>
    <row r="596" spans="1:1" x14ac:dyDescent="0.2">
      <c r="A596" s="52">
        <v>41502</v>
      </c>
    </row>
    <row r="597" spans="1:1" x14ac:dyDescent="0.2">
      <c r="A597" s="52">
        <v>41503</v>
      </c>
    </row>
    <row r="598" spans="1:1" x14ac:dyDescent="0.2">
      <c r="A598" s="52">
        <v>41504</v>
      </c>
    </row>
    <row r="599" spans="1:1" x14ac:dyDescent="0.2">
      <c r="A599" s="52">
        <v>41505</v>
      </c>
    </row>
    <row r="600" spans="1:1" x14ac:dyDescent="0.2">
      <c r="A600" s="52">
        <v>41506</v>
      </c>
    </row>
    <row r="601" spans="1:1" x14ac:dyDescent="0.2">
      <c r="A601" s="52">
        <v>41507</v>
      </c>
    </row>
    <row r="602" spans="1:1" x14ac:dyDescent="0.2">
      <c r="A602" s="52">
        <v>41508</v>
      </c>
    </row>
    <row r="603" spans="1:1" x14ac:dyDescent="0.2">
      <c r="A603" s="52">
        <v>41509</v>
      </c>
    </row>
    <row r="604" spans="1:1" x14ac:dyDescent="0.2">
      <c r="A604" s="52">
        <v>41510</v>
      </c>
    </row>
    <row r="605" spans="1:1" x14ac:dyDescent="0.2">
      <c r="A605" s="52">
        <v>41511</v>
      </c>
    </row>
    <row r="606" spans="1:1" x14ac:dyDescent="0.2">
      <c r="A606" s="52">
        <v>41512</v>
      </c>
    </row>
    <row r="607" spans="1:1" x14ac:dyDescent="0.2">
      <c r="A607" s="52">
        <v>41513</v>
      </c>
    </row>
    <row r="608" spans="1:1" x14ac:dyDescent="0.2">
      <c r="A608" s="52">
        <v>41514</v>
      </c>
    </row>
    <row r="609" spans="1:1" x14ac:dyDescent="0.2">
      <c r="A609" s="52">
        <v>41515</v>
      </c>
    </row>
    <row r="610" spans="1:1" x14ac:dyDescent="0.2">
      <c r="A610" s="52">
        <v>41516</v>
      </c>
    </row>
    <row r="611" spans="1:1" x14ac:dyDescent="0.2">
      <c r="A611" s="52">
        <v>41517</v>
      </c>
    </row>
    <row r="612" spans="1:1" x14ac:dyDescent="0.2">
      <c r="A612" s="52">
        <v>41518</v>
      </c>
    </row>
    <row r="613" spans="1:1" x14ac:dyDescent="0.2">
      <c r="A613" s="52">
        <v>41519</v>
      </c>
    </row>
    <row r="614" spans="1:1" x14ac:dyDescent="0.2">
      <c r="A614" s="52">
        <v>41520</v>
      </c>
    </row>
    <row r="615" spans="1:1" x14ac:dyDescent="0.2">
      <c r="A615" s="52">
        <v>41521</v>
      </c>
    </row>
    <row r="616" spans="1:1" x14ac:dyDescent="0.2">
      <c r="A616" s="52">
        <v>41522</v>
      </c>
    </row>
    <row r="617" spans="1:1" x14ac:dyDescent="0.2">
      <c r="A617" s="52">
        <v>41523</v>
      </c>
    </row>
    <row r="618" spans="1:1" x14ac:dyDescent="0.2">
      <c r="A618" s="52">
        <v>41524</v>
      </c>
    </row>
    <row r="619" spans="1:1" x14ac:dyDescent="0.2">
      <c r="A619" s="52">
        <v>41525</v>
      </c>
    </row>
    <row r="620" spans="1:1" x14ac:dyDescent="0.2">
      <c r="A620" s="52">
        <v>41526</v>
      </c>
    </row>
    <row r="621" spans="1:1" x14ac:dyDescent="0.2">
      <c r="A621" s="52">
        <v>41527</v>
      </c>
    </row>
    <row r="622" spans="1:1" x14ac:dyDescent="0.2">
      <c r="A622" s="52">
        <v>41528</v>
      </c>
    </row>
    <row r="623" spans="1:1" x14ac:dyDescent="0.2">
      <c r="A623" s="52">
        <v>41529</v>
      </c>
    </row>
    <row r="624" spans="1:1" x14ac:dyDescent="0.2">
      <c r="A624" s="52">
        <v>41530</v>
      </c>
    </row>
    <row r="625" spans="1:1" x14ac:dyDescent="0.2">
      <c r="A625" s="52">
        <v>41531</v>
      </c>
    </row>
    <row r="626" spans="1:1" x14ac:dyDescent="0.2">
      <c r="A626" s="52">
        <v>41532</v>
      </c>
    </row>
    <row r="627" spans="1:1" x14ac:dyDescent="0.2">
      <c r="A627" s="52">
        <v>41533</v>
      </c>
    </row>
    <row r="628" spans="1:1" x14ac:dyDescent="0.2">
      <c r="A628" s="52">
        <v>41534</v>
      </c>
    </row>
    <row r="629" spans="1:1" x14ac:dyDescent="0.2">
      <c r="A629" s="52">
        <v>41535</v>
      </c>
    </row>
    <row r="630" spans="1:1" x14ac:dyDescent="0.2">
      <c r="A630" s="52">
        <v>41536</v>
      </c>
    </row>
    <row r="631" spans="1:1" x14ac:dyDescent="0.2">
      <c r="A631" s="52">
        <v>41537</v>
      </c>
    </row>
    <row r="632" spans="1:1" x14ac:dyDescent="0.2">
      <c r="A632" s="52">
        <v>41538</v>
      </c>
    </row>
    <row r="633" spans="1:1" x14ac:dyDescent="0.2">
      <c r="A633" s="52">
        <v>41539</v>
      </c>
    </row>
    <row r="634" spans="1:1" x14ac:dyDescent="0.2">
      <c r="A634" s="52">
        <v>41540</v>
      </c>
    </row>
    <row r="635" spans="1:1" x14ac:dyDescent="0.2">
      <c r="A635" s="52">
        <v>41541</v>
      </c>
    </row>
    <row r="636" spans="1:1" x14ac:dyDescent="0.2">
      <c r="A636" s="52">
        <v>41542</v>
      </c>
    </row>
    <row r="637" spans="1:1" x14ac:dyDescent="0.2">
      <c r="A637" s="52">
        <v>41543</v>
      </c>
    </row>
    <row r="638" spans="1:1" x14ac:dyDescent="0.2">
      <c r="A638" s="52">
        <v>41544</v>
      </c>
    </row>
    <row r="639" spans="1:1" x14ac:dyDescent="0.2">
      <c r="A639" s="52">
        <v>41545</v>
      </c>
    </row>
    <row r="640" spans="1:1" x14ac:dyDescent="0.2">
      <c r="A640" s="52">
        <v>41546</v>
      </c>
    </row>
    <row r="641" spans="1:1" x14ac:dyDescent="0.2">
      <c r="A641" s="52">
        <v>41547</v>
      </c>
    </row>
    <row r="642" spans="1:1" x14ac:dyDescent="0.2">
      <c r="A642" s="52">
        <v>41548</v>
      </c>
    </row>
    <row r="643" spans="1:1" x14ac:dyDescent="0.2">
      <c r="A643" s="52">
        <v>41549</v>
      </c>
    </row>
    <row r="644" spans="1:1" x14ac:dyDescent="0.2">
      <c r="A644" s="52">
        <v>41550</v>
      </c>
    </row>
    <row r="645" spans="1:1" x14ac:dyDescent="0.2">
      <c r="A645" s="52">
        <v>41551</v>
      </c>
    </row>
    <row r="646" spans="1:1" x14ac:dyDescent="0.2">
      <c r="A646" s="52">
        <v>41552</v>
      </c>
    </row>
    <row r="647" spans="1:1" x14ac:dyDescent="0.2">
      <c r="A647" s="52">
        <v>41553</v>
      </c>
    </row>
    <row r="648" spans="1:1" x14ac:dyDescent="0.2">
      <c r="A648" s="52">
        <v>41554</v>
      </c>
    </row>
    <row r="649" spans="1:1" x14ac:dyDescent="0.2">
      <c r="A649" s="52">
        <v>41555</v>
      </c>
    </row>
    <row r="650" spans="1:1" x14ac:dyDescent="0.2">
      <c r="A650" s="52">
        <v>41556</v>
      </c>
    </row>
    <row r="651" spans="1:1" x14ac:dyDescent="0.2">
      <c r="A651" s="52">
        <v>41557</v>
      </c>
    </row>
    <row r="652" spans="1:1" x14ac:dyDescent="0.2">
      <c r="A652" s="52">
        <v>41558</v>
      </c>
    </row>
    <row r="653" spans="1:1" x14ac:dyDescent="0.2">
      <c r="A653" s="52">
        <v>41559</v>
      </c>
    </row>
    <row r="654" spans="1:1" x14ac:dyDescent="0.2">
      <c r="A654" s="52">
        <v>41560</v>
      </c>
    </row>
    <row r="655" spans="1:1" x14ac:dyDescent="0.2">
      <c r="A655" s="52">
        <v>41561</v>
      </c>
    </row>
    <row r="656" spans="1:1" x14ac:dyDescent="0.2">
      <c r="A656" s="52">
        <v>41562</v>
      </c>
    </row>
    <row r="657" spans="1:1" x14ac:dyDescent="0.2">
      <c r="A657" s="52">
        <v>41563</v>
      </c>
    </row>
    <row r="658" spans="1:1" x14ac:dyDescent="0.2">
      <c r="A658" s="52">
        <v>41564</v>
      </c>
    </row>
    <row r="659" spans="1:1" x14ac:dyDescent="0.2">
      <c r="A659" s="52">
        <v>41565</v>
      </c>
    </row>
    <row r="660" spans="1:1" x14ac:dyDescent="0.2">
      <c r="A660" s="52">
        <v>41566</v>
      </c>
    </row>
    <row r="661" spans="1:1" x14ac:dyDescent="0.2">
      <c r="A661" s="52">
        <v>41567</v>
      </c>
    </row>
    <row r="662" spans="1:1" x14ac:dyDescent="0.2">
      <c r="A662" s="52">
        <v>41568</v>
      </c>
    </row>
    <row r="663" spans="1:1" x14ac:dyDescent="0.2">
      <c r="A663" s="52">
        <v>41569</v>
      </c>
    </row>
    <row r="664" spans="1:1" x14ac:dyDescent="0.2">
      <c r="A664" s="52">
        <v>41570</v>
      </c>
    </row>
    <row r="665" spans="1:1" x14ac:dyDescent="0.2">
      <c r="A665" s="52">
        <v>41571</v>
      </c>
    </row>
    <row r="666" spans="1:1" x14ac:dyDescent="0.2">
      <c r="A666" s="52">
        <v>41572</v>
      </c>
    </row>
    <row r="667" spans="1:1" x14ac:dyDescent="0.2">
      <c r="A667" s="52">
        <v>41573</v>
      </c>
    </row>
    <row r="668" spans="1:1" x14ac:dyDescent="0.2">
      <c r="A668" s="52">
        <v>41574</v>
      </c>
    </row>
    <row r="669" spans="1:1" x14ac:dyDescent="0.2">
      <c r="A669" s="52">
        <v>41575</v>
      </c>
    </row>
    <row r="670" spans="1:1" x14ac:dyDescent="0.2">
      <c r="A670" s="52">
        <v>41576</v>
      </c>
    </row>
    <row r="671" spans="1:1" x14ac:dyDescent="0.2">
      <c r="A671" s="52">
        <v>41577</v>
      </c>
    </row>
    <row r="672" spans="1:1" x14ac:dyDescent="0.2">
      <c r="A672" s="52">
        <v>41578</v>
      </c>
    </row>
    <row r="673" spans="1:1" x14ac:dyDescent="0.2">
      <c r="A673" s="52">
        <v>41579</v>
      </c>
    </row>
    <row r="674" spans="1:1" x14ac:dyDescent="0.2">
      <c r="A674" s="52">
        <v>41580</v>
      </c>
    </row>
    <row r="675" spans="1:1" x14ac:dyDescent="0.2">
      <c r="A675" s="52">
        <v>41581</v>
      </c>
    </row>
    <row r="676" spans="1:1" x14ac:dyDescent="0.2">
      <c r="A676" s="52">
        <v>41582</v>
      </c>
    </row>
    <row r="677" spans="1:1" x14ac:dyDescent="0.2">
      <c r="A677" s="52">
        <v>41583</v>
      </c>
    </row>
    <row r="678" spans="1:1" x14ac:dyDescent="0.2">
      <c r="A678" s="52">
        <v>41584</v>
      </c>
    </row>
    <row r="679" spans="1:1" x14ac:dyDescent="0.2">
      <c r="A679" s="52">
        <v>41585</v>
      </c>
    </row>
    <row r="680" spans="1:1" x14ac:dyDescent="0.2">
      <c r="A680" s="52">
        <v>41586</v>
      </c>
    </row>
    <row r="681" spans="1:1" x14ac:dyDescent="0.2">
      <c r="A681" s="52">
        <v>41587</v>
      </c>
    </row>
    <row r="682" spans="1:1" x14ac:dyDescent="0.2">
      <c r="A682" s="52">
        <v>41588</v>
      </c>
    </row>
    <row r="683" spans="1:1" x14ac:dyDescent="0.2">
      <c r="A683" s="52">
        <v>41589</v>
      </c>
    </row>
    <row r="684" spans="1:1" x14ac:dyDescent="0.2">
      <c r="A684" s="52">
        <v>41590</v>
      </c>
    </row>
    <row r="685" spans="1:1" x14ac:dyDescent="0.2">
      <c r="A685" s="52">
        <v>41591</v>
      </c>
    </row>
    <row r="686" spans="1:1" x14ac:dyDescent="0.2">
      <c r="A686" s="52">
        <v>41592</v>
      </c>
    </row>
    <row r="687" spans="1:1" x14ac:dyDescent="0.2">
      <c r="A687" s="52">
        <v>41593</v>
      </c>
    </row>
    <row r="688" spans="1:1" x14ac:dyDescent="0.2">
      <c r="A688" s="52">
        <v>41594</v>
      </c>
    </row>
    <row r="689" spans="1:1" x14ac:dyDescent="0.2">
      <c r="A689" s="52">
        <v>41595</v>
      </c>
    </row>
    <row r="690" spans="1:1" x14ac:dyDescent="0.2">
      <c r="A690" s="52">
        <v>41596</v>
      </c>
    </row>
    <row r="691" spans="1:1" x14ac:dyDescent="0.2">
      <c r="A691" s="52">
        <v>41597</v>
      </c>
    </row>
    <row r="692" spans="1:1" x14ac:dyDescent="0.2">
      <c r="A692" s="52">
        <v>41598</v>
      </c>
    </row>
    <row r="693" spans="1:1" x14ac:dyDescent="0.2">
      <c r="A693" s="52">
        <v>41599</v>
      </c>
    </row>
    <row r="694" spans="1:1" x14ac:dyDescent="0.2">
      <c r="A694" s="52">
        <v>41600</v>
      </c>
    </row>
    <row r="695" spans="1:1" x14ac:dyDescent="0.2">
      <c r="A695" s="52">
        <v>41601</v>
      </c>
    </row>
    <row r="696" spans="1:1" x14ac:dyDescent="0.2">
      <c r="A696" s="52">
        <v>41602</v>
      </c>
    </row>
    <row r="697" spans="1:1" x14ac:dyDescent="0.2">
      <c r="A697" s="52">
        <v>41603</v>
      </c>
    </row>
    <row r="698" spans="1:1" x14ac:dyDescent="0.2">
      <c r="A698" s="52">
        <v>41604</v>
      </c>
    </row>
    <row r="699" spans="1:1" x14ac:dyDescent="0.2">
      <c r="A699" s="52">
        <v>41605</v>
      </c>
    </row>
    <row r="700" spans="1:1" x14ac:dyDescent="0.2">
      <c r="A700" s="52">
        <v>41606</v>
      </c>
    </row>
    <row r="701" spans="1:1" x14ac:dyDescent="0.2">
      <c r="A701" s="52">
        <v>41607</v>
      </c>
    </row>
    <row r="702" spans="1:1" x14ac:dyDescent="0.2">
      <c r="A702" s="52">
        <v>41608</v>
      </c>
    </row>
    <row r="703" spans="1:1" x14ac:dyDescent="0.2">
      <c r="A703" s="52">
        <v>41609</v>
      </c>
    </row>
    <row r="704" spans="1:1" x14ac:dyDescent="0.2">
      <c r="A704" s="52">
        <v>41610</v>
      </c>
    </row>
    <row r="705" spans="1:1" x14ac:dyDescent="0.2">
      <c r="A705" s="52">
        <v>41611</v>
      </c>
    </row>
    <row r="706" spans="1:1" x14ac:dyDescent="0.2">
      <c r="A706" s="52">
        <v>41612</v>
      </c>
    </row>
    <row r="707" spans="1:1" x14ac:dyDescent="0.2">
      <c r="A707" s="52">
        <v>41613</v>
      </c>
    </row>
    <row r="708" spans="1:1" x14ac:dyDescent="0.2">
      <c r="A708" s="52">
        <v>41614</v>
      </c>
    </row>
    <row r="709" spans="1:1" x14ac:dyDescent="0.2">
      <c r="A709" s="52">
        <v>41615</v>
      </c>
    </row>
    <row r="710" spans="1:1" x14ac:dyDescent="0.2">
      <c r="A710" s="52">
        <v>41616</v>
      </c>
    </row>
    <row r="711" spans="1:1" x14ac:dyDescent="0.2">
      <c r="A711" s="52">
        <v>41617</v>
      </c>
    </row>
    <row r="712" spans="1:1" x14ac:dyDescent="0.2">
      <c r="A712" s="52">
        <v>41618</v>
      </c>
    </row>
    <row r="713" spans="1:1" x14ac:dyDescent="0.2">
      <c r="A713" s="52">
        <v>41619</v>
      </c>
    </row>
    <row r="714" spans="1:1" x14ac:dyDescent="0.2">
      <c r="A714" s="52">
        <v>41620</v>
      </c>
    </row>
    <row r="715" spans="1:1" x14ac:dyDescent="0.2">
      <c r="A715" s="52">
        <v>41621</v>
      </c>
    </row>
    <row r="716" spans="1:1" x14ac:dyDescent="0.2">
      <c r="A716" s="52">
        <v>41622</v>
      </c>
    </row>
    <row r="717" spans="1:1" x14ac:dyDescent="0.2">
      <c r="A717" s="52">
        <v>41623</v>
      </c>
    </row>
    <row r="718" spans="1:1" x14ac:dyDescent="0.2">
      <c r="A718" s="52">
        <v>41624</v>
      </c>
    </row>
    <row r="719" spans="1:1" x14ac:dyDescent="0.2">
      <c r="A719" s="52">
        <v>41625</v>
      </c>
    </row>
    <row r="720" spans="1:1" x14ac:dyDescent="0.2">
      <c r="A720" s="52">
        <v>41626</v>
      </c>
    </row>
    <row r="721" spans="1:1" x14ac:dyDescent="0.2">
      <c r="A721" s="52">
        <v>41627</v>
      </c>
    </row>
    <row r="722" spans="1:1" x14ac:dyDescent="0.2">
      <c r="A722" s="52">
        <v>41628</v>
      </c>
    </row>
    <row r="723" spans="1:1" x14ac:dyDescent="0.2">
      <c r="A723" s="52">
        <v>41629</v>
      </c>
    </row>
    <row r="724" spans="1:1" x14ac:dyDescent="0.2">
      <c r="A724" s="52">
        <v>41630</v>
      </c>
    </row>
    <row r="725" spans="1:1" x14ac:dyDescent="0.2">
      <c r="A725" s="52">
        <v>41631</v>
      </c>
    </row>
    <row r="726" spans="1:1" x14ac:dyDescent="0.2">
      <c r="A726" s="52">
        <v>41632</v>
      </c>
    </row>
    <row r="727" spans="1:1" x14ac:dyDescent="0.2">
      <c r="A727" s="52">
        <v>41633</v>
      </c>
    </row>
    <row r="728" spans="1:1" x14ac:dyDescent="0.2">
      <c r="A728" s="52">
        <v>41634</v>
      </c>
    </row>
    <row r="729" spans="1:1" x14ac:dyDescent="0.2">
      <c r="A729" s="52">
        <v>41635</v>
      </c>
    </row>
    <row r="730" spans="1:1" x14ac:dyDescent="0.2">
      <c r="A730" s="52">
        <v>41636</v>
      </c>
    </row>
    <row r="731" spans="1:1" x14ac:dyDescent="0.2">
      <c r="A731" s="52">
        <v>41637</v>
      </c>
    </row>
    <row r="732" spans="1:1" x14ac:dyDescent="0.2">
      <c r="A732" s="52">
        <v>41638</v>
      </c>
    </row>
    <row r="733" spans="1:1" x14ac:dyDescent="0.2">
      <c r="A733" s="5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GridLines="0" view="pageBreakPreview" zoomScale="80" zoomScaleNormal="100" zoomScaleSheetLayoutView="80" workbookViewId="0">
      <selection activeCell="H95" sqref="H95"/>
    </sheetView>
  </sheetViews>
  <sheetFormatPr defaultRowHeight="15" x14ac:dyDescent="0.3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406</v>
      </c>
      <c r="B1" s="223"/>
      <c r="C1" s="638" t="s">
        <v>109</v>
      </c>
      <c r="D1" s="638"/>
      <c r="E1" s="82"/>
    </row>
    <row r="2" spans="1:5" s="6" customFormat="1" x14ac:dyDescent="0.3">
      <c r="A2" s="65" t="s">
        <v>407</v>
      </c>
      <c r="B2" s="223"/>
      <c r="C2" s="628" t="s">
        <v>645</v>
      </c>
      <c r="D2" s="639"/>
      <c r="E2" s="639"/>
    </row>
    <row r="3" spans="1:5" s="6" customFormat="1" x14ac:dyDescent="0.3">
      <c r="A3" s="65" t="s">
        <v>408</v>
      </c>
      <c r="B3" s="223"/>
      <c r="C3" s="224"/>
      <c r="D3" s="224"/>
      <c r="E3" s="82"/>
    </row>
    <row r="4" spans="1:5" s="6" customFormat="1" x14ac:dyDescent="0.3">
      <c r="A4" s="67" t="s">
        <v>140</v>
      </c>
      <c r="B4" s="223"/>
      <c r="C4" s="224"/>
      <c r="D4" s="224"/>
      <c r="E4" s="82"/>
    </row>
    <row r="5" spans="1:5" s="6" customFormat="1" x14ac:dyDescent="0.3">
      <c r="A5" s="67"/>
      <c r="B5" s="223"/>
      <c r="C5" s="224"/>
      <c r="D5" s="224"/>
      <c r="E5" s="82"/>
    </row>
    <row r="6" spans="1:5" x14ac:dyDescent="0.3">
      <c r="A6" s="68" t="str">
        <f>'[1]ფორმა N2'!A4</f>
        <v>ანგარიშვალდებული პირის დასახელება:</v>
      </c>
      <c r="B6" s="68"/>
      <c r="C6" s="67"/>
      <c r="D6" s="67"/>
      <c r="E6" s="83"/>
    </row>
    <row r="7" spans="1:5" x14ac:dyDescent="0.3">
      <c r="A7" s="225" t="str">
        <f>'ფორმა N1'!D4</f>
        <v>მოქალაქეთა  პოლიტიკური გაერთიანება "ეროვნული ფორუმი"</v>
      </c>
      <c r="B7" s="71"/>
      <c r="C7" s="72"/>
      <c r="D7" s="72"/>
      <c r="E7" s="83"/>
    </row>
    <row r="8" spans="1:5" x14ac:dyDescent="0.3">
      <c r="A8" s="68"/>
      <c r="B8" s="68"/>
      <c r="C8" s="67"/>
      <c r="D8" s="67"/>
      <c r="E8" s="83"/>
    </row>
    <row r="9" spans="1:5" s="6" customFormat="1" ht="30" x14ac:dyDescent="0.3">
      <c r="A9" s="80" t="s">
        <v>64</v>
      </c>
      <c r="B9" s="81" t="s">
        <v>11</v>
      </c>
      <c r="C9" s="70" t="s">
        <v>10</v>
      </c>
      <c r="D9" s="70" t="s">
        <v>9</v>
      </c>
      <c r="E9" s="82"/>
    </row>
    <row r="10" spans="1:5" s="7" customFormat="1" x14ac:dyDescent="0.2">
      <c r="A10" s="226">
        <v>1</v>
      </c>
      <c r="B10" s="226" t="s">
        <v>57</v>
      </c>
      <c r="C10" s="73">
        <f>SUM(C11,C14,C54,C57,C58,C59,C77)</f>
        <v>339538.17</v>
      </c>
      <c r="D10" s="560">
        <f>SUM(D11,D14,D54,D57,D58,D59,D65,D73,D74)</f>
        <v>323504.92000000004</v>
      </c>
      <c r="E10" s="227"/>
    </row>
    <row r="11" spans="1:5" s="9" customFormat="1" ht="18" x14ac:dyDescent="0.2">
      <c r="A11" s="78">
        <v>1.1000000000000001</v>
      </c>
      <c r="B11" s="78" t="s">
        <v>58</v>
      </c>
      <c r="C11" s="74">
        <f>SUM(C12:C13)</f>
        <v>173000</v>
      </c>
      <c r="D11" s="74">
        <f>SUM(D12:D13)</f>
        <v>166550</v>
      </c>
      <c r="E11" s="84"/>
    </row>
    <row r="12" spans="1:5" s="10" customFormat="1" x14ac:dyDescent="0.2">
      <c r="A12" s="79" t="s">
        <v>30</v>
      </c>
      <c r="B12" s="79" t="s">
        <v>59</v>
      </c>
      <c r="C12" s="4">
        <f>142100+30900</f>
        <v>173000</v>
      </c>
      <c r="D12" s="4">
        <f>151100+15450</f>
        <v>166550</v>
      </c>
      <c r="E12" s="85"/>
    </row>
    <row r="13" spans="1:5" s="3" customFormat="1" x14ac:dyDescent="0.2">
      <c r="A13" s="79" t="s">
        <v>31</v>
      </c>
      <c r="B13" s="79" t="s">
        <v>0</v>
      </c>
      <c r="C13" s="4"/>
      <c r="D13" s="4"/>
      <c r="E13" s="86"/>
    </row>
    <row r="14" spans="1:5" s="7" customFormat="1" x14ac:dyDescent="0.2">
      <c r="A14" s="78">
        <v>1.2</v>
      </c>
      <c r="B14" s="78" t="s">
        <v>60</v>
      </c>
      <c r="C14" s="75">
        <f>SUM(C15,C18,C30,C31,C32,C33,C36,C37,C44:C48,C52,C53)</f>
        <v>152057.79999999999</v>
      </c>
      <c r="D14" s="75">
        <f>SUM(D15,D18,D30,D31,D32,D33,D36,D37,D44:D48,D52,D53)</f>
        <v>145038.42000000001</v>
      </c>
      <c r="E14" s="227"/>
    </row>
    <row r="15" spans="1:5" s="3" customFormat="1" x14ac:dyDescent="0.2">
      <c r="A15" s="79" t="s">
        <v>32</v>
      </c>
      <c r="B15" s="79" t="s">
        <v>1</v>
      </c>
      <c r="C15" s="74">
        <f>SUM(C16:C17)</f>
        <v>14775</v>
      </c>
      <c r="D15" s="74">
        <f>SUM(D16:D17)</f>
        <v>14820</v>
      </c>
      <c r="E15" s="86"/>
    </row>
    <row r="16" spans="1:5" s="3" customFormat="1" x14ac:dyDescent="0.2">
      <c r="A16" s="88" t="s">
        <v>98</v>
      </c>
      <c r="B16" s="88" t="s">
        <v>61</v>
      </c>
      <c r="C16" s="4">
        <f>11820+2955+8865+720+4965-8865-720-4965</f>
        <v>14775</v>
      </c>
      <c r="D16" s="4">
        <f>720+20685+2955+5010-720-8865-4965</f>
        <v>14820</v>
      </c>
      <c r="E16" s="86"/>
    </row>
    <row r="17" spans="1:5" s="3" customFormat="1" x14ac:dyDescent="0.2">
      <c r="A17" s="88" t="s">
        <v>99</v>
      </c>
      <c r="B17" s="88" t="s">
        <v>62</v>
      </c>
      <c r="C17" s="4"/>
      <c r="D17" s="4"/>
      <c r="E17" s="86"/>
    </row>
    <row r="18" spans="1:5" s="3" customFormat="1" x14ac:dyDescent="0.2">
      <c r="A18" s="79" t="s">
        <v>33</v>
      </c>
      <c r="B18" s="79" t="s">
        <v>2</v>
      </c>
      <c r="C18" s="74">
        <f>SUM(C19:C24,C29)</f>
        <v>10725.51</v>
      </c>
      <c r="D18" s="74">
        <f>SUM(D19:D24,D29)</f>
        <v>10634.51</v>
      </c>
      <c r="E18" s="228"/>
    </row>
    <row r="19" spans="1:5" s="231" customFormat="1" ht="30" x14ac:dyDescent="0.2">
      <c r="A19" s="88" t="s">
        <v>12</v>
      </c>
      <c r="B19" s="88" t="s">
        <v>250</v>
      </c>
      <c r="C19" s="229">
        <v>297.39999999999998</v>
      </c>
      <c r="D19" s="229">
        <v>297.39999999999998</v>
      </c>
      <c r="E19" s="229">
        <v>297.39999999999998</v>
      </c>
    </row>
    <row r="20" spans="1:5" s="231" customFormat="1" x14ac:dyDescent="0.2">
      <c r="A20" s="88" t="s">
        <v>13</v>
      </c>
      <c r="B20" s="88" t="s">
        <v>14</v>
      </c>
      <c r="C20" s="229"/>
      <c r="D20" s="229"/>
      <c r="E20" s="230"/>
    </row>
    <row r="21" spans="1:5" s="231" customFormat="1" ht="30" x14ac:dyDescent="0.2">
      <c r="A21" s="88" t="s">
        <v>281</v>
      </c>
      <c r="B21" s="88" t="s">
        <v>22</v>
      </c>
      <c r="C21" s="229"/>
      <c r="D21" s="229"/>
      <c r="E21" s="230"/>
    </row>
    <row r="22" spans="1:5" s="231" customFormat="1" ht="16.5" customHeight="1" x14ac:dyDescent="0.2">
      <c r="A22" s="88" t="s">
        <v>282</v>
      </c>
      <c r="B22" s="88" t="s">
        <v>15</v>
      </c>
      <c r="C22" s="229">
        <f>2312.58+464.59</f>
        <v>2777.17</v>
      </c>
      <c r="D22" s="229">
        <f>2312.58+464.59</f>
        <v>2777.17</v>
      </c>
      <c r="E22" s="230"/>
    </row>
    <row r="23" spans="1:5" s="231" customFormat="1" ht="16.5" customHeight="1" x14ac:dyDescent="0.2">
      <c r="A23" s="88" t="s">
        <v>283</v>
      </c>
      <c r="B23" s="88" t="s">
        <v>16</v>
      </c>
      <c r="C23" s="229"/>
      <c r="D23" s="229"/>
      <c r="E23" s="230"/>
    </row>
    <row r="24" spans="1:5" s="231" customFormat="1" ht="16.5" customHeight="1" x14ac:dyDescent="0.2">
      <c r="A24" s="88" t="s">
        <v>284</v>
      </c>
      <c r="B24" s="88" t="s">
        <v>17</v>
      </c>
      <c r="C24" s="74">
        <f>SUM(C25:C28)</f>
        <v>6140.9400000000005</v>
      </c>
      <c r="D24" s="74">
        <f>SUM(D25:D28)</f>
        <v>6140.9400000000005</v>
      </c>
      <c r="E24" s="230"/>
    </row>
    <row r="25" spans="1:5" s="231" customFormat="1" ht="16.5" customHeight="1" x14ac:dyDescent="0.2">
      <c r="A25" s="232" t="s">
        <v>285</v>
      </c>
      <c r="B25" s="232" t="s">
        <v>18</v>
      </c>
      <c r="C25" s="229">
        <f>1.66+15.05</f>
        <v>16.71</v>
      </c>
      <c r="D25" s="229">
        <f>1.66+15.05</f>
        <v>16.71</v>
      </c>
      <c r="E25" s="230"/>
    </row>
    <row r="26" spans="1:5" s="231" customFormat="1" ht="16.5" customHeight="1" x14ac:dyDescent="0.2">
      <c r="A26" s="232" t="s">
        <v>286</v>
      </c>
      <c r="B26" s="232" t="s">
        <v>19</v>
      </c>
      <c r="C26" s="229">
        <f>712.82+105.61</f>
        <v>818.43000000000006</v>
      </c>
      <c r="D26" s="229">
        <f>712.82+105.61</f>
        <v>818.43000000000006</v>
      </c>
      <c r="E26" s="230"/>
    </row>
    <row r="27" spans="1:5" s="231" customFormat="1" ht="16.5" customHeight="1" x14ac:dyDescent="0.2">
      <c r="A27" s="232" t="s">
        <v>287</v>
      </c>
      <c r="B27" s="232" t="s">
        <v>20</v>
      </c>
      <c r="C27" s="229">
        <f>4719.75+435.75</f>
        <v>5155.5</v>
      </c>
      <c r="D27" s="229">
        <f>4719.75+435.75</f>
        <v>5155.5</v>
      </c>
      <c r="E27" s="230"/>
    </row>
    <row r="28" spans="1:5" s="231" customFormat="1" ht="16.5" customHeight="1" x14ac:dyDescent="0.2">
      <c r="A28" s="232" t="s">
        <v>288</v>
      </c>
      <c r="B28" s="232" t="s">
        <v>23</v>
      </c>
      <c r="C28" s="229">
        <f>149+1.3</f>
        <v>150.30000000000001</v>
      </c>
      <c r="D28" s="229">
        <f>149+1.3</f>
        <v>150.30000000000001</v>
      </c>
      <c r="E28" s="230"/>
    </row>
    <row r="29" spans="1:5" s="231" customFormat="1" ht="16.5" customHeight="1" x14ac:dyDescent="0.2">
      <c r="A29" s="88" t="s">
        <v>289</v>
      </c>
      <c r="B29" s="88" t="s">
        <v>21</v>
      </c>
      <c r="C29" s="229">
        <f>339.2+295+211.6+354.1+91+219.1</f>
        <v>1510</v>
      </c>
      <c r="D29" s="229">
        <f>339.2+295+211.6+354.1+219.1</f>
        <v>1419</v>
      </c>
      <c r="E29" s="230"/>
    </row>
    <row r="30" spans="1:5" s="3" customFormat="1" ht="16.5" customHeight="1" x14ac:dyDescent="0.2">
      <c r="A30" s="79" t="s">
        <v>34</v>
      </c>
      <c r="B30" s="79" t="s">
        <v>3</v>
      </c>
      <c r="C30" s="4">
        <f>933.9+568+177</f>
        <v>1678.9</v>
      </c>
      <c r="D30" s="4">
        <f>1501.9+177</f>
        <v>1678.9</v>
      </c>
      <c r="E30" s="228"/>
    </row>
    <row r="31" spans="1:5" s="3" customFormat="1" ht="16.5" customHeight="1" x14ac:dyDescent="0.2">
      <c r="A31" s="79" t="s">
        <v>35</v>
      </c>
      <c r="B31" s="79" t="s">
        <v>4</v>
      </c>
      <c r="C31" s="4"/>
      <c r="D31" s="4"/>
      <c r="E31" s="86"/>
    </row>
    <row r="32" spans="1:5" s="3" customFormat="1" ht="16.5" customHeight="1" x14ac:dyDescent="0.2">
      <c r="A32" s="79" t="s">
        <v>36</v>
      </c>
      <c r="B32" s="79" t="s">
        <v>5</v>
      </c>
      <c r="C32" s="4"/>
      <c r="D32" s="4"/>
      <c r="E32" s="86"/>
    </row>
    <row r="33" spans="1:5" s="3" customFormat="1" x14ac:dyDescent="0.2">
      <c r="A33" s="79" t="s">
        <v>37</v>
      </c>
      <c r="B33" s="79" t="s">
        <v>63</v>
      </c>
      <c r="C33" s="74">
        <f>SUM(C34:C35)</f>
        <v>24112.879999999997</v>
      </c>
      <c r="D33" s="74">
        <f>SUM(D34:D35)</f>
        <v>22828.6</v>
      </c>
      <c r="E33" s="86"/>
    </row>
    <row r="34" spans="1:5" s="3" customFormat="1" ht="16.5" customHeight="1" x14ac:dyDescent="0.2">
      <c r="A34" s="88" t="s">
        <v>290</v>
      </c>
      <c r="B34" s="88" t="s">
        <v>56</v>
      </c>
      <c r="C34" s="4">
        <f>19224.62+2643.66</f>
        <v>21868.28</v>
      </c>
      <c r="D34" s="4">
        <f>18125+2459</f>
        <v>20584</v>
      </c>
      <c r="E34" s="86"/>
    </row>
    <row r="35" spans="1:5" s="3" customFormat="1" ht="16.5" customHeight="1" x14ac:dyDescent="0.2">
      <c r="A35" s="88" t="s">
        <v>291</v>
      </c>
      <c r="B35" s="88" t="s">
        <v>55</v>
      </c>
      <c r="C35" s="4">
        <f>1309.6+935</f>
        <v>2244.6</v>
      </c>
      <c r="D35" s="4">
        <f>1309.6+935</f>
        <v>2244.6</v>
      </c>
      <c r="E35" s="86"/>
    </row>
    <row r="36" spans="1:5" s="3" customFormat="1" ht="16.5" customHeight="1" x14ac:dyDescent="0.2">
      <c r="A36" s="79" t="s">
        <v>38</v>
      </c>
      <c r="B36" s="79" t="s">
        <v>49</v>
      </c>
      <c r="C36" s="4">
        <f>291.54+144.85</f>
        <v>436.39</v>
      </c>
      <c r="D36" s="4">
        <f>291.54+144.85</f>
        <v>436.39</v>
      </c>
      <c r="E36" s="86"/>
    </row>
    <row r="37" spans="1:5" s="3" customFormat="1" ht="16.5" customHeight="1" x14ac:dyDescent="0.2">
      <c r="A37" s="79" t="s">
        <v>39</v>
      </c>
      <c r="B37" s="79" t="s">
        <v>409</v>
      </c>
      <c r="C37" s="74">
        <f>SUM(C38:C43)</f>
        <v>0</v>
      </c>
      <c r="D37" s="74">
        <f>SUM(D38:D43)</f>
        <v>0</v>
      </c>
      <c r="E37" s="86"/>
    </row>
    <row r="38" spans="1:5" s="3" customFormat="1" ht="16.5" customHeight="1" x14ac:dyDescent="0.2">
      <c r="A38" s="17" t="s">
        <v>355</v>
      </c>
      <c r="B38" s="17" t="s">
        <v>359</v>
      </c>
      <c r="C38" s="4"/>
      <c r="D38" s="4"/>
      <c r="E38" s="86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4"/>
      <c r="E39" s="86"/>
    </row>
    <row r="40" spans="1:5" s="3" customFormat="1" ht="16.5" customHeight="1" x14ac:dyDescent="0.2">
      <c r="A40" s="17" t="s">
        <v>357</v>
      </c>
      <c r="B40" s="17" t="s">
        <v>363</v>
      </c>
      <c r="C40" s="4"/>
      <c r="D40" s="4"/>
      <c r="E40" s="86"/>
    </row>
    <row r="41" spans="1:5" s="3" customFormat="1" ht="16.5" customHeight="1" x14ac:dyDescent="0.2">
      <c r="A41" s="17" t="s">
        <v>362</v>
      </c>
      <c r="B41" s="17" t="s">
        <v>364</v>
      </c>
      <c r="C41" s="4"/>
      <c r="D41" s="4"/>
      <c r="E41" s="86"/>
    </row>
    <row r="42" spans="1:5" s="3" customFormat="1" ht="16.5" customHeight="1" x14ac:dyDescent="0.2">
      <c r="A42" s="17" t="s">
        <v>365</v>
      </c>
      <c r="B42" s="17" t="s">
        <v>499</v>
      </c>
      <c r="C42" s="4"/>
      <c r="D42" s="4"/>
      <c r="E42" s="86"/>
    </row>
    <row r="43" spans="1:5" s="3" customFormat="1" ht="16.5" customHeight="1" x14ac:dyDescent="0.2">
      <c r="A43" s="17" t="s">
        <v>500</v>
      </c>
      <c r="B43" s="17" t="s">
        <v>361</v>
      </c>
      <c r="C43" s="4"/>
      <c r="D43" s="4"/>
      <c r="E43" s="86"/>
    </row>
    <row r="44" spans="1:5" s="3" customFormat="1" ht="30" x14ac:dyDescent="0.2">
      <c r="A44" s="79" t="s">
        <v>40</v>
      </c>
      <c r="B44" s="79" t="s">
        <v>28</v>
      </c>
      <c r="C44" s="4">
        <f>3876.69-3876.69</f>
        <v>0</v>
      </c>
      <c r="D44" s="4">
        <f>3876.69-3876.69</f>
        <v>0</v>
      </c>
      <c r="E44" s="86"/>
    </row>
    <row r="45" spans="1:5" s="3" customFormat="1" ht="16.5" customHeight="1" x14ac:dyDescent="0.2">
      <c r="A45" s="79" t="s">
        <v>41</v>
      </c>
      <c r="B45" s="79" t="s">
        <v>24</v>
      </c>
      <c r="C45" s="4"/>
      <c r="D45" s="4"/>
      <c r="E45" s="86"/>
    </row>
    <row r="46" spans="1:5" s="3" customFormat="1" ht="16.5" customHeight="1" x14ac:dyDescent="0.2">
      <c r="A46" s="79" t="s">
        <v>42</v>
      </c>
      <c r="B46" s="79" t="s">
        <v>25</v>
      </c>
      <c r="C46" s="4">
        <f>3000+2000</f>
        <v>5000</v>
      </c>
      <c r="D46" s="4">
        <f>3000+2000</f>
        <v>5000</v>
      </c>
      <c r="E46" s="86"/>
    </row>
    <row r="47" spans="1:5" s="3" customFormat="1" ht="16.5" customHeight="1" x14ac:dyDescent="0.2">
      <c r="A47" s="79" t="s">
        <v>43</v>
      </c>
      <c r="B47" s="79" t="s">
        <v>26</v>
      </c>
      <c r="C47" s="4"/>
      <c r="D47" s="4"/>
      <c r="E47" s="86"/>
    </row>
    <row r="48" spans="1:5" s="3" customFormat="1" ht="16.5" customHeight="1" x14ac:dyDescent="0.2">
      <c r="A48" s="79" t="s">
        <v>44</v>
      </c>
      <c r="B48" s="79" t="s">
        <v>410</v>
      </c>
      <c r="C48" s="74">
        <f>SUM(C49:C51)</f>
        <v>94899.12</v>
      </c>
      <c r="D48" s="74">
        <f>SUM(D49:D51)</f>
        <v>89210.02</v>
      </c>
      <c r="E48" s="86"/>
    </row>
    <row r="49" spans="1:5" s="3" customFormat="1" ht="16.5" customHeight="1" x14ac:dyDescent="0.2">
      <c r="A49" s="88" t="s">
        <v>371</v>
      </c>
      <c r="B49" s="88" t="s">
        <v>374</v>
      </c>
      <c r="C49" s="4">
        <f>77911.64+6987.48</f>
        <v>84899.12</v>
      </c>
      <c r="D49" s="4">
        <f>73411.64+6898.38</f>
        <v>80310.02</v>
      </c>
      <c r="E49" s="86"/>
    </row>
    <row r="50" spans="1:5" s="3" customFormat="1" ht="16.5" customHeight="1" x14ac:dyDescent="0.2">
      <c r="A50" s="88" t="s">
        <v>372</v>
      </c>
      <c r="B50" s="88" t="s">
        <v>373</v>
      </c>
      <c r="C50" s="4">
        <f>7000+3000</f>
        <v>10000</v>
      </c>
      <c r="D50" s="4">
        <f>7400+1500</f>
        <v>8900</v>
      </c>
      <c r="E50" s="86"/>
    </row>
    <row r="51" spans="1:5" s="3" customFormat="1" ht="16.5" customHeight="1" x14ac:dyDescent="0.2">
      <c r="A51" s="88" t="s">
        <v>375</v>
      </c>
      <c r="B51" s="88" t="s">
        <v>376</v>
      </c>
      <c r="C51" s="4"/>
      <c r="D51" s="4"/>
      <c r="E51" s="86"/>
    </row>
    <row r="52" spans="1:5" s="3" customFormat="1" ht="30" x14ac:dyDescent="0.2">
      <c r="A52" s="79" t="s">
        <v>45</v>
      </c>
      <c r="B52" s="79" t="s">
        <v>29</v>
      </c>
      <c r="C52" s="4"/>
      <c r="D52" s="4"/>
      <c r="E52" s="86"/>
    </row>
    <row r="53" spans="1:5" s="3" customFormat="1" ht="16.5" customHeight="1" x14ac:dyDescent="0.2">
      <c r="A53" s="79" t="s">
        <v>46</v>
      </c>
      <c r="B53" s="79" t="s">
        <v>6</v>
      </c>
      <c r="C53" s="4">
        <f>380+4225+50+8750-4225-8750</f>
        <v>430</v>
      </c>
      <c r="D53" s="4">
        <f>4225+380+8750+50-4225-8750</f>
        <v>430</v>
      </c>
      <c r="E53" s="228"/>
    </row>
    <row r="54" spans="1:5" s="3" customFormat="1" ht="30" x14ac:dyDescent="0.2">
      <c r="A54" s="78">
        <v>1.3</v>
      </c>
      <c r="B54" s="78" t="s">
        <v>415</v>
      </c>
      <c r="C54" s="75">
        <f>SUM(C55:C56)</f>
        <v>0</v>
      </c>
      <c r="D54" s="75">
        <f>SUM(D55:D56)</f>
        <v>0</v>
      </c>
      <c r="E54" s="228"/>
    </row>
    <row r="55" spans="1:5" s="3" customFormat="1" ht="30" x14ac:dyDescent="0.2">
      <c r="A55" s="79" t="s">
        <v>50</v>
      </c>
      <c r="B55" s="79" t="s">
        <v>48</v>
      </c>
      <c r="C55" s="4"/>
      <c r="D55" s="4"/>
      <c r="E55" s="228"/>
    </row>
    <row r="56" spans="1:5" s="3" customFormat="1" ht="16.5" customHeight="1" x14ac:dyDescent="0.2">
      <c r="A56" s="79" t="s">
        <v>51</v>
      </c>
      <c r="B56" s="79" t="s">
        <v>47</v>
      </c>
      <c r="C56" s="4"/>
      <c r="D56" s="4"/>
      <c r="E56" s="228"/>
    </row>
    <row r="57" spans="1:5" s="3" customFormat="1" x14ac:dyDescent="0.2">
      <c r="A57" s="78">
        <v>1.4</v>
      </c>
      <c r="B57" s="78" t="s">
        <v>417</v>
      </c>
      <c r="C57" s="4"/>
      <c r="D57" s="4"/>
      <c r="E57" s="228"/>
    </row>
    <row r="58" spans="1:5" s="231" customFormat="1" x14ac:dyDescent="0.2">
      <c r="A58" s="78">
        <v>1.5</v>
      </c>
      <c r="B58" s="78" t="s">
        <v>7</v>
      </c>
      <c r="C58" s="229">
        <f>900+900</f>
        <v>1800</v>
      </c>
      <c r="D58" s="229">
        <f>900+900</f>
        <v>1800</v>
      </c>
      <c r="E58" s="230"/>
    </row>
    <row r="59" spans="1:5" s="231" customFormat="1" x14ac:dyDescent="0.3">
      <c r="A59" s="78">
        <v>1.6</v>
      </c>
      <c r="B59" s="35" t="s">
        <v>8</v>
      </c>
      <c r="C59" s="76">
        <f>SUM(C60:C64)</f>
        <v>11736.25</v>
      </c>
      <c r="D59" s="76">
        <f>SUM(D60:D64)</f>
        <v>10067.5</v>
      </c>
      <c r="E59" s="230"/>
    </row>
    <row r="60" spans="1:5" s="231" customFormat="1" x14ac:dyDescent="0.2">
      <c r="A60" s="79" t="s">
        <v>297</v>
      </c>
      <c r="B60" s="36" t="s">
        <v>52</v>
      </c>
      <c r="C60" s="229">
        <f>1750+7000+2389+597.25</f>
        <v>11736.25</v>
      </c>
      <c r="D60" s="229">
        <f>7000+1750+1054+263.5</f>
        <v>10067.5</v>
      </c>
      <c r="E60" s="230"/>
    </row>
    <row r="61" spans="1:5" s="231" customFormat="1" ht="30" x14ac:dyDescent="0.2">
      <c r="A61" s="79" t="s">
        <v>298</v>
      </c>
      <c r="B61" s="36" t="s">
        <v>54</v>
      </c>
      <c r="C61" s="229"/>
      <c r="D61" s="229"/>
      <c r="E61" s="230"/>
    </row>
    <row r="62" spans="1:5" s="231" customFormat="1" x14ac:dyDescent="0.2">
      <c r="A62" s="79" t="s">
        <v>299</v>
      </c>
      <c r="B62" s="36" t="s">
        <v>53</v>
      </c>
      <c r="C62" s="33"/>
      <c r="D62" s="33"/>
      <c r="E62" s="230"/>
    </row>
    <row r="63" spans="1:5" s="231" customFormat="1" x14ac:dyDescent="0.2">
      <c r="A63" s="79" t="s">
        <v>300</v>
      </c>
      <c r="B63" s="36" t="s">
        <v>27</v>
      </c>
      <c r="C63" s="229"/>
      <c r="D63" s="229"/>
      <c r="E63" s="230"/>
    </row>
    <row r="64" spans="1:5" s="231" customFormat="1" x14ac:dyDescent="0.2">
      <c r="A64" s="79" t="s">
        <v>337</v>
      </c>
      <c r="B64" s="36" t="s">
        <v>338</v>
      </c>
      <c r="C64" s="229"/>
      <c r="D64" s="229"/>
      <c r="E64" s="230"/>
    </row>
    <row r="65" spans="1:5" x14ac:dyDescent="0.3">
      <c r="A65" s="226">
        <v>2</v>
      </c>
      <c r="B65" s="226" t="s">
        <v>411</v>
      </c>
      <c r="C65" s="233"/>
      <c r="D65" s="233">
        <f>SUM(D66:D72)</f>
        <v>0</v>
      </c>
      <c r="E65" s="87"/>
    </row>
    <row r="66" spans="1:5" x14ac:dyDescent="0.3">
      <c r="A66" s="89">
        <v>2.1</v>
      </c>
      <c r="B66" s="234" t="s">
        <v>100</v>
      </c>
      <c r="C66" s="235"/>
      <c r="D66" s="235"/>
      <c r="E66" s="87"/>
    </row>
    <row r="67" spans="1:5" x14ac:dyDescent="0.3">
      <c r="A67" s="89">
        <v>2.2000000000000002</v>
      </c>
      <c r="B67" s="234" t="s">
        <v>412</v>
      </c>
      <c r="C67" s="235"/>
      <c r="D67" s="235"/>
      <c r="E67" s="87"/>
    </row>
    <row r="68" spans="1:5" x14ac:dyDescent="0.3">
      <c r="A68" s="89">
        <v>2.2999999999999998</v>
      </c>
      <c r="B68" s="234" t="s">
        <v>104</v>
      </c>
      <c r="C68" s="235"/>
      <c r="D68" s="235"/>
      <c r="E68" s="87"/>
    </row>
    <row r="69" spans="1:5" x14ac:dyDescent="0.3">
      <c r="A69" s="89">
        <v>2.4</v>
      </c>
      <c r="B69" s="234" t="s">
        <v>103</v>
      </c>
      <c r="C69" s="235"/>
      <c r="D69" s="235"/>
      <c r="E69" s="87"/>
    </row>
    <row r="70" spans="1:5" x14ac:dyDescent="0.3">
      <c r="A70" s="89">
        <v>2.5</v>
      </c>
      <c r="B70" s="234" t="s">
        <v>413</v>
      </c>
      <c r="C70" s="235"/>
      <c r="D70" s="576"/>
      <c r="E70" s="87"/>
    </row>
    <row r="71" spans="1:5" x14ac:dyDescent="0.3">
      <c r="A71" s="89">
        <v>2.6</v>
      </c>
      <c r="B71" s="234" t="s">
        <v>101</v>
      </c>
      <c r="C71" s="235"/>
      <c r="D71" s="576"/>
      <c r="E71" s="87"/>
    </row>
    <row r="72" spans="1:5" x14ac:dyDescent="0.3">
      <c r="A72" s="89">
        <v>2.7</v>
      </c>
      <c r="B72" s="234" t="s">
        <v>102</v>
      </c>
      <c r="C72" s="623"/>
      <c r="D72" s="623"/>
      <c r="E72" s="87"/>
    </row>
    <row r="73" spans="1:5" x14ac:dyDescent="0.3">
      <c r="A73" s="226">
        <v>3</v>
      </c>
      <c r="B73" s="226" t="s">
        <v>451</v>
      </c>
      <c r="C73" s="76"/>
      <c r="D73" s="76">
        <f>342.5-293.5</f>
        <v>49</v>
      </c>
      <c r="E73" s="87"/>
    </row>
    <row r="74" spans="1:5" x14ac:dyDescent="0.3">
      <c r="A74" s="226">
        <v>4</v>
      </c>
      <c r="B74" s="226" t="s">
        <v>252</v>
      </c>
      <c r="C74" s="76"/>
      <c r="D74" s="76">
        <f>SUM(D75:D76)</f>
        <v>0</v>
      </c>
      <c r="E74" s="87"/>
    </row>
    <row r="75" spans="1:5" x14ac:dyDescent="0.3">
      <c r="A75" s="89">
        <v>4.0999999999999996</v>
      </c>
      <c r="B75" s="89" t="s">
        <v>253</v>
      </c>
      <c r="C75" s="235"/>
      <c r="D75" s="235"/>
      <c r="E75" s="87"/>
    </row>
    <row r="76" spans="1:5" x14ac:dyDescent="0.3">
      <c r="A76" s="89">
        <v>4.2</v>
      </c>
      <c r="B76" s="89" t="s">
        <v>254</v>
      </c>
      <c r="C76" s="236"/>
      <c r="D76" s="236"/>
      <c r="E76" s="87"/>
    </row>
    <row r="77" spans="1:5" x14ac:dyDescent="0.3">
      <c r="A77" s="226">
        <v>5</v>
      </c>
      <c r="B77" s="226" t="s">
        <v>279</v>
      </c>
      <c r="C77" s="262">
        <v>944.12</v>
      </c>
      <c r="D77" s="262"/>
      <c r="E77" s="87"/>
    </row>
    <row r="78" spans="1:5" x14ac:dyDescent="0.3">
      <c r="B78" s="34"/>
    </row>
    <row r="79" spans="1:5" x14ac:dyDescent="0.3">
      <c r="A79" s="640" t="s">
        <v>501</v>
      </c>
      <c r="B79" s="640"/>
      <c r="C79" s="640"/>
      <c r="D79" s="640"/>
      <c r="E79" s="5"/>
    </row>
    <row r="80" spans="1:5" x14ac:dyDescent="0.3">
      <c r="B80" s="34"/>
    </row>
    <row r="81" spans="1:5" s="22" customFormat="1" ht="12.75" x14ac:dyDescent="0.2"/>
    <row r="82" spans="1:5" x14ac:dyDescent="0.3">
      <c r="A82" s="60" t="s">
        <v>107</v>
      </c>
      <c r="E82" s="5"/>
    </row>
    <row r="83" spans="1:5" x14ac:dyDescent="0.3">
      <c r="E83"/>
    </row>
    <row r="84" spans="1:5" x14ac:dyDescent="0.3">
      <c r="D84" s="12"/>
      <c r="E84"/>
    </row>
    <row r="85" spans="1:5" x14ac:dyDescent="0.3">
      <c r="A85"/>
      <c r="B85" s="60" t="s">
        <v>448</v>
      </c>
      <c r="D85" s="12"/>
      <c r="E85"/>
    </row>
    <row r="86" spans="1:5" x14ac:dyDescent="0.3">
      <c r="A86"/>
      <c r="B86" s="2" t="s">
        <v>449</v>
      </c>
      <c r="D86" s="12"/>
      <c r="E86"/>
    </row>
    <row r="87" spans="1:5" customFormat="1" ht="12.75" x14ac:dyDescent="0.2">
      <c r="B87" s="56" t="s">
        <v>139</v>
      </c>
    </row>
    <row r="88" spans="1:5" s="22" customFormat="1" ht="12.75" x14ac:dyDescent="0.2"/>
  </sheetData>
  <mergeCells count="3">
    <mergeCell ref="C1:D1"/>
    <mergeCell ref="A79:D79"/>
    <mergeCell ref="C2:E2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3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topLeftCell="A16" zoomScale="80" zoomScaleNormal="100" zoomScaleSheetLayoutView="80" workbookViewId="0">
      <selection activeCell="K37" sqref="K37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327</v>
      </c>
      <c r="B1" s="68"/>
      <c r="C1" s="638" t="s">
        <v>109</v>
      </c>
      <c r="D1" s="638"/>
      <c r="E1" s="82"/>
    </row>
    <row r="2" spans="1:5" s="6" customFormat="1" x14ac:dyDescent="0.3">
      <c r="A2" s="65" t="s">
        <v>328</v>
      </c>
      <c r="B2" s="68"/>
      <c r="C2" s="628" t="s">
        <v>645</v>
      </c>
      <c r="D2" s="639"/>
      <c r="E2" s="639"/>
    </row>
    <row r="3" spans="1:5" s="6" customFormat="1" x14ac:dyDescent="0.3">
      <c r="A3" s="67" t="s">
        <v>140</v>
      </c>
      <c r="B3" s="65"/>
      <c r="C3" s="150"/>
      <c r="D3" s="150"/>
      <c r="E3" s="82"/>
    </row>
    <row r="4" spans="1:5" s="6" customFormat="1" x14ac:dyDescent="0.3">
      <c r="A4" s="67"/>
      <c r="B4" s="67"/>
      <c r="C4" s="150"/>
      <c r="D4" s="150"/>
      <c r="E4" s="82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71" t="str">
        <f>'ფორმა N1'!D4</f>
        <v>მოქალაქეთა  პოლიტიკური გაერთიანება "ეროვნული ფორუმი"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9"/>
      <c r="B8" s="149"/>
      <c r="C8" s="69"/>
      <c r="D8" s="69"/>
      <c r="E8" s="82"/>
    </row>
    <row r="9" spans="1:5" s="6" customFormat="1" ht="30" x14ac:dyDescent="0.3">
      <c r="A9" s="80" t="s">
        <v>64</v>
      </c>
      <c r="B9" s="80" t="s">
        <v>333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329</v>
      </c>
      <c r="B10" s="89"/>
      <c r="C10" s="4"/>
      <c r="D10" s="4"/>
      <c r="E10" s="84"/>
    </row>
    <row r="11" spans="1:5" s="10" customFormat="1" x14ac:dyDescent="0.2">
      <c r="A11" s="89" t="s">
        <v>330</v>
      </c>
      <c r="B11" s="89"/>
      <c r="C11" s="4"/>
      <c r="D11" s="4"/>
      <c r="E11" s="85"/>
    </row>
    <row r="12" spans="1:5" s="10" customFormat="1" x14ac:dyDescent="0.2">
      <c r="A12" s="78" t="s">
        <v>278</v>
      </c>
      <c r="B12" s="78"/>
      <c r="C12" s="4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5" s="10" customFormat="1" ht="29.25" customHeight="1" x14ac:dyDescent="0.2">
      <c r="A17" s="89" t="s">
        <v>331</v>
      </c>
      <c r="B17" s="78" t="s">
        <v>1268</v>
      </c>
      <c r="C17" s="557">
        <v>380</v>
      </c>
      <c r="D17" s="557">
        <v>380</v>
      </c>
      <c r="E17" s="85"/>
    </row>
    <row r="18" spans="1:5" s="10" customFormat="1" ht="29.25" customHeight="1" x14ac:dyDescent="0.2">
      <c r="A18" s="89" t="s">
        <v>332</v>
      </c>
      <c r="B18" s="532" t="s">
        <v>1260</v>
      </c>
      <c r="C18" s="4">
        <f>4225+8750</f>
        <v>12975</v>
      </c>
      <c r="D18" s="4">
        <f>4225+8750</f>
        <v>12975</v>
      </c>
      <c r="E18" s="85"/>
    </row>
    <row r="19" spans="1:5" s="10" customFormat="1" ht="30" x14ac:dyDescent="0.2">
      <c r="A19" s="89" t="s">
        <v>1261</v>
      </c>
      <c r="B19" s="78" t="s">
        <v>1313</v>
      </c>
      <c r="C19" s="4">
        <v>50</v>
      </c>
      <c r="D19" s="4">
        <v>50</v>
      </c>
      <c r="E19" s="85"/>
    </row>
    <row r="20" spans="1:5" s="10" customFormat="1" x14ac:dyDescent="0.2">
      <c r="A20" s="78" t="s">
        <v>278</v>
      </c>
      <c r="B20" s="78"/>
      <c r="C20" s="4"/>
      <c r="D20" s="4"/>
      <c r="E20" s="85"/>
    </row>
    <row r="21" spans="1:5" s="10" customFormat="1" x14ac:dyDescent="0.2">
      <c r="A21" s="78" t="s">
        <v>278</v>
      </c>
      <c r="B21" s="78"/>
      <c r="C21" s="4"/>
      <c r="D21" s="4"/>
      <c r="E21" s="85"/>
    </row>
    <row r="22" spans="1:5" s="10" customFormat="1" x14ac:dyDescent="0.2">
      <c r="A22" s="78" t="s">
        <v>278</v>
      </c>
      <c r="B22" s="78"/>
      <c r="C22" s="4"/>
      <c r="D22" s="4"/>
      <c r="E22" s="85"/>
    </row>
    <row r="23" spans="1:5" s="10" customFormat="1" x14ac:dyDescent="0.2">
      <c r="A23" s="78" t="s">
        <v>278</v>
      </c>
      <c r="B23" s="78"/>
      <c r="C23" s="4"/>
      <c r="D23" s="4"/>
      <c r="E23" s="85"/>
    </row>
    <row r="24" spans="1:5" x14ac:dyDescent="0.3">
      <c r="A24" s="90"/>
      <c r="B24" s="90" t="s">
        <v>336</v>
      </c>
      <c r="C24" s="77">
        <f>SUM(C10:C23)</f>
        <v>13405</v>
      </c>
      <c r="D24" s="77">
        <f>SUM(D10:D23)</f>
        <v>13405</v>
      </c>
      <c r="E24" s="87"/>
    </row>
    <row r="25" spans="1:5" x14ac:dyDescent="0.3">
      <c r="A25" s="34"/>
      <c r="B25" s="34"/>
    </row>
    <row r="26" spans="1:5" x14ac:dyDescent="0.3">
      <c r="A26" s="245" t="s">
        <v>441</v>
      </c>
      <c r="E26" s="5"/>
    </row>
    <row r="27" spans="1:5" x14ac:dyDescent="0.3">
      <c r="A27" s="2" t="s">
        <v>442</v>
      </c>
    </row>
    <row r="28" spans="1:5" x14ac:dyDescent="0.3">
      <c r="A28" s="201" t="s">
        <v>443</v>
      </c>
    </row>
    <row r="29" spans="1:5" x14ac:dyDescent="0.3">
      <c r="A29" s="201"/>
    </row>
    <row r="30" spans="1:5" x14ac:dyDescent="0.3">
      <c r="A30" s="201" t="s">
        <v>351</v>
      </c>
    </row>
    <row r="31" spans="1:5" s="22" customFormat="1" ht="12.75" x14ac:dyDescent="0.2"/>
    <row r="32" spans="1:5" x14ac:dyDescent="0.3">
      <c r="A32" s="6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0"/>
      <c r="B35" s="6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56"/>
      <c r="B37" s="56" t="s">
        <v>139</v>
      </c>
    </row>
    <row r="38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view="pageBreakPreview" zoomScale="80" zoomScaleNormal="100" zoomScaleSheetLayoutView="80" workbookViewId="0">
      <selection activeCell="F53" sqref="F53"/>
    </sheetView>
  </sheetViews>
  <sheetFormatPr defaultRowHeight="12.75" x14ac:dyDescent="0.2"/>
  <cols>
    <col min="1" max="1" width="5.42578125" style="171" customWidth="1"/>
    <col min="2" max="2" width="20.85546875" style="171" customWidth="1"/>
    <col min="3" max="3" width="26" style="171" customWidth="1"/>
    <col min="4" max="4" width="17" style="171" customWidth="1"/>
    <col min="5" max="5" width="18.140625" style="171" customWidth="1"/>
    <col min="6" max="6" width="14.7109375" style="171" customWidth="1"/>
    <col min="7" max="7" width="15.5703125" style="171" customWidth="1"/>
    <col min="8" max="8" width="14.7109375" style="171" customWidth="1"/>
    <col min="9" max="9" width="29.7109375" style="171" customWidth="1"/>
    <col min="10" max="10" width="0" style="171" hidden="1" customWidth="1"/>
    <col min="11" max="16384" width="9.140625" style="171"/>
  </cols>
  <sheetData>
    <row r="1" spans="1:10" ht="15" x14ac:dyDescent="0.3">
      <c r="A1" s="65" t="s">
        <v>414</v>
      </c>
      <c r="B1" s="65"/>
      <c r="C1" s="68"/>
      <c r="D1" s="68"/>
      <c r="E1" s="68"/>
      <c r="F1" s="68"/>
      <c r="G1" s="213"/>
      <c r="H1" s="213"/>
      <c r="I1" s="638" t="s">
        <v>109</v>
      </c>
      <c r="J1" s="638"/>
    </row>
    <row r="2" spans="1:10" ht="15" x14ac:dyDescent="0.3">
      <c r="A2" s="67" t="s">
        <v>140</v>
      </c>
      <c r="B2" s="65"/>
      <c r="C2" s="68"/>
      <c r="D2" s="68"/>
      <c r="E2" s="68"/>
      <c r="F2" s="68"/>
      <c r="G2" s="213"/>
      <c r="H2" s="213"/>
      <c r="I2" s="628" t="s">
        <v>645</v>
      </c>
      <c r="J2" s="639"/>
    </row>
    <row r="3" spans="1:10" ht="15" x14ac:dyDescent="0.3">
      <c r="A3" s="67"/>
      <c r="B3" s="67"/>
      <c r="C3" s="65"/>
      <c r="D3" s="65"/>
      <c r="E3" s="65"/>
      <c r="F3" s="65"/>
      <c r="G3" s="152"/>
      <c r="H3" s="152"/>
      <c r="I3" s="213"/>
    </row>
    <row r="4" spans="1:10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  <c r="I4" s="67"/>
    </row>
    <row r="5" spans="1:10" ht="15" x14ac:dyDescent="0.3">
      <c r="A5" s="71" t="str">
        <f>'ფორმა N1'!D4</f>
        <v>მოქალაქეთა  პოლიტიკური გაერთიანება "ეროვნული ფორუმი"</v>
      </c>
      <c r="B5" s="71"/>
      <c r="C5" s="71"/>
      <c r="D5" s="71"/>
      <c r="E5" s="71"/>
      <c r="F5" s="71"/>
      <c r="G5" s="72"/>
      <c r="H5" s="72"/>
      <c r="I5" s="72"/>
    </row>
    <row r="6" spans="1:10" ht="15" x14ac:dyDescent="0.2">
      <c r="A6" s="151"/>
      <c r="B6" s="151"/>
      <c r="C6" s="151"/>
      <c r="D6" s="207"/>
      <c r="E6" s="151"/>
      <c r="F6" s="151"/>
      <c r="G6" s="69"/>
      <c r="H6" s="69"/>
      <c r="I6" s="69"/>
    </row>
    <row r="7" spans="1:10" ht="45" x14ac:dyDescent="0.2">
      <c r="A7" s="81" t="s">
        <v>64</v>
      </c>
      <c r="B7" s="81" t="s">
        <v>340</v>
      </c>
      <c r="C7" s="81" t="s">
        <v>341</v>
      </c>
      <c r="D7" s="81" t="s">
        <v>227</v>
      </c>
      <c r="E7" s="81" t="s">
        <v>345</v>
      </c>
      <c r="F7" s="81" t="s">
        <v>349</v>
      </c>
      <c r="G7" s="70" t="s">
        <v>10</v>
      </c>
      <c r="H7" s="70" t="s">
        <v>9</v>
      </c>
      <c r="I7" s="70" t="s">
        <v>396</v>
      </c>
      <c r="J7" s="216" t="s">
        <v>348</v>
      </c>
    </row>
    <row r="8" spans="1:10" ht="15" x14ac:dyDescent="0.2">
      <c r="A8" s="89">
        <v>1</v>
      </c>
      <c r="B8" s="494" t="s">
        <v>1187</v>
      </c>
      <c r="C8" s="494" t="s">
        <v>663</v>
      </c>
      <c r="D8" s="398" t="s">
        <v>564</v>
      </c>
      <c r="E8" s="527" t="s">
        <v>1238</v>
      </c>
      <c r="F8" s="494" t="s">
        <v>348</v>
      </c>
      <c r="G8" s="528">
        <f>3000+11000</f>
        <v>14000</v>
      </c>
      <c r="H8" s="528">
        <f>13200+1500</f>
        <v>14700</v>
      </c>
      <c r="I8" s="419">
        <f>H8*20%</f>
        <v>2940</v>
      </c>
      <c r="J8" s="216" t="s">
        <v>0</v>
      </c>
    </row>
    <row r="9" spans="1:10" ht="15" x14ac:dyDescent="0.2">
      <c r="A9" s="89">
        <v>2</v>
      </c>
      <c r="B9" s="494" t="s">
        <v>1189</v>
      </c>
      <c r="C9" s="494" t="s">
        <v>1190</v>
      </c>
      <c r="D9" s="398" t="s">
        <v>1191</v>
      </c>
      <c r="E9" s="527" t="s">
        <v>1238</v>
      </c>
      <c r="F9" s="494" t="s">
        <v>348</v>
      </c>
      <c r="G9" s="528">
        <f>8000+2800</f>
        <v>10800</v>
      </c>
      <c r="H9" s="528">
        <f>9600+1400</f>
        <v>11000</v>
      </c>
      <c r="I9" s="419">
        <f t="shared" ref="I9:I32" si="0">H9*20%</f>
        <v>2200</v>
      </c>
    </row>
    <row r="10" spans="1:10" ht="15" x14ac:dyDescent="0.2">
      <c r="A10" s="89">
        <v>3</v>
      </c>
      <c r="B10" s="494" t="s">
        <v>715</v>
      </c>
      <c r="C10" s="494" t="s">
        <v>1239</v>
      </c>
      <c r="D10" s="398" t="s">
        <v>1240</v>
      </c>
      <c r="E10" s="527" t="s">
        <v>1238</v>
      </c>
      <c r="F10" s="494" t="s">
        <v>348</v>
      </c>
      <c r="G10" s="528">
        <f>8000+2800</f>
        <v>10800</v>
      </c>
      <c r="H10" s="528">
        <f>8000+1400</f>
        <v>9400</v>
      </c>
      <c r="I10" s="419">
        <f t="shared" si="0"/>
        <v>1880</v>
      </c>
    </row>
    <row r="11" spans="1:10" ht="15" x14ac:dyDescent="0.2">
      <c r="A11" s="89">
        <v>4</v>
      </c>
      <c r="B11" s="494" t="s">
        <v>892</v>
      </c>
      <c r="C11" s="494" t="s">
        <v>1162</v>
      </c>
      <c r="D11" s="494">
        <v>65002007395</v>
      </c>
      <c r="E11" s="527" t="s">
        <v>1238</v>
      </c>
      <c r="F11" s="494" t="s">
        <v>348</v>
      </c>
      <c r="G11" s="528">
        <f>8000+2800</f>
        <v>10800</v>
      </c>
      <c r="H11" s="528">
        <f>8000+1400</f>
        <v>9400</v>
      </c>
      <c r="I11" s="419">
        <f t="shared" si="0"/>
        <v>1880</v>
      </c>
    </row>
    <row r="12" spans="1:10" ht="15" x14ac:dyDescent="0.2">
      <c r="A12" s="89">
        <v>5</v>
      </c>
      <c r="B12" s="494" t="s">
        <v>1241</v>
      </c>
      <c r="C12" s="494" t="s">
        <v>1242</v>
      </c>
      <c r="D12" s="504">
        <v>61001005366</v>
      </c>
      <c r="E12" s="527" t="s">
        <v>1238</v>
      </c>
      <c r="F12" s="494" t="s">
        <v>348</v>
      </c>
      <c r="G12" s="528">
        <f>8000+1400</f>
        <v>9400</v>
      </c>
      <c r="H12" s="528">
        <v>9600</v>
      </c>
      <c r="I12" s="419">
        <f t="shared" si="0"/>
        <v>1920</v>
      </c>
    </row>
    <row r="13" spans="1:10" ht="15" x14ac:dyDescent="0.2">
      <c r="A13" s="89">
        <v>6</v>
      </c>
      <c r="B13" s="494" t="s">
        <v>1158</v>
      </c>
      <c r="C13" s="494" t="s">
        <v>668</v>
      </c>
      <c r="D13" s="398" t="s">
        <v>560</v>
      </c>
      <c r="E13" s="527" t="s">
        <v>1238</v>
      </c>
      <c r="F13" s="494" t="s">
        <v>348</v>
      </c>
      <c r="G13" s="528">
        <f>8000+2400</f>
        <v>10400</v>
      </c>
      <c r="H13" s="528">
        <f>8000+1200</f>
        <v>9200</v>
      </c>
      <c r="I13" s="419">
        <f t="shared" si="0"/>
        <v>1840</v>
      </c>
    </row>
    <row r="14" spans="1:10" ht="15" x14ac:dyDescent="0.2">
      <c r="A14" s="89">
        <v>7</v>
      </c>
      <c r="B14" s="494" t="s">
        <v>1243</v>
      </c>
      <c r="C14" s="494" t="s">
        <v>1244</v>
      </c>
      <c r="D14" s="398" t="s">
        <v>1245</v>
      </c>
      <c r="E14" s="527" t="s">
        <v>1238</v>
      </c>
      <c r="F14" s="494" t="s">
        <v>348</v>
      </c>
      <c r="G14" s="528">
        <f>7000+2000</f>
        <v>9000</v>
      </c>
      <c r="H14" s="528">
        <f>8400+1000</f>
        <v>9400</v>
      </c>
      <c r="I14" s="419">
        <f t="shared" si="0"/>
        <v>1880</v>
      </c>
    </row>
    <row r="15" spans="1:10" ht="15" x14ac:dyDescent="0.2">
      <c r="A15" s="89">
        <v>8</v>
      </c>
      <c r="B15" s="494" t="s">
        <v>739</v>
      </c>
      <c r="C15" s="494" t="s">
        <v>1193</v>
      </c>
      <c r="D15" s="398" t="s">
        <v>550</v>
      </c>
      <c r="E15" s="527" t="s">
        <v>1238</v>
      </c>
      <c r="F15" s="494" t="s">
        <v>348</v>
      </c>
      <c r="G15" s="528">
        <f>6500+2000</f>
        <v>8500</v>
      </c>
      <c r="H15" s="528">
        <f>7800+1000</f>
        <v>8800</v>
      </c>
      <c r="I15" s="419">
        <f t="shared" si="0"/>
        <v>1760</v>
      </c>
    </row>
    <row r="16" spans="1:10" ht="15" x14ac:dyDescent="0.2">
      <c r="A16" s="89">
        <v>9</v>
      </c>
      <c r="B16" s="494" t="s">
        <v>1185</v>
      </c>
      <c r="C16" s="494" t="s">
        <v>1186</v>
      </c>
      <c r="D16" s="398" t="s">
        <v>548</v>
      </c>
      <c r="E16" s="527" t="s">
        <v>1238</v>
      </c>
      <c r="F16" s="494" t="s">
        <v>348</v>
      </c>
      <c r="G16" s="528">
        <f>6000+1800</f>
        <v>7800</v>
      </c>
      <c r="H16" s="528">
        <f>6000+900</f>
        <v>6900</v>
      </c>
      <c r="I16" s="419">
        <f t="shared" si="0"/>
        <v>1380</v>
      </c>
    </row>
    <row r="17" spans="1:10" ht="15" x14ac:dyDescent="0.2">
      <c r="A17" s="89">
        <v>10</v>
      </c>
      <c r="B17" s="494" t="s">
        <v>1177</v>
      </c>
      <c r="C17" s="494" t="s">
        <v>1178</v>
      </c>
      <c r="D17" s="398" t="s">
        <v>1165</v>
      </c>
      <c r="E17" s="527" t="s">
        <v>1238</v>
      </c>
      <c r="F17" s="494" t="s">
        <v>348</v>
      </c>
      <c r="G17" s="528">
        <f>4500+1400</f>
        <v>5900</v>
      </c>
      <c r="H17" s="528">
        <f>5400+1400</f>
        <v>6800</v>
      </c>
      <c r="I17" s="419">
        <f t="shared" si="0"/>
        <v>1360</v>
      </c>
    </row>
    <row r="18" spans="1:10" ht="15" x14ac:dyDescent="0.2">
      <c r="A18" s="89">
        <v>11</v>
      </c>
      <c r="B18" s="494" t="s">
        <v>676</v>
      </c>
      <c r="C18" s="494" t="s">
        <v>677</v>
      </c>
      <c r="D18" s="398" t="s">
        <v>572</v>
      </c>
      <c r="E18" s="527" t="s">
        <v>1238</v>
      </c>
      <c r="F18" s="494" t="s">
        <v>348</v>
      </c>
      <c r="G18" s="528">
        <f>4500+1400</f>
        <v>5900</v>
      </c>
      <c r="H18" s="528">
        <f>4500+700</f>
        <v>5200</v>
      </c>
      <c r="I18" s="419">
        <f t="shared" si="0"/>
        <v>1040</v>
      </c>
    </row>
    <row r="19" spans="1:10" ht="15" x14ac:dyDescent="0.2">
      <c r="A19" s="89">
        <v>12</v>
      </c>
      <c r="B19" s="494" t="s">
        <v>892</v>
      </c>
      <c r="C19" s="494" t="s">
        <v>1159</v>
      </c>
      <c r="D19" s="398" t="s">
        <v>570</v>
      </c>
      <c r="E19" s="527" t="s">
        <v>1238</v>
      </c>
      <c r="F19" s="494" t="s">
        <v>348</v>
      </c>
      <c r="G19" s="528">
        <f>5500+1400</f>
        <v>6900</v>
      </c>
      <c r="H19" s="528">
        <f>5500+700</f>
        <v>6200</v>
      </c>
      <c r="I19" s="419">
        <f>H19*20%-600</f>
        <v>640</v>
      </c>
    </row>
    <row r="20" spans="1:10" ht="15" x14ac:dyDescent="0.2">
      <c r="A20" s="89">
        <v>13</v>
      </c>
      <c r="B20" s="494" t="s">
        <v>672</v>
      </c>
      <c r="C20" s="494" t="s">
        <v>673</v>
      </c>
      <c r="D20" s="398" t="s">
        <v>1160</v>
      </c>
      <c r="E20" s="527" t="s">
        <v>1238</v>
      </c>
      <c r="F20" s="494" t="s">
        <v>348</v>
      </c>
      <c r="G20" s="528">
        <f>5500+1400</f>
        <v>6900</v>
      </c>
      <c r="H20" s="528">
        <f>5500+700</f>
        <v>6200</v>
      </c>
      <c r="I20" s="419">
        <f t="shared" si="0"/>
        <v>1240</v>
      </c>
    </row>
    <row r="21" spans="1:10" ht="15" x14ac:dyDescent="0.2">
      <c r="A21" s="89">
        <v>14</v>
      </c>
      <c r="B21" s="494" t="s">
        <v>1246</v>
      </c>
      <c r="C21" s="494" t="s">
        <v>1247</v>
      </c>
      <c r="D21" s="398" t="s">
        <v>1248</v>
      </c>
      <c r="E21" s="527" t="s">
        <v>1238</v>
      </c>
      <c r="F21" s="494" t="s">
        <v>348</v>
      </c>
      <c r="G21" s="528">
        <f>1250+500</f>
        <v>1750</v>
      </c>
      <c r="H21" s="528">
        <f>1250+250</f>
        <v>1500</v>
      </c>
      <c r="I21" s="419">
        <f t="shared" si="0"/>
        <v>300</v>
      </c>
    </row>
    <row r="22" spans="1:10" ht="15" x14ac:dyDescent="0.2">
      <c r="A22" s="89">
        <v>15</v>
      </c>
      <c r="B22" s="494" t="s">
        <v>1249</v>
      </c>
      <c r="C22" s="494" t="s">
        <v>1250</v>
      </c>
      <c r="D22" s="398" t="s">
        <v>1251</v>
      </c>
      <c r="E22" s="527" t="s">
        <v>1238</v>
      </c>
      <c r="F22" s="494" t="s">
        <v>348</v>
      </c>
      <c r="G22" s="528">
        <f>2750+1000</f>
        <v>3750</v>
      </c>
      <c r="H22" s="528">
        <f>2750+500</f>
        <v>3250</v>
      </c>
      <c r="I22" s="419">
        <f t="shared" si="0"/>
        <v>650</v>
      </c>
    </row>
    <row r="23" spans="1:10" ht="15" x14ac:dyDescent="0.2">
      <c r="A23" s="89">
        <v>16</v>
      </c>
      <c r="B23" s="494" t="s">
        <v>680</v>
      </c>
      <c r="C23" s="494" t="s">
        <v>681</v>
      </c>
      <c r="D23" s="412" t="s">
        <v>525</v>
      </c>
      <c r="E23" s="527" t="s">
        <v>1238</v>
      </c>
      <c r="F23" s="494" t="s">
        <v>348</v>
      </c>
      <c r="G23" s="528">
        <f>10000+2800</f>
        <v>12800</v>
      </c>
      <c r="H23" s="528">
        <f>10000+1400</f>
        <v>11400</v>
      </c>
      <c r="I23" s="419">
        <f t="shared" si="0"/>
        <v>2280</v>
      </c>
      <c r="J23" s="216" t="s">
        <v>0</v>
      </c>
    </row>
    <row r="24" spans="1:10" ht="15" x14ac:dyDescent="0.2">
      <c r="A24" s="89">
        <v>17</v>
      </c>
      <c r="B24" s="494" t="s">
        <v>1182</v>
      </c>
      <c r="C24" s="494" t="s">
        <v>1183</v>
      </c>
      <c r="D24" s="412" t="s">
        <v>1184</v>
      </c>
      <c r="E24" s="527" t="s">
        <v>1238</v>
      </c>
      <c r="F24" s="494" t="s">
        <v>348</v>
      </c>
      <c r="G24" s="528">
        <v>4500</v>
      </c>
      <c r="H24" s="528">
        <v>4500</v>
      </c>
      <c r="I24" s="419">
        <f t="shared" si="0"/>
        <v>900</v>
      </c>
    </row>
    <row r="25" spans="1:10" ht="15" x14ac:dyDescent="0.2">
      <c r="A25" s="89">
        <v>18</v>
      </c>
      <c r="B25" s="494" t="s">
        <v>1167</v>
      </c>
      <c r="C25" s="494" t="s">
        <v>1168</v>
      </c>
      <c r="D25" s="412" t="s">
        <v>1169</v>
      </c>
      <c r="E25" s="527" t="s">
        <v>1238</v>
      </c>
      <c r="F25" s="494" t="s">
        <v>348</v>
      </c>
      <c r="G25" s="528">
        <v>4500</v>
      </c>
      <c r="H25" s="528">
        <v>4500</v>
      </c>
      <c r="I25" s="419">
        <f t="shared" si="0"/>
        <v>900</v>
      </c>
    </row>
    <row r="26" spans="1:10" ht="15" x14ac:dyDescent="0.2">
      <c r="A26" s="89">
        <v>19</v>
      </c>
      <c r="B26" s="494" t="s">
        <v>892</v>
      </c>
      <c r="C26" s="494" t="s">
        <v>1166</v>
      </c>
      <c r="D26" s="412" t="s">
        <v>562</v>
      </c>
      <c r="E26" s="527" t="s">
        <v>1238</v>
      </c>
      <c r="F26" s="494" t="s">
        <v>348</v>
      </c>
      <c r="G26" s="528">
        <v>4500</v>
      </c>
      <c r="H26" s="528">
        <v>4500</v>
      </c>
      <c r="I26" s="419">
        <f t="shared" si="0"/>
        <v>900</v>
      </c>
    </row>
    <row r="27" spans="1:10" ht="15" x14ac:dyDescent="0.2">
      <c r="A27" s="89">
        <v>20</v>
      </c>
      <c r="B27" s="494" t="s">
        <v>1179</v>
      </c>
      <c r="C27" s="494" t="s">
        <v>1180</v>
      </c>
      <c r="D27" s="412" t="s">
        <v>1181</v>
      </c>
      <c r="E27" s="527" t="s">
        <v>1238</v>
      </c>
      <c r="F27" s="494" t="s">
        <v>348</v>
      </c>
      <c r="G27" s="528">
        <v>4500</v>
      </c>
      <c r="H27" s="528">
        <v>4500</v>
      </c>
      <c r="I27" s="419">
        <f t="shared" si="0"/>
        <v>900</v>
      </c>
    </row>
    <row r="28" spans="1:10" ht="15" x14ac:dyDescent="0.2">
      <c r="A28" s="89">
        <v>21</v>
      </c>
      <c r="B28" s="494" t="s">
        <v>680</v>
      </c>
      <c r="C28" s="494" t="s">
        <v>1199</v>
      </c>
      <c r="D28" s="412" t="s">
        <v>1200</v>
      </c>
      <c r="E28" s="527" t="s">
        <v>1238</v>
      </c>
      <c r="F28" s="494" t="s">
        <v>348</v>
      </c>
      <c r="G28" s="528">
        <v>4500</v>
      </c>
      <c r="H28" s="528">
        <v>4500</v>
      </c>
      <c r="I28" s="419">
        <f t="shared" si="0"/>
        <v>900</v>
      </c>
    </row>
    <row r="29" spans="1:10" ht="15" x14ac:dyDescent="0.2">
      <c r="A29" s="89">
        <v>22</v>
      </c>
      <c r="B29" s="530" t="s">
        <v>1170</v>
      </c>
      <c r="C29" s="530" t="s">
        <v>1171</v>
      </c>
      <c r="D29" s="531" t="s">
        <v>546</v>
      </c>
      <c r="E29" s="527" t="s">
        <v>1238</v>
      </c>
      <c r="F29" s="494" t="s">
        <v>348</v>
      </c>
      <c r="G29" s="528">
        <v>3600</v>
      </c>
      <c r="H29" s="528">
        <v>3600</v>
      </c>
      <c r="I29" s="419">
        <f t="shared" si="0"/>
        <v>720</v>
      </c>
    </row>
    <row r="30" spans="1:10" ht="15" x14ac:dyDescent="0.2">
      <c r="A30" s="89">
        <v>23</v>
      </c>
      <c r="B30" s="494" t="s">
        <v>747</v>
      </c>
      <c r="C30" s="494" t="s">
        <v>1252</v>
      </c>
      <c r="D30" s="412" t="s">
        <v>1253</v>
      </c>
      <c r="E30" s="527" t="s">
        <v>1238</v>
      </c>
      <c r="F30" s="494" t="s">
        <v>348</v>
      </c>
      <c r="G30" s="528">
        <v>2500</v>
      </c>
      <c r="H30" s="528">
        <v>2500</v>
      </c>
      <c r="I30" s="419">
        <f t="shared" si="0"/>
        <v>500</v>
      </c>
    </row>
    <row r="31" spans="1:10" ht="15" x14ac:dyDescent="0.2">
      <c r="A31" s="89">
        <v>24</v>
      </c>
      <c r="B31" s="494" t="s">
        <v>1254</v>
      </c>
      <c r="C31" s="494" t="s">
        <v>1255</v>
      </c>
      <c r="D31" s="412" t="s">
        <v>1256</v>
      </c>
      <c r="E31" s="527" t="s">
        <v>1238</v>
      </c>
      <c r="F31" s="494" t="s">
        <v>348</v>
      </c>
      <c r="G31" s="528">
        <v>1000</v>
      </c>
      <c r="H31" s="528">
        <v>1000</v>
      </c>
      <c r="I31" s="419">
        <f t="shared" si="0"/>
        <v>200</v>
      </c>
    </row>
    <row r="32" spans="1:10" ht="15" x14ac:dyDescent="0.2">
      <c r="A32" s="89">
        <v>25</v>
      </c>
      <c r="B32" s="494" t="s">
        <v>920</v>
      </c>
      <c r="C32" s="494" t="s">
        <v>1257</v>
      </c>
      <c r="D32" s="398" t="s">
        <v>1258</v>
      </c>
      <c r="E32" s="527" t="s">
        <v>1238</v>
      </c>
      <c r="F32" s="494" t="s">
        <v>348</v>
      </c>
      <c r="G32" s="528">
        <v>8000</v>
      </c>
      <c r="H32" s="528">
        <v>8000</v>
      </c>
      <c r="I32" s="419">
        <f t="shared" si="0"/>
        <v>1600</v>
      </c>
    </row>
    <row r="33" spans="1:9" ht="15" x14ac:dyDescent="0.2">
      <c r="A33" s="78" t="s">
        <v>276</v>
      </c>
      <c r="B33" s="78"/>
      <c r="C33" s="78"/>
      <c r="D33" s="78"/>
      <c r="E33" s="78"/>
      <c r="F33" s="89"/>
      <c r="G33" s="4"/>
      <c r="H33" s="4"/>
      <c r="I33" s="4"/>
    </row>
    <row r="34" spans="1:9" ht="15" x14ac:dyDescent="0.3">
      <c r="A34" s="78"/>
      <c r="B34" s="90"/>
      <c r="C34" s="90"/>
      <c r="D34" s="90"/>
      <c r="E34" s="90"/>
      <c r="F34" s="78" t="s">
        <v>456</v>
      </c>
      <c r="G34" s="77">
        <f>SUM(G8:G33)</f>
        <v>173000</v>
      </c>
      <c r="H34" s="77">
        <f>SUM(H8:H33)</f>
        <v>166550</v>
      </c>
      <c r="I34" s="77">
        <f>SUM(I8:I33)</f>
        <v>32710</v>
      </c>
    </row>
    <row r="35" spans="1:9" ht="15" x14ac:dyDescent="0.3">
      <c r="A35" s="214"/>
      <c r="B35" s="214"/>
      <c r="C35" s="214"/>
      <c r="D35" s="214"/>
      <c r="E35" s="214"/>
      <c r="F35" s="214"/>
      <c r="G35" s="214"/>
      <c r="H35" s="170"/>
      <c r="I35" s="170"/>
    </row>
    <row r="36" spans="1:9" ht="15" x14ac:dyDescent="0.3">
      <c r="A36" s="215" t="s">
        <v>445</v>
      </c>
      <c r="B36" s="215"/>
      <c r="C36" s="214"/>
      <c r="D36" s="214"/>
      <c r="E36" s="214"/>
      <c r="F36" s="214"/>
      <c r="G36" s="214"/>
      <c r="H36" s="170"/>
      <c r="I36" s="170"/>
    </row>
    <row r="37" spans="1:9" x14ac:dyDescent="0.2">
      <c r="A37" s="211"/>
      <c r="B37" s="211"/>
      <c r="C37" s="211"/>
      <c r="D37" s="211"/>
      <c r="E37" s="211"/>
      <c r="F37" s="211"/>
      <c r="G37" s="211"/>
      <c r="H37" s="211"/>
      <c r="I37" s="211"/>
    </row>
    <row r="38" spans="1:9" ht="15" x14ac:dyDescent="0.3">
      <c r="A38" s="176" t="s">
        <v>107</v>
      </c>
      <c r="B38" s="176"/>
      <c r="C38" s="170"/>
      <c r="D38" s="170"/>
      <c r="E38" s="170"/>
      <c r="F38" s="170"/>
      <c r="G38" s="170"/>
      <c r="H38" s="170"/>
      <c r="I38" s="170"/>
    </row>
    <row r="39" spans="1:9" ht="15" x14ac:dyDescent="0.3">
      <c r="A39" s="170"/>
      <c r="B39" s="170"/>
      <c r="C39" s="170"/>
      <c r="D39" s="170"/>
      <c r="E39" s="174"/>
      <c r="F39" s="174"/>
      <c r="G39" s="174"/>
      <c r="H39" s="170"/>
      <c r="I39" s="170"/>
    </row>
    <row r="40" spans="1:9" ht="15" x14ac:dyDescent="0.3">
      <c r="A40" s="176"/>
      <c r="B40" s="176"/>
      <c r="C40" s="176" t="s">
        <v>395</v>
      </c>
      <c r="D40" s="176"/>
      <c r="E40" s="176"/>
      <c r="F40" s="176"/>
      <c r="G40" s="176"/>
      <c r="H40" s="170"/>
      <c r="I40" s="170"/>
    </row>
    <row r="41" spans="1:9" ht="15" x14ac:dyDescent="0.3">
      <c r="A41" s="170"/>
      <c r="B41" s="170"/>
      <c r="C41" s="170" t="s">
        <v>394</v>
      </c>
      <c r="D41" s="170"/>
      <c r="E41" s="170"/>
      <c r="F41" s="170"/>
      <c r="G41" s="170"/>
      <c r="H41" s="170"/>
      <c r="I41" s="170"/>
    </row>
    <row r="42" spans="1:9" x14ac:dyDescent="0.2">
      <c r="A42" s="178"/>
      <c r="B42" s="178"/>
      <c r="C42" s="178" t="s">
        <v>139</v>
      </c>
      <c r="D42" s="178"/>
      <c r="E42" s="178"/>
      <c r="F42" s="178"/>
      <c r="G42" s="178"/>
    </row>
  </sheetData>
  <mergeCells count="2">
    <mergeCell ref="I1:J1"/>
    <mergeCell ref="I2:J2"/>
  </mergeCells>
  <printOptions gridLines="1"/>
  <pageMargins left="0.25" right="0.25" top="0" bottom="0" header="0.05" footer="0.05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3"/>
  <sheetViews>
    <sheetView view="pageBreakPreview" zoomScale="80" zoomScaleNormal="100" zoomScaleSheetLayoutView="80" workbookViewId="0">
      <selection activeCell="C188" sqref="C188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23" style="591" customWidth="1"/>
    <col min="6" max="6" width="18.140625" style="591" customWidth="1"/>
    <col min="7" max="7" width="15" style="596" customWidth="1"/>
    <col min="8" max="8" width="12" customWidth="1"/>
  </cols>
  <sheetData>
    <row r="1" spans="1:9" ht="15" x14ac:dyDescent="0.3">
      <c r="A1" s="65" t="s">
        <v>366</v>
      </c>
      <c r="B1" s="68"/>
      <c r="C1" s="68"/>
      <c r="D1" s="68"/>
      <c r="E1" s="333"/>
      <c r="F1" s="333"/>
      <c r="G1" s="638" t="s">
        <v>109</v>
      </c>
      <c r="H1" s="638"/>
      <c r="I1" s="569"/>
    </row>
    <row r="2" spans="1:9" ht="15" x14ac:dyDescent="0.3">
      <c r="A2" s="67" t="s">
        <v>140</v>
      </c>
      <c r="B2" s="68"/>
      <c r="C2" s="68"/>
      <c r="D2" s="68"/>
      <c r="E2" s="333"/>
      <c r="F2" s="333"/>
      <c r="G2" s="628" t="s">
        <v>645</v>
      </c>
      <c r="H2" s="639"/>
      <c r="I2" s="639"/>
    </row>
    <row r="3" spans="1:9" ht="15" x14ac:dyDescent="0.3">
      <c r="A3" s="67"/>
      <c r="B3" s="67"/>
      <c r="C3" s="67"/>
      <c r="D3" s="67"/>
      <c r="E3" s="578"/>
      <c r="F3" s="578"/>
      <c r="G3" s="569"/>
      <c r="H3" s="569"/>
      <c r="I3" s="569"/>
    </row>
    <row r="4" spans="1:9" ht="15" x14ac:dyDescent="0.3">
      <c r="A4" s="68" t="str">
        <f>'[2]ფორმა N2'!A4</f>
        <v>ანგარიშვალდებული პირის დასახელება:</v>
      </c>
      <c r="B4" s="68"/>
      <c r="C4" s="68"/>
      <c r="D4" s="68"/>
      <c r="E4" s="333"/>
      <c r="F4" s="333"/>
      <c r="G4" s="578"/>
      <c r="H4" s="67"/>
      <c r="I4" s="67"/>
    </row>
    <row r="5" spans="1:9" ht="15" x14ac:dyDescent="0.3">
      <c r="A5" s="71" t="str">
        <f>'[2]ფორმა N1'!D4</f>
        <v>მოქალაქეთა  პოლიტიკური გაერთიანება "ეროვნული ფორუმი"</v>
      </c>
      <c r="B5" s="71"/>
      <c r="C5" s="71"/>
      <c r="D5" s="71"/>
      <c r="E5" s="579"/>
      <c r="F5" s="579"/>
      <c r="G5" s="580"/>
      <c r="H5" s="72"/>
      <c r="I5" s="569"/>
    </row>
    <row r="6" spans="1:9" ht="15" x14ac:dyDescent="0.3">
      <c r="A6" s="68"/>
      <c r="B6" s="68"/>
      <c r="C6" s="68"/>
      <c r="D6" s="68"/>
      <c r="E6" s="333"/>
      <c r="F6" s="333"/>
      <c r="G6" s="578"/>
      <c r="H6" s="67"/>
      <c r="I6" s="67"/>
    </row>
    <row r="7" spans="1:9" ht="15" x14ac:dyDescent="0.3">
      <c r="A7" s="568"/>
      <c r="B7" s="568"/>
      <c r="C7" s="568"/>
      <c r="D7" s="568"/>
      <c r="E7" s="69"/>
      <c r="F7" s="69"/>
      <c r="G7" s="69"/>
      <c r="H7" s="69"/>
      <c r="I7" s="67"/>
    </row>
    <row r="8" spans="1:9" ht="45" x14ac:dyDescent="0.2">
      <c r="A8" s="347" t="s">
        <v>64</v>
      </c>
      <c r="B8" s="70" t="s">
        <v>340</v>
      </c>
      <c r="C8" s="81" t="s">
        <v>341</v>
      </c>
      <c r="D8" s="81" t="s">
        <v>227</v>
      </c>
      <c r="E8" s="581" t="s">
        <v>344</v>
      </c>
      <c r="F8" s="581" t="s">
        <v>343</v>
      </c>
      <c r="G8" s="81" t="s">
        <v>390</v>
      </c>
      <c r="H8" s="70" t="s">
        <v>10</v>
      </c>
      <c r="I8" s="70" t="s">
        <v>9</v>
      </c>
    </row>
    <row r="9" spans="1:9" ht="41.25" customHeight="1" x14ac:dyDescent="0.2">
      <c r="A9" s="582">
        <v>1</v>
      </c>
      <c r="B9" s="494" t="s">
        <v>1158</v>
      </c>
      <c r="C9" s="494" t="s">
        <v>668</v>
      </c>
      <c r="D9" s="398" t="s">
        <v>560</v>
      </c>
      <c r="E9" s="583" t="s">
        <v>1269</v>
      </c>
      <c r="F9" s="583" t="s">
        <v>1215</v>
      </c>
      <c r="G9" s="494">
        <v>7</v>
      </c>
      <c r="H9" s="419">
        <v>280</v>
      </c>
      <c r="I9" s="419">
        <v>280</v>
      </c>
    </row>
    <row r="10" spans="1:9" ht="41.25" customHeight="1" x14ac:dyDescent="0.2">
      <c r="A10" s="582">
        <v>2</v>
      </c>
      <c r="B10" s="494" t="s">
        <v>1129</v>
      </c>
      <c r="C10" s="494" t="s">
        <v>681</v>
      </c>
      <c r="D10" s="398" t="s">
        <v>679</v>
      </c>
      <c r="E10" s="583" t="s">
        <v>1269</v>
      </c>
      <c r="F10" s="583" t="s">
        <v>1215</v>
      </c>
      <c r="G10" s="494">
        <v>7</v>
      </c>
      <c r="H10" s="419">
        <v>280</v>
      </c>
      <c r="I10" s="419">
        <v>280</v>
      </c>
    </row>
    <row r="11" spans="1:9" ht="41.25" customHeight="1" x14ac:dyDescent="0.2">
      <c r="A11" s="582">
        <v>3</v>
      </c>
      <c r="B11" s="494" t="s">
        <v>672</v>
      </c>
      <c r="C11" s="494" t="s">
        <v>673</v>
      </c>
      <c r="D11" s="398" t="s">
        <v>1160</v>
      </c>
      <c r="E11" s="583" t="s">
        <v>1269</v>
      </c>
      <c r="F11" s="583" t="s">
        <v>1215</v>
      </c>
      <c r="G11" s="494">
        <v>7</v>
      </c>
      <c r="H11" s="419">
        <v>280</v>
      </c>
      <c r="I11" s="419">
        <v>280</v>
      </c>
    </row>
    <row r="12" spans="1:9" ht="41.25" customHeight="1" x14ac:dyDescent="0.2">
      <c r="A12" s="582">
        <v>4</v>
      </c>
      <c r="B12" s="494" t="s">
        <v>1198</v>
      </c>
      <c r="C12" s="494" t="s">
        <v>1131</v>
      </c>
      <c r="D12" s="398" t="s">
        <v>552</v>
      </c>
      <c r="E12" s="583" t="s">
        <v>1269</v>
      </c>
      <c r="F12" s="583" t="s">
        <v>1215</v>
      </c>
      <c r="G12" s="494">
        <v>7</v>
      </c>
      <c r="H12" s="419">
        <v>280</v>
      </c>
      <c r="I12" s="419">
        <v>280</v>
      </c>
    </row>
    <row r="13" spans="1:9" ht="41.25" customHeight="1" x14ac:dyDescent="0.2">
      <c r="A13" s="582">
        <v>5</v>
      </c>
      <c r="B13" s="494" t="s">
        <v>892</v>
      </c>
      <c r="C13" s="494" t="s">
        <v>1162</v>
      </c>
      <c r="D13" s="494">
        <v>65002007395</v>
      </c>
      <c r="E13" s="583" t="s">
        <v>1269</v>
      </c>
      <c r="F13" s="583" t="s">
        <v>1270</v>
      </c>
      <c r="G13" s="494">
        <v>7</v>
      </c>
      <c r="H13" s="419">
        <v>280</v>
      </c>
      <c r="I13" s="419">
        <v>280</v>
      </c>
    </row>
    <row r="14" spans="1:9" ht="41.25" customHeight="1" x14ac:dyDescent="0.2">
      <c r="A14" s="582">
        <v>6</v>
      </c>
      <c r="B14" s="494" t="s">
        <v>892</v>
      </c>
      <c r="C14" s="494" t="s">
        <v>1159</v>
      </c>
      <c r="D14" s="398" t="s">
        <v>570</v>
      </c>
      <c r="E14" s="583" t="s">
        <v>1269</v>
      </c>
      <c r="F14" s="583" t="s">
        <v>1270</v>
      </c>
      <c r="G14" s="494">
        <v>7</v>
      </c>
      <c r="H14" s="419">
        <v>280</v>
      </c>
      <c r="I14" s="419">
        <v>280</v>
      </c>
    </row>
    <row r="15" spans="1:9" ht="41.25" customHeight="1" x14ac:dyDescent="0.2">
      <c r="A15" s="582">
        <v>7</v>
      </c>
      <c r="B15" s="494" t="s">
        <v>676</v>
      </c>
      <c r="C15" s="494" t="s">
        <v>677</v>
      </c>
      <c r="D15" s="398" t="s">
        <v>572</v>
      </c>
      <c r="E15" s="583" t="s">
        <v>1269</v>
      </c>
      <c r="F15" s="583" t="s">
        <v>1270</v>
      </c>
      <c r="G15" s="494">
        <v>7</v>
      </c>
      <c r="H15" s="419">
        <v>280</v>
      </c>
      <c r="I15" s="419">
        <v>280</v>
      </c>
    </row>
    <row r="16" spans="1:9" ht="41.25" customHeight="1" x14ac:dyDescent="0.2">
      <c r="A16" s="582">
        <v>8</v>
      </c>
      <c r="B16" s="494" t="s">
        <v>1271</v>
      </c>
      <c r="C16" s="494" t="s">
        <v>1180</v>
      </c>
      <c r="D16" s="398" t="s">
        <v>1181</v>
      </c>
      <c r="E16" s="583" t="s">
        <v>1269</v>
      </c>
      <c r="F16" s="583" t="s">
        <v>1270</v>
      </c>
      <c r="G16" s="494">
        <v>7</v>
      </c>
      <c r="H16" s="419">
        <v>280</v>
      </c>
      <c r="I16" s="419">
        <v>280</v>
      </c>
    </row>
    <row r="17" spans="1:9" ht="41.25" customHeight="1" x14ac:dyDescent="0.2">
      <c r="A17" s="582">
        <v>9</v>
      </c>
      <c r="B17" s="494" t="s">
        <v>1129</v>
      </c>
      <c r="C17" s="494" t="s">
        <v>681</v>
      </c>
      <c r="D17" s="398" t="s">
        <v>679</v>
      </c>
      <c r="E17" s="583" t="s">
        <v>1272</v>
      </c>
      <c r="F17" s="583" t="s">
        <v>1192</v>
      </c>
      <c r="G17" s="494">
        <v>7</v>
      </c>
      <c r="H17" s="419">
        <v>280</v>
      </c>
      <c r="I17" s="419">
        <f t="shared" ref="I17:I44" si="0">40*G17</f>
        <v>280</v>
      </c>
    </row>
    <row r="18" spans="1:9" ht="33.75" x14ac:dyDescent="0.2">
      <c r="A18" s="582">
        <v>10</v>
      </c>
      <c r="B18" s="494" t="s">
        <v>672</v>
      </c>
      <c r="C18" s="494" t="s">
        <v>673</v>
      </c>
      <c r="D18" s="398" t="s">
        <v>1160</v>
      </c>
      <c r="E18" s="583" t="s">
        <v>1272</v>
      </c>
      <c r="F18" s="583" t="s">
        <v>1192</v>
      </c>
      <c r="G18" s="494">
        <v>7</v>
      </c>
      <c r="H18" s="419">
        <v>280</v>
      </c>
      <c r="I18" s="419">
        <f t="shared" si="0"/>
        <v>280</v>
      </c>
    </row>
    <row r="19" spans="1:9" ht="33.75" x14ac:dyDescent="0.2">
      <c r="A19" s="582">
        <v>11</v>
      </c>
      <c r="B19" s="494" t="s">
        <v>892</v>
      </c>
      <c r="C19" s="494" t="s">
        <v>1159</v>
      </c>
      <c r="D19" s="398" t="s">
        <v>570</v>
      </c>
      <c r="E19" s="583" t="s">
        <v>1272</v>
      </c>
      <c r="F19" s="583" t="s">
        <v>1192</v>
      </c>
      <c r="G19" s="494">
        <v>7</v>
      </c>
      <c r="H19" s="419">
        <v>280</v>
      </c>
      <c r="I19" s="419">
        <f t="shared" si="0"/>
        <v>280</v>
      </c>
    </row>
    <row r="20" spans="1:9" ht="33.75" x14ac:dyDescent="0.2">
      <c r="A20" s="582">
        <v>12</v>
      </c>
      <c r="B20" s="504" t="s">
        <v>1129</v>
      </c>
      <c r="C20" s="504" t="s">
        <v>1199</v>
      </c>
      <c r="D20" s="584" t="s">
        <v>1200</v>
      </c>
      <c r="E20" s="583" t="s">
        <v>1272</v>
      </c>
      <c r="F20" s="583" t="s">
        <v>1192</v>
      </c>
      <c r="G20" s="494">
        <v>7</v>
      </c>
      <c r="H20" s="419">
        <v>280</v>
      </c>
      <c r="I20" s="419">
        <f t="shared" si="0"/>
        <v>280</v>
      </c>
    </row>
    <row r="21" spans="1:9" ht="33.75" x14ac:dyDescent="0.2">
      <c r="A21" s="582">
        <v>13</v>
      </c>
      <c r="B21" s="494" t="s">
        <v>1158</v>
      </c>
      <c r="C21" s="494" t="s">
        <v>668</v>
      </c>
      <c r="D21" s="398" t="s">
        <v>560</v>
      </c>
      <c r="E21" s="583" t="s">
        <v>1272</v>
      </c>
      <c r="F21" s="583" t="s">
        <v>1192</v>
      </c>
      <c r="G21" s="494">
        <v>7</v>
      </c>
      <c r="H21" s="419">
        <v>280</v>
      </c>
      <c r="I21" s="419">
        <f t="shared" si="0"/>
        <v>280</v>
      </c>
    </row>
    <row r="22" spans="1:9" ht="33.75" x14ac:dyDescent="0.2">
      <c r="A22" s="582">
        <v>14</v>
      </c>
      <c r="B22" s="494" t="s">
        <v>739</v>
      </c>
      <c r="C22" s="494" t="s">
        <v>1193</v>
      </c>
      <c r="D22" s="398" t="s">
        <v>550</v>
      </c>
      <c r="E22" s="583" t="s">
        <v>1272</v>
      </c>
      <c r="F22" s="583" t="s">
        <v>1192</v>
      </c>
      <c r="G22" s="494">
        <v>7</v>
      </c>
      <c r="H22" s="419">
        <v>280</v>
      </c>
      <c r="I22" s="419">
        <f t="shared" si="0"/>
        <v>280</v>
      </c>
    </row>
    <row r="23" spans="1:9" ht="33.75" x14ac:dyDescent="0.2">
      <c r="A23" s="582">
        <v>15</v>
      </c>
      <c r="B23" s="494" t="s">
        <v>892</v>
      </c>
      <c r="C23" s="494" t="s">
        <v>1162</v>
      </c>
      <c r="D23" s="494">
        <v>65002007395</v>
      </c>
      <c r="E23" s="583" t="s">
        <v>1272</v>
      </c>
      <c r="F23" s="583" t="s">
        <v>1192</v>
      </c>
      <c r="G23" s="494">
        <v>7</v>
      </c>
      <c r="H23" s="419">
        <v>280</v>
      </c>
      <c r="I23" s="419">
        <f t="shared" si="0"/>
        <v>280</v>
      </c>
    </row>
    <row r="24" spans="1:9" ht="33.75" x14ac:dyDescent="0.2">
      <c r="A24" s="582">
        <v>16</v>
      </c>
      <c r="B24" s="504" t="s">
        <v>1170</v>
      </c>
      <c r="C24" s="504" t="s">
        <v>1171</v>
      </c>
      <c r="D24" s="412" t="s">
        <v>546</v>
      </c>
      <c r="E24" s="583" t="s">
        <v>1272</v>
      </c>
      <c r="F24" s="583" t="s">
        <v>1192</v>
      </c>
      <c r="G24" s="494">
        <v>7</v>
      </c>
      <c r="H24" s="419">
        <v>280</v>
      </c>
      <c r="I24" s="419">
        <f t="shared" si="0"/>
        <v>280</v>
      </c>
    </row>
    <row r="25" spans="1:9" ht="33.75" x14ac:dyDescent="0.2">
      <c r="A25" s="582">
        <v>17</v>
      </c>
      <c r="B25" s="494" t="s">
        <v>892</v>
      </c>
      <c r="C25" s="494" t="s">
        <v>1166</v>
      </c>
      <c r="D25" s="398" t="s">
        <v>562</v>
      </c>
      <c r="E25" s="583" t="s">
        <v>1272</v>
      </c>
      <c r="F25" s="583" t="s">
        <v>1192</v>
      </c>
      <c r="G25" s="494">
        <v>7</v>
      </c>
      <c r="H25" s="419">
        <v>280</v>
      </c>
      <c r="I25" s="419">
        <f t="shared" si="0"/>
        <v>280</v>
      </c>
    </row>
    <row r="26" spans="1:9" ht="33.75" x14ac:dyDescent="0.2">
      <c r="A26" s="582">
        <v>18</v>
      </c>
      <c r="B26" s="494" t="s">
        <v>1273</v>
      </c>
      <c r="C26" s="494" t="s">
        <v>1257</v>
      </c>
      <c r="D26" s="584" t="s">
        <v>1258</v>
      </c>
      <c r="E26" s="583" t="s">
        <v>1272</v>
      </c>
      <c r="F26" s="583" t="s">
        <v>1192</v>
      </c>
      <c r="G26" s="494">
        <v>7</v>
      </c>
      <c r="H26" s="419">
        <v>280</v>
      </c>
      <c r="I26" s="419">
        <f t="shared" si="0"/>
        <v>280</v>
      </c>
    </row>
    <row r="27" spans="1:9" ht="33.75" x14ac:dyDescent="0.2">
      <c r="A27" s="582">
        <v>19</v>
      </c>
      <c r="B27" s="494" t="s">
        <v>1185</v>
      </c>
      <c r="C27" s="494" t="s">
        <v>1186</v>
      </c>
      <c r="D27" s="398" t="s">
        <v>548</v>
      </c>
      <c r="E27" s="583" t="s">
        <v>1272</v>
      </c>
      <c r="F27" s="583" t="s">
        <v>1192</v>
      </c>
      <c r="G27" s="494">
        <v>7</v>
      </c>
      <c r="H27" s="419">
        <v>280</v>
      </c>
      <c r="I27" s="419">
        <f t="shared" si="0"/>
        <v>280</v>
      </c>
    </row>
    <row r="28" spans="1:9" ht="33.75" x14ac:dyDescent="0.2">
      <c r="A28" s="582">
        <v>20</v>
      </c>
      <c r="B28" s="494" t="s">
        <v>676</v>
      </c>
      <c r="C28" s="494" t="s">
        <v>677</v>
      </c>
      <c r="D28" s="398" t="s">
        <v>572</v>
      </c>
      <c r="E28" s="583" t="s">
        <v>1272</v>
      </c>
      <c r="F28" s="583" t="s">
        <v>1192</v>
      </c>
      <c r="G28" s="494">
        <v>7</v>
      </c>
      <c r="H28" s="419">
        <v>280</v>
      </c>
      <c r="I28" s="419">
        <f t="shared" si="0"/>
        <v>280</v>
      </c>
    </row>
    <row r="29" spans="1:9" ht="39" customHeight="1" x14ac:dyDescent="0.2">
      <c r="A29" s="582">
        <v>21</v>
      </c>
      <c r="B29" s="494" t="s">
        <v>936</v>
      </c>
      <c r="C29" s="494" t="s">
        <v>1220</v>
      </c>
      <c r="D29" s="398" t="s">
        <v>1191</v>
      </c>
      <c r="E29" s="583" t="s">
        <v>1274</v>
      </c>
      <c r="F29" s="583" t="s">
        <v>1275</v>
      </c>
      <c r="G29" s="494">
        <v>2</v>
      </c>
      <c r="H29" s="419">
        <v>80</v>
      </c>
      <c r="I29" s="419">
        <f t="shared" si="0"/>
        <v>80</v>
      </c>
    </row>
    <row r="30" spans="1:9" ht="39" customHeight="1" x14ac:dyDescent="0.2">
      <c r="A30" s="582">
        <v>22</v>
      </c>
      <c r="B30" s="494" t="s">
        <v>715</v>
      </c>
      <c r="C30" s="494" t="s">
        <v>1239</v>
      </c>
      <c r="D30" s="398" t="s">
        <v>1240</v>
      </c>
      <c r="E30" s="583" t="s">
        <v>1274</v>
      </c>
      <c r="F30" s="583" t="s">
        <v>1275</v>
      </c>
      <c r="G30" s="494">
        <v>2</v>
      </c>
      <c r="H30" s="419">
        <v>80</v>
      </c>
      <c r="I30" s="419">
        <f t="shared" si="0"/>
        <v>80</v>
      </c>
    </row>
    <row r="31" spans="1:9" ht="39" customHeight="1" x14ac:dyDescent="0.2">
      <c r="A31" s="582">
        <v>23</v>
      </c>
      <c r="B31" s="494" t="s">
        <v>1158</v>
      </c>
      <c r="C31" s="494" t="s">
        <v>668</v>
      </c>
      <c r="D31" s="398" t="s">
        <v>560</v>
      </c>
      <c r="E31" s="583" t="s">
        <v>1274</v>
      </c>
      <c r="F31" s="583" t="s">
        <v>1275</v>
      </c>
      <c r="G31" s="494">
        <v>2</v>
      </c>
      <c r="H31" s="419">
        <v>80</v>
      </c>
      <c r="I31" s="419">
        <f t="shared" si="0"/>
        <v>80</v>
      </c>
    </row>
    <row r="32" spans="1:9" ht="39" customHeight="1" x14ac:dyDescent="0.2">
      <c r="A32" s="582">
        <v>24</v>
      </c>
      <c r="B32" s="494" t="s">
        <v>1129</v>
      </c>
      <c r="C32" s="494" t="s">
        <v>681</v>
      </c>
      <c r="D32" s="398" t="s">
        <v>679</v>
      </c>
      <c r="E32" s="583" t="s">
        <v>1274</v>
      </c>
      <c r="F32" s="583" t="s">
        <v>1275</v>
      </c>
      <c r="G32" s="494">
        <v>2</v>
      </c>
      <c r="H32" s="419">
        <v>80</v>
      </c>
      <c r="I32" s="419">
        <f t="shared" si="0"/>
        <v>80</v>
      </c>
    </row>
    <row r="33" spans="1:9" ht="39" customHeight="1" x14ac:dyDescent="0.2">
      <c r="A33" s="582">
        <v>25</v>
      </c>
      <c r="B33" s="494" t="s">
        <v>676</v>
      </c>
      <c r="C33" s="494" t="s">
        <v>677</v>
      </c>
      <c r="D33" s="398" t="s">
        <v>572</v>
      </c>
      <c r="E33" s="583" t="s">
        <v>1274</v>
      </c>
      <c r="F33" s="583" t="s">
        <v>1275</v>
      </c>
      <c r="G33" s="494">
        <v>2</v>
      </c>
      <c r="H33" s="419">
        <v>80</v>
      </c>
      <c r="I33" s="419">
        <f t="shared" si="0"/>
        <v>80</v>
      </c>
    </row>
    <row r="34" spans="1:9" ht="33.75" x14ac:dyDescent="0.2">
      <c r="A34" s="582">
        <v>26</v>
      </c>
      <c r="B34" s="494" t="s">
        <v>892</v>
      </c>
      <c r="C34" s="494" t="s">
        <v>1159</v>
      </c>
      <c r="D34" s="398" t="s">
        <v>570</v>
      </c>
      <c r="E34" s="583" t="s">
        <v>1274</v>
      </c>
      <c r="F34" s="583" t="s">
        <v>1275</v>
      </c>
      <c r="G34" s="494">
        <v>2</v>
      </c>
      <c r="H34" s="419">
        <v>80</v>
      </c>
      <c r="I34" s="419">
        <f t="shared" si="0"/>
        <v>80</v>
      </c>
    </row>
    <row r="35" spans="1:9" ht="33.75" x14ac:dyDescent="0.2">
      <c r="A35" s="582">
        <v>27</v>
      </c>
      <c r="B35" s="494" t="s">
        <v>1158</v>
      </c>
      <c r="C35" s="494" t="s">
        <v>668</v>
      </c>
      <c r="D35" s="398" t="s">
        <v>560</v>
      </c>
      <c r="E35" s="583" t="s">
        <v>1272</v>
      </c>
      <c r="F35" s="583" t="s">
        <v>1276</v>
      </c>
      <c r="G35" s="494">
        <v>2</v>
      </c>
      <c r="H35" s="419">
        <v>80</v>
      </c>
      <c r="I35" s="419">
        <f t="shared" si="0"/>
        <v>80</v>
      </c>
    </row>
    <row r="36" spans="1:9" ht="33.75" x14ac:dyDescent="0.2">
      <c r="A36" s="582">
        <v>28</v>
      </c>
      <c r="B36" s="494" t="s">
        <v>1129</v>
      </c>
      <c r="C36" s="494" t="s">
        <v>681</v>
      </c>
      <c r="D36" s="398" t="s">
        <v>679</v>
      </c>
      <c r="E36" s="583" t="s">
        <v>1272</v>
      </c>
      <c r="F36" s="583" t="s">
        <v>1276</v>
      </c>
      <c r="G36" s="494">
        <v>2</v>
      </c>
      <c r="H36" s="419">
        <v>80</v>
      </c>
      <c r="I36" s="419">
        <f t="shared" si="0"/>
        <v>80</v>
      </c>
    </row>
    <row r="37" spans="1:9" ht="33.75" x14ac:dyDescent="0.2">
      <c r="A37" s="582">
        <v>29</v>
      </c>
      <c r="B37" s="494" t="s">
        <v>892</v>
      </c>
      <c r="C37" s="494" t="s">
        <v>1162</v>
      </c>
      <c r="D37" s="494">
        <v>65002007395</v>
      </c>
      <c r="E37" s="583" t="s">
        <v>1272</v>
      </c>
      <c r="F37" s="583" t="s">
        <v>1276</v>
      </c>
      <c r="G37" s="494">
        <v>2</v>
      </c>
      <c r="H37" s="419">
        <v>80</v>
      </c>
      <c r="I37" s="419">
        <f t="shared" si="0"/>
        <v>80</v>
      </c>
    </row>
    <row r="38" spans="1:9" ht="33.75" x14ac:dyDescent="0.2">
      <c r="A38" s="582">
        <v>30</v>
      </c>
      <c r="B38" s="494" t="s">
        <v>672</v>
      </c>
      <c r="C38" s="494" t="s">
        <v>673</v>
      </c>
      <c r="D38" s="398" t="s">
        <v>1160</v>
      </c>
      <c r="E38" s="583" t="s">
        <v>1272</v>
      </c>
      <c r="F38" s="583" t="s">
        <v>1276</v>
      </c>
      <c r="G38" s="494">
        <v>2</v>
      </c>
      <c r="H38" s="419">
        <v>80</v>
      </c>
      <c r="I38" s="419">
        <f t="shared" si="0"/>
        <v>80</v>
      </c>
    </row>
    <row r="39" spans="1:9" ht="33.75" x14ac:dyDescent="0.2">
      <c r="A39" s="582">
        <v>31</v>
      </c>
      <c r="B39" s="494" t="s">
        <v>1158</v>
      </c>
      <c r="C39" s="494" t="s">
        <v>668</v>
      </c>
      <c r="D39" s="398" t="s">
        <v>560</v>
      </c>
      <c r="E39" s="583" t="s">
        <v>1272</v>
      </c>
      <c r="F39" s="583" t="s">
        <v>1277</v>
      </c>
      <c r="G39" s="494">
        <v>2</v>
      </c>
      <c r="H39" s="498">
        <v>80</v>
      </c>
      <c r="I39" s="498">
        <f t="shared" si="0"/>
        <v>80</v>
      </c>
    </row>
    <row r="40" spans="1:9" ht="33.75" x14ac:dyDescent="0.2">
      <c r="A40" s="582">
        <v>32</v>
      </c>
      <c r="B40" s="494" t="s">
        <v>1129</v>
      </c>
      <c r="C40" s="494" t="s">
        <v>681</v>
      </c>
      <c r="D40" s="398" t="s">
        <v>679</v>
      </c>
      <c r="E40" s="583" t="s">
        <v>1272</v>
      </c>
      <c r="F40" s="583" t="s">
        <v>1277</v>
      </c>
      <c r="G40" s="494">
        <v>2</v>
      </c>
      <c r="H40" s="498">
        <v>80</v>
      </c>
      <c r="I40" s="498">
        <f t="shared" si="0"/>
        <v>80</v>
      </c>
    </row>
    <row r="41" spans="1:9" ht="33.75" x14ac:dyDescent="0.2">
      <c r="A41" s="582">
        <v>33</v>
      </c>
      <c r="B41" s="494" t="s">
        <v>892</v>
      </c>
      <c r="C41" s="494" t="s">
        <v>1162</v>
      </c>
      <c r="D41" s="494">
        <v>65002007395</v>
      </c>
      <c r="E41" s="583" t="s">
        <v>1272</v>
      </c>
      <c r="F41" s="583" t="s">
        <v>1277</v>
      </c>
      <c r="G41" s="494">
        <v>2</v>
      </c>
      <c r="H41" s="498">
        <v>80</v>
      </c>
      <c r="I41" s="498">
        <f t="shared" si="0"/>
        <v>80</v>
      </c>
    </row>
    <row r="42" spans="1:9" ht="33.75" x14ac:dyDescent="0.2">
      <c r="A42" s="582">
        <v>34</v>
      </c>
      <c r="B42" s="494" t="s">
        <v>676</v>
      </c>
      <c r="C42" s="494" t="s">
        <v>677</v>
      </c>
      <c r="D42" s="398" t="s">
        <v>572</v>
      </c>
      <c r="E42" s="583" t="s">
        <v>1272</v>
      </c>
      <c r="F42" s="583" t="s">
        <v>1277</v>
      </c>
      <c r="G42" s="494">
        <v>2</v>
      </c>
      <c r="H42" s="498">
        <v>80</v>
      </c>
      <c r="I42" s="498">
        <f t="shared" si="0"/>
        <v>80</v>
      </c>
    </row>
    <row r="43" spans="1:9" ht="33.75" x14ac:dyDescent="0.2">
      <c r="A43" s="582">
        <v>35</v>
      </c>
      <c r="B43" s="494" t="s">
        <v>1158</v>
      </c>
      <c r="C43" s="494" t="s">
        <v>668</v>
      </c>
      <c r="D43" s="398" t="s">
        <v>560</v>
      </c>
      <c r="E43" s="583" t="s">
        <v>1272</v>
      </c>
      <c r="F43" s="583" t="s">
        <v>1278</v>
      </c>
      <c r="G43" s="494">
        <v>1</v>
      </c>
      <c r="H43" s="498">
        <f t="shared" ref="H43:H74" si="1">40*G43</f>
        <v>40</v>
      </c>
      <c r="I43" s="498">
        <f t="shared" si="0"/>
        <v>40</v>
      </c>
    </row>
    <row r="44" spans="1:9" ht="33.75" x14ac:dyDescent="0.2">
      <c r="A44" s="582">
        <v>36</v>
      </c>
      <c r="B44" s="494" t="s">
        <v>1129</v>
      </c>
      <c r="C44" s="494" t="s">
        <v>681</v>
      </c>
      <c r="D44" s="398" t="s">
        <v>679</v>
      </c>
      <c r="E44" s="583" t="s">
        <v>1272</v>
      </c>
      <c r="F44" s="583" t="s">
        <v>1278</v>
      </c>
      <c r="G44" s="494">
        <v>1</v>
      </c>
      <c r="H44" s="498">
        <f t="shared" si="1"/>
        <v>40</v>
      </c>
      <c r="I44" s="498">
        <f t="shared" si="0"/>
        <v>40</v>
      </c>
    </row>
    <row r="45" spans="1:9" ht="33.75" x14ac:dyDescent="0.2">
      <c r="A45" s="582">
        <v>37</v>
      </c>
      <c r="B45" s="494" t="s">
        <v>892</v>
      </c>
      <c r="C45" s="494" t="s">
        <v>1159</v>
      </c>
      <c r="D45" s="398" t="s">
        <v>570</v>
      </c>
      <c r="E45" s="583" t="s">
        <v>1272</v>
      </c>
      <c r="F45" s="583" t="s">
        <v>1278</v>
      </c>
      <c r="G45" s="494">
        <v>1</v>
      </c>
      <c r="H45" s="498">
        <f t="shared" si="1"/>
        <v>40</v>
      </c>
      <c r="I45" s="498">
        <f>40*G45</f>
        <v>40</v>
      </c>
    </row>
    <row r="46" spans="1:9" ht="33.75" x14ac:dyDescent="0.2">
      <c r="A46" s="582">
        <v>38</v>
      </c>
      <c r="B46" s="494" t="s">
        <v>676</v>
      </c>
      <c r="C46" s="494" t="s">
        <v>677</v>
      </c>
      <c r="D46" s="398" t="s">
        <v>572</v>
      </c>
      <c r="E46" s="583" t="s">
        <v>1272</v>
      </c>
      <c r="F46" s="583" t="s">
        <v>1278</v>
      </c>
      <c r="G46" s="494">
        <v>1</v>
      </c>
      <c r="H46" s="498">
        <f t="shared" si="1"/>
        <v>40</v>
      </c>
      <c r="I46" s="498">
        <f t="shared" ref="I46:I74" si="2">40*G46</f>
        <v>40</v>
      </c>
    </row>
    <row r="47" spans="1:9" ht="33.75" x14ac:dyDescent="0.2">
      <c r="A47" s="582">
        <v>39</v>
      </c>
      <c r="B47" s="494" t="s">
        <v>1187</v>
      </c>
      <c r="C47" s="494" t="s">
        <v>663</v>
      </c>
      <c r="D47" s="398" t="s">
        <v>564</v>
      </c>
      <c r="E47" s="583" t="s">
        <v>1272</v>
      </c>
      <c r="F47" s="583" t="s">
        <v>1279</v>
      </c>
      <c r="G47" s="494">
        <v>5</v>
      </c>
      <c r="H47" s="498">
        <f>40*G47+25+100+120</f>
        <v>445</v>
      </c>
      <c r="I47" s="498">
        <f>40*G47+25+100+120</f>
        <v>445</v>
      </c>
    </row>
    <row r="48" spans="1:9" ht="33.75" x14ac:dyDescent="0.2">
      <c r="A48" s="582">
        <v>40</v>
      </c>
      <c r="B48" s="494" t="s">
        <v>676</v>
      </c>
      <c r="C48" s="494" t="s">
        <v>677</v>
      </c>
      <c r="D48" s="398" t="s">
        <v>572</v>
      </c>
      <c r="E48" s="583" t="s">
        <v>1272</v>
      </c>
      <c r="F48" s="583" t="s">
        <v>1279</v>
      </c>
      <c r="G48" s="494">
        <v>5</v>
      </c>
      <c r="H48" s="498">
        <f t="shared" si="1"/>
        <v>200</v>
      </c>
      <c r="I48" s="498">
        <f t="shared" si="2"/>
        <v>200</v>
      </c>
    </row>
    <row r="49" spans="1:9" ht="33.75" x14ac:dyDescent="0.2">
      <c r="A49" s="582">
        <v>41</v>
      </c>
      <c r="B49" s="494" t="s">
        <v>1129</v>
      </c>
      <c r="C49" s="494" t="s">
        <v>681</v>
      </c>
      <c r="D49" s="398" t="s">
        <v>679</v>
      </c>
      <c r="E49" s="583" t="s">
        <v>1272</v>
      </c>
      <c r="F49" s="583" t="s">
        <v>1279</v>
      </c>
      <c r="G49" s="494">
        <v>5</v>
      </c>
      <c r="H49" s="498">
        <f>40*G49+25+100</f>
        <v>325</v>
      </c>
      <c r="I49" s="498">
        <f>40*G49+25+100</f>
        <v>325</v>
      </c>
    </row>
    <row r="50" spans="1:9" ht="33.75" x14ac:dyDescent="0.2">
      <c r="A50" s="582">
        <v>42</v>
      </c>
      <c r="B50" s="494" t="s">
        <v>892</v>
      </c>
      <c r="C50" s="494" t="s">
        <v>1159</v>
      </c>
      <c r="D50" s="398" t="s">
        <v>570</v>
      </c>
      <c r="E50" s="583" t="s">
        <v>1272</v>
      </c>
      <c r="F50" s="583" t="s">
        <v>1279</v>
      </c>
      <c r="G50" s="494">
        <v>5</v>
      </c>
      <c r="H50" s="498">
        <f t="shared" si="1"/>
        <v>200</v>
      </c>
      <c r="I50" s="498">
        <f t="shared" si="2"/>
        <v>200</v>
      </c>
    </row>
    <row r="51" spans="1:9" ht="33.75" x14ac:dyDescent="0.2">
      <c r="A51" s="582">
        <v>43</v>
      </c>
      <c r="B51" s="494" t="s">
        <v>1158</v>
      </c>
      <c r="C51" s="494" t="s">
        <v>668</v>
      </c>
      <c r="D51" s="398" t="s">
        <v>560</v>
      </c>
      <c r="E51" s="583" t="s">
        <v>1272</v>
      </c>
      <c r="F51" s="583" t="s">
        <v>1279</v>
      </c>
      <c r="G51" s="494">
        <v>5</v>
      </c>
      <c r="H51" s="498">
        <f>40*G51+25+100</f>
        <v>325</v>
      </c>
      <c r="I51" s="498">
        <f>40*G51+25+100</f>
        <v>325</v>
      </c>
    </row>
    <row r="52" spans="1:9" ht="33.75" x14ac:dyDescent="0.2">
      <c r="A52" s="582">
        <v>44</v>
      </c>
      <c r="B52" s="494" t="s">
        <v>672</v>
      </c>
      <c r="C52" s="494" t="s">
        <v>673</v>
      </c>
      <c r="D52" s="398" t="s">
        <v>1160</v>
      </c>
      <c r="E52" s="583" t="s">
        <v>1272</v>
      </c>
      <c r="F52" s="583" t="s">
        <v>1279</v>
      </c>
      <c r="G52" s="494">
        <v>5</v>
      </c>
      <c r="H52" s="498">
        <f>40*G52+25+100</f>
        <v>325</v>
      </c>
      <c r="I52" s="498">
        <f>40*G52+25+100</f>
        <v>325</v>
      </c>
    </row>
    <row r="53" spans="1:9" ht="40.5" customHeight="1" x14ac:dyDescent="0.2">
      <c r="A53" s="582">
        <v>45</v>
      </c>
      <c r="B53" s="494" t="s">
        <v>1187</v>
      </c>
      <c r="C53" s="494" t="s">
        <v>663</v>
      </c>
      <c r="D53" s="398" t="s">
        <v>564</v>
      </c>
      <c r="E53" s="583" t="s">
        <v>1269</v>
      </c>
      <c r="F53" s="583" t="s">
        <v>1280</v>
      </c>
      <c r="G53" s="494">
        <v>2</v>
      </c>
      <c r="H53" s="498">
        <f t="shared" si="1"/>
        <v>80</v>
      </c>
      <c r="I53" s="498">
        <f t="shared" si="2"/>
        <v>80</v>
      </c>
    </row>
    <row r="54" spans="1:9" ht="40.5" customHeight="1" x14ac:dyDescent="0.2">
      <c r="A54" s="582">
        <v>46</v>
      </c>
      <c r="B54" s="494" t="s">
        <v>676</v>
      </c>
      <c r="C54" s="494" t="s">
        <v>677</v>
      </c>
      <c r="D54" s="398" t="s">
        <v>572</v>
      </c>
      <c r="E54" s="583" t="s">
        <v>1269</v>
      </c>
      <c r="F54" s="583" t="s">
        <v>1280</v>
      </c>
      <c r="G54" s="494">
        <v>2</v>
      </c>
      <c r="H54" s="498">
        <f t="shared" si="1"/>
        <v>80</v>
      </c>
      <c r="I54" s="498">
        <f t="shared" si="2"/>
        <v>80</v>
      </c>
    </row>
    <row r="55" spans="1:9" ht="40.5" customHeight="1" x14ac:dyDescent="0.2">
      <c r="A55" s="582">
        <v>47</v>
      </c>
      <c r="B55" s="494" t="s">
        <v>1158</v>
      </c>
      <c r="C55" s="494" t="s">
        <v>668</v>
      </c>
      <c r="D55" s="398" t="s">
        <v>560</v>
      </c>
      <c r="E55" s="583" t="s">
        <v>1272</v>
      </c>
      <c r="F55" s="583" t="s">
        <v>1281</v>
      </c>
      <c r="G55" s="494">
        <v>4</v>
      </c>
      <c r="H55" s="498">
        <f t="shared" si="1"/>
        <v>160</v>
      </c>
      <c r="I55" s="498">
        <f t="shared" si="2"/>
        <v>160</v>
      </c>
    </row>
    <row r="56" spans="1:9" ht="40.5" customHeight="1" x14ac:dyDescent="0.2">
      <c r="A56" s="582">
        <v>48</v>
      </c>
      <c r="B56" s="494" t="s">
        <v>1129</v>
      </c>
      <c r="C56" s="494" t="s">
        <v>681</v>
      </c>
      <c r="D56" s="398" t="s">
        <v>679</v>
      </c>
      <c r="E56" s="583" t="s">
        <v>1269</v>
      </c>
      <c r="F56" s="583" t="s">
        <v>1281</v>
      </c>
      <c r="G56" s="494">
        <v>4</v>
      </c>
      <c r="H56" s="498">
        <f t="shared" si="1"/>
        <v>160</v>
      </c>
      <c r="I56" s="498">
        <f t="shared" si="2"/>
        <v>160</v>
      </c>
    </row>
    <row r="57" spans="1:9" ht="40.5" customHeight="1" x14ac:dyDescent="0.2">
      <c r="A57" s="582">
        <v>49</v>
      </c>
      <c r="B57" s="494" t="s">
        <v>1187</v>
      </c>
      <c r="C57" s="494" t="s">
        <v>663</v>
      </c>
      <c r="D57" s="398" t="s">
        <v>564</v>
      </c>
      <c r="E57" s="583" t="s">
        <v>1269</v>
      </c>
      <c r="F57" s="583" t="s">
        <v>1281</v>
      </c>
      <c r="G57" s="494">
        <v>4</v>
      </c>
      <c r="H57" s="498">
        <f t="shared" si="1"/>
        <v>160</v>
      </c>
      <c r="I57" s="498">
        <f t="shared" si="2"/>
        <v>160</v>
      </c>
    </row>
    <row r="58" spans="1:9" ht="40.5" customHeight="1" x14ac:dyDescent="0.2">
      <c r="A58" s="582">
        <v>50</v>
      </c>
      <c r="B58" s="494" t="s">
        <v>892</v>
      </c>
      <c r="C58" s="494" t="s">
        <v>1159</v>
      </c>
      <c r="D58" s="398" t="s">
        <v>570</v>
      </c>
      <c r="E58" s="583" t="s">
        <v>1269</v>
      </c>
      <c r="F58" s="583" t="s">
        <v>1281</v>
      </c>
      <c r="G58" s="494">
        <v>4</v>
      </c>
      <c r="H58" s="498">
        <f t="shared" si="1"/>
        <v>160</v>
      </c>
      <c r="I58" s="498">
        <f t="shared" si="2"/>
        <v>160</v>
      </c>
    </row>
    <row r="59" spans="1:9" ht="40.5" customHeight="1" x14ac:dyDescent="0.2">
      <c r="A59" s="582">
        <v>51</v>
      </c>
      <c r="B59" s="494" t="s">
        <v>672</v>
      </c>
      <c r="C59" s="494" t="s">
        <v>673</v>
      </c>
      <c r="D59" s="398" t="s">
        <v>1160</v>
      </c>
      <c r="E59" s="583" t="s">
        <v>1269</v>
      </c>
      <c r="F59" s="583" t="s">
        <v>1281</v>
      </c>
      <c r="G59" s="494">
        <v>4</v>
      </c>
      <c r="H59" s="498">
        <f t="shared" si="1"/>
        <v>160</v>
      </c>
      <c r="I59" s="498">
        <f t="shared" si="2"/>
        <v>160</v>
      </c>
    </row>
    <row r="60" spans="1:9" ht="33.75" x14ac:dyDescent="0.2">
      <c r="A60" s="582">
        <v>52</v>
      </c>
      <c r="B60" s="494" t="s">
        <v>739</v>
      </c>
      <c r="C60" s="494" t="s">
        <v>1193</v>
      </c>
      <c r="D60" s="398" t="s">
        <v>550</v>
      </c>
      <c r="E60" s="583" t="s">
        <v>1272</v>
      </c>
      <c r="F60" s="583" t="s">
        <v>1282</v>
      </c>
      <c r="G60" s="494">
        <v>6</v>
      </c>
      <c r="H60" s="498">
        <f t="shared" si="1"/>
        <v>240</v>
      </c>
      <c r="I60" s="498">
        <f t="shared" si="2"/>
        <v>240</v>
      </c>
    </row>
    <row r="61" spans="1:9" ht="33.75" x14ac:dyDescent="0.2">
      <c r="A61" s="582">
        <v>53</v>
      </c>
      <c r="B61" s="494" t="s">
        <v>1129</v>
      </c>
      <c r="C61" s="494" t="s">
        <v>681</v>
      </c>
      <c r="D61" s="398" t="s">
        <v>679</v>
      </c>
      <c r="E61" s="583" t="s">
        <v>1272</v>
      </c>
      <c r="F61" s="583" t="s">
        <v>1282</v>
      </c>
      <c r="G61" s="494">
        <v>6</v>
      </c>
      <c r="H61" s="498">
        <f t="shared" si="1"/>
        <v>240</v>
      </c>
      <c r="I61" s="498">
        <f t="shared" si="2"/>
        <v>240</v>
      </c>
    </row>
    <row r="62" spans="1:9" ht="33.75" x14ac:dyDescent="0.2">
      <c r="A62" s="582">
        <v>54</v>
      </c>
      <c r="B62" s="494" t="s">
        <v>1158</v>
      </c>
      <c r="C62" s="494" t="s">
        <v>668</v>
      </c>
      <c r="D62" s="398" t="s">
        <v>560</v>
      </c>
      <c r="E62" s="583" t="s">
        <v>1272</v>
      </c>
      <c r="F62" s="583" t="s">
        <v>1282</v>
      </c>
      <c r="G62" s="494">
        <v>6</v>
      </c>
      <c r="H62" s="498">
        <f t="shared" si="1"/>
        <v>240</v>
      </c>
      <c r="I62" s="498">
        <f t="shared" si="2"/>
        <v>240</v>
      </c>
    </row>
    <row r="63" spans="1:9" ht="33.75" x14ac:dyDescent="0.2">
      <c r="A63" s="582">
        <v>55</v>
      </c>
      <c r="B63" s="494" t="s">
        <v>1187</v>
      </c>
      <c r="C63" s="494" t="s">
        <v>663</v>
      </c>
      <c r="D63" s="398" t="s">
        <v>564</v>
      </c>
      <c r="E63" s="583" t="s">
        <v>1272</v>
      </c>
      <c r="F63" s="583" t="s">
        <v>1282</v>
      </c>
      <c r="G63" s="494">
        <v>6</v>
      </c>
      <c r="H63" s="498">
        <f t="shared" si="1"/>
        <v>240</v>
      </c>
      <c r="I63" s="498">
        <f t="shared" si="2"/>
        <v>240</v>
      </c>
    </row>
    <row r="64" spans="1:9" ht="33.75" x14ac:dyDescent="0.2">
      <c r="A64" s="582">
        <v>56</v>
      </c>
      <c r="B64" s="494" t="s">
        <v>1185</v>
      </c>
      <c r="C64" s="494" t="s">
        <v>1186</v>
      </c>
      <c r="D64" s="398" t="s">
        <v>548</v>
      </c>
      <c r="E64" s="583" t="s">
        <v>1272</v>
      </c>
      <c r="F64" s="583" t="s">
        <v>1282</v>
      </c>
      <c r="G64" s="494">
        <v>6</v>
      </c>
      <c r="H64" s="498">
        <f t="shared" si="1"/>
        <v>240</v>
      </c>
      <c r="I64" s="498">
        <f t="shared" si="2"/>
        <v>240</v>
      </c>
    </row>
    <row r="65" spans="1:9" ht="33.75" x14ac:dyDescent="0.2">
      <c r="A65" s="582">
        <v>57</v>
      </c>
      <c r="B65" s="494" t="s">
        <v>672</v>
      </c>
      <c r="C65" s="494" t="s">
        <v>673</v>
      </c>
      <c r="D65" s="398" t="s">
        <v>1160</v>
      </c>
      <c r="E65" s="583" t="s">
        <v>1272</v>
      </c>
      <c r="F65" s="583" t="s">
        <v>1282</v>
      </c>
      <c r="G65" s="494">
        <v>6</v>
      </c>
      <c r="H65" s="498">
        <f t="shared" si="1"/>
        <v>240</v>
      </c>
      <c r="I65" s="498">
        <f t="shared" si="2"/>
        <v>240</v>
      </c>
    </row>
    <row r="66" spans="1:9" ht="33.75" x14ac:dyDescent="0.2">
      <c r="A66" s="582">
        <v>58</v>
      </c>
      <c r="B66" s="494" t="s">
        <v>676</v>
      </c>
      <c r="C66" s="494" t="s">
        <v>677</v>
      </c>
      <c r="D66" s="398" t="s">
        <v>572</v>
      </c>
      <c r="E66" s="583" t="s">
        <v>1272</v>
      </c>
      <c r="F66" s="583" t="s">
        <v>1282</v>
      </c>
      <c r="G66" s="494">
        <v>6</v>
      </c>
      <c r="H66" s="498">
        <f t="shared" si="1"/>
        <v>240</v>
      </c>
      <c r="I66" s="498">
        <f t="shared" si="2"/>
        <v>240</v>
      </c>
    </row>
    <row r="67" spans="1:9" ht="33.75" x14ac:dyDescent="0.2">
      <c r="A67" s="582">
        <v>59</v>
      </c>
      <c r="B67" s="494" t="s">
        <v>892</v>
      </c>
      <c r="C67" s="494" t="s">
        <v>1162</v>
      </c>
      <c r="D67" s="494">
        <v>65002007395</v>
      </c>
      <c r="E67" s="583" t="s">
        <v>1272</v>
      </c>
      <c r="F67" s="583" t="s">
        <v>1282</v>
      </c>
      <c r="G67" s="494">
        <v>6</v>
      </c>
      <c r="H67" s="498">
        <f t="shared" si="1"/>
        <v>240</v>
      </c>
      <c r="I67" s="498">
        <f t="shared" si="2"/>
        <v>240</v>
      </c>
    </row>
    <row r="68" spans="1:9" ht="33.75" x14ac:dyDescent="0.2">
      <c r="A68" s="582">
        <v>60</v>
      </c>
      <c r="B68" s="494" t="s">
        <v>892</v>
      </c>
      <c r="C68" s="494" t="s">
        <v>1159</v>
      </c>
      <c r="D68" s="398" t="s">
        <v>570</v>
      </c>
      <c r="E68" s="583" t="s">
        <v>1272</v>
      </c>
      <c r="F68" s="583" t="s">
        <v>1282</v>
      </c>
      <c r="G68" s="494">
        <v>6</v>
      </c>
      <c r="H68" s="498">
        <f t="shared" si="1"/>
        <v>240</v>
      </c>
      <c r="I68" s="498">
        <f t="shared" si="2"/>
        <v>240</v>
      </c>
    </row>
    <row r="69" spans="1:9" ht="33.75" x14ac:dyDescent="0.2">
      <c r="A69" s="582">
        <v>61</v>
      </c>
      <c r="B69" s="494" t="s">
        <v>1271</v>
      </c>
      <c r="C69" s="494" t="s">
        <v>1180</v>
      </c>
      <c r="D69" s="398" t="s">
        <v>1181</v>
      </c>
      <c r="E69" s="583" t="s">
        <v>1272</v>
      </c>
      <c r="F69" s="583" t="s">
        <v>1282</v>
      </c>
      <c r="G69" s="494">
        <v>6</v>
      </c>
      <c r="H69" s="498">
        <f t="shared" si="1"/>
        <v>240</v>
      </c>
      <c r="I69" s="498">
        <f t="shared" si="2"/>
        <v>240</v>
      </c>
    </row>
    <row r="70" spans="1:9" ht="33.75" x14ac:dyDescent="0.2">
      <c r="A70" s="582">
        <v>62</v>
      </c>
      <c r="B70" s="504" t="s">
        <v>1167</v>
      </c>
      <c r="C70" s="504" t="s">
        <v>1168</v>
      </c>
      <c r="D70" s="584" t="s">
        <v>1169</v>
      </c>
      <c r="E70" s="583" t="s">
        <v>1272</v>
      </c>
      <c r="F70" s="583" t="s">
        <v>1282</v>
      </c>
      <c r="G70" s="494">
        <v>6</v>
      </c>
      <c r="H70" s="498">
        <f t="shared" si="1"/>
        <v>240</v>
      </c>
      <c r="I70" s="498">
        <f t="shared" si="2"/>
        <v>240</v>
      </c>
    </row>
    <row r="71" spans="1:9" ht="33.75" x14ac:dyDescent="0.2">
      <c r="A71" s="582">
        <v>63</v>
      </c>
      <c r="B71" s="494" t="s">
        <v>892</v>
      </c>
      <c r="C71" s="494" t="s">
        <v>1166</v>
      </c>
      <c r="D71" s="398" t="s">
        <v>562</v>
      </c>
      <c r="E71" s="583" t="s">
        <v>1272</v>
      </c>
      <c r="F71" s="583" t="s">
        <v>1282</v>
      </c>
      <c r="G71" s="494">
        <v>6</v>
      </c>
      <c r="H71" s="498">
        <f t="shared" si="1"/>
        <v>240</v>
      </c>
      <c r="I71" s="498">
        <f t="shared" si="2"/>
        <v>240</v>
      </c>
    </row>
    <row r="72" spans="1:9" ht="45" x14ac:dyDescent="0.2">
      <c r="A72" s="582">
        <v>64</v>
      </c>
      <c r="B72" s="494" t="s">
        <v>1185</v>
      </c>
      <c r="C72" s="494" t="s">
        <v>1186</v>
      </c>
      <c r="D72" s="398" t="s">
        <v>548</v>
      </c>
      <c r="E72" s="583" t="s">
        <v>1283</v>
      </c>
      <c r="F72" s="583" t="s">
        <v>1284</v>
      </c>
      <c r="G72" s="494">
        <v>2</v>
      </c>
      <c r="H72" s="498">
        <f t="shared" si="1"/>
        <v>80</v>
      </c>
      <c r="I72" s="498">
        <f t="shared" si="2"/>
        <v>80</v>
      </c>
    </row>
    <row r="73" spans="1:9" ht="45" x14ac:dyDescent="0.2">
      <c r="A73" s="582">
        <v>65</v>
      </c>
      <c r="B73" s="494" t="s">
        <v>1273</v>
      </c>
      <c r="C73" s="494" t="s">
        <v>1257</v>
      </c>
      <c r="D73" s="584" t="s">
        <v>1258</v>
      </c>
      <c r="E73" s="583" t="s">
        <v>1283</v>
      </c>
      <c r="F73" s="583" t="s">
        <v>1284</v>
      </c>
      <c r="G73" s="494">
        <v>2</v>
      </c>
      <c r="H73" s="498">
        <f t="shared" si="1"/>
        <v>80</v>
      </c>
      <c r="I73" s="498">
        <f t="shared" si="2"/>
        <v>80</v>
      </c>
    </row>
    <row r="74" spans="1:9" ht="45" x14ac:dyDescent="0.2">
      <c r="A74" s="582">
        <v>66</v>
      </c>
      <c r="B74" s="494" t="s">
        <v>676</v>
      </c>
      <c r="C74" s="494" t="s">
        <v>677</v>
      </c>
      <c r="D74" s="398" t="s">
        <v>572</v>
      </c>
      <c r="E74" s="583" t="s">
        <v>1283</v>
      </c>
      <c r="F74" s="583" t="s">
        <v>1284</v>
      </c>
      <c r="G74" s="494">
        <v>2</v>
      </c>
      <c r="H74" s="498">
        <f t="shared" si="1"/>
        <v>80</v>
      </c>
      <c r="I74" s="498">
        <f t="shared" si="2"/>
        <v>80</v>
      </c>
    </row>
    <row r="75" spans="1:9" ht="33.75" x14ac:dyDescent="0.2">
      <c r="A75" s="582">
        <v>67</v>
      </c>
      <c r="B75" s="494" t="s">
        <v>1158</v>
      </c>
      <c r="C75" s="494" t="s">
        <v>668</v>
      </c>
      <c r="D75" s="398" t="s">
        <v>560</v>
      </c>
      <c r="E75" s="583" t="s">
        <v>1269</v>
      </c>
      <c r="F75" s="583" t="s">
        <v>1215</v>
      </c>
      <c r="G75" s="494">
        <v>7</v>
      </c>
      <c r="H75" s="419">
        <v>280</v>
      </c>
      <c r="I75" s="419">
        <v>280</v>
      </c>
    </row>
    <row r="76" spans="1:9" ht="33.75" x14ac:dyDescent="0.2">
      <c r="A76" s="582">
        <v>68</v>
      </c>
      <c r="B76" s="494" t="s">
        <v>1129</v>
      </c>
      <c r="C76" s="494" t="s">
        <v>681</v>
      </c>
      <c r="D76" s="398" t="s">
        <v>679</v>
      </c>
      <c r="E76" s="583" t="s">
        <v>1269</v>
      </c>
      <c r="F76" s="583" t="s">
        <v>1215</v>
      </c>
      <c r="G76" s="494">
        <v>7</v>
      </c>
      <c r="H76" s="419">
        <v>280</v>
      </c>
      <c r="I76" s="419">
        <v>280</v>
      </c>
    </row>
    <row r="77" spans="1:9" ht="33.75" x14ac:dyDescent="0.2">
      <c r="A77" s="582">
        <v>69</v>
      </c>
      <c r="B77" s="494" t="s">
        <v>672</v>
      </c>
      <c r="C77" s="494" t="s">
        <v>673</v>
      </c>
      <c r="D77" s="398" t="s">
        <v>1160</v>
      </c>
      <c r="E77" s="583" t="s">
        <v>1269</v>
      </c>
      <c r="F77" s="583" t="s">
        <v>1215</v>
      </c>
      <c r="G77" s="494">
        <v>7</v>
      </c>
      <c r="H77" s="419">
        <v>280</v>
      </c>
      <c r="I77" s="419">
        <v>280</v>
      </c>
    </row>
    <row r="78" spans="1:9" ht="33.75" x14ac:dyDescent="0.2">
      <c r="A78" s="582">
        <v>70</v>
      </c>
      <c r="B78" s="494" t="s">
        <v>1271</v>
      </c>
      <c r="C78" s="494" t="s">
        <v>1180</v>
      </c>
      <c r="D78" s="398" t="s">
        <v>1181</v>
      </c>
      <c r="E78" s="583" t="s">
        <v>1269</v>
      </c>
      <c r="F78" s="583" t="s">
        <v>1215</v>
      </c>
      <c r="G78" s="494">
        <v>7</v>
      </c>
      <c r="H78" s="419">
        <v>280</v>
      </c>
      <c r="I78" s="419">
        <v>280</v>
      </c>
    </row>
    <row r="79" spans="1:9" ht="45" x14ac:dyDescent="0.2">
      <c r="A79" s="582">
        <v>71</v>
      </c>
      <c r="B79" s="494" t="s">
        <v>892</v>
      </c>
      <c r="C79" s="494" t="s">
        <v>1162</v>
      </c>
      <c r="D79" s="494">
        <v>65002007395</v>
      </c>
      <c r="E79" s="583" t="s">
        <v>1269</v>
      </c>
      <c r="F79" s="583" t="s">
        <v>1285</v>
      </c>
      <c r="G79" s="494">
        <v>7</v>
      </c>
      <c r="H79" s="419">
        <v>280</v>
      </c>
      <c r="I79" s="419">
        <v>280</v>
      </c>
    </row>
    <row r="80" spans="1:9" ht="45" x14ac:dyDescent="0.2">
      <c r="A80" s="582">
        <v>72</v>
      </c>
      <c r="B80" s="494" t="s">
        <v>892</v>
      </c>
      <c r="C80" s="494" t="s">
        <v>1159</v>
      </c>
      <c r="D80" s="398" t="s">
        <v>570</v>
      </c>
      <c r="E80" s="583" t="s">
        <v>1269</v>
      </c>
      <c r="F80" s="583" t="s">
        <v>1285</v>
      </c>
      <c r="G80" s="494">
        <v>7</v>
      </c>
      <c r="H80" s="419">
        <v>280</v>
      </c>
      <c r="I80" s="419">
        <v>280</v>
      </c>
    </row>
    <row r="81" spans="1:9" ht="45" x14ac:dyDescent="0.2">
      <c r="A81" s="582">
        <v>73</v>
      </c>
      <c r="B81" s="494" t="s">
        <v>676</v>
      </c>
      <c r="C81" s="494" t="s">
        <v>677</v>
      </c>
      <c r="D81" s="398" t="s">
        <v>572</v>
      </c>
      <c r="E81" s="583" t="s">
        <v>1269</v>
      </c>
      <c r="F81" s="583" t="s">
        <v>1285</v>
      </c>
      <c r="G81" s="494">
        <v>7</v>
      </c>
      <c r="H81" s="419">
        <v>280</v>
      </c>
      <c r="I81" s="419">
        <v>280</v>
      </c>
    </row>
    <row r="82" spans="1:9" ht="45" x14ac:dyDescent="0.2">
      <c r="A82" s="582">
        <v>74</v>
      </c>
      <c r="B82" s="494" t="s">
        <v>892</v>
      </c>
      <c r="C82" s="494" t="s">
        <v>1166</v>
      </c>
      <c r="D82" s="412" t="s">
        <v>562</v>
      </c>
      <c r="E82" s="583" t="s">
        <v>1269</v>
      </c>
      <c r="F82" s="583" t="s">
        <v>1285</v>
      </c>
      <c r="G82" s="494">
        <v>7</v>
      </c>
      <c r="H82" s="419">
        <v>280</v>
      </c>
      <c r="I82" s="419">
        <v>280</v>
      </c>
    </row>
    <row r="83" spans="1:9" ht="33.75" x14ac:dyDescent="0.2">
      <c r="A83" s="582">
        <v>75</v>
      </c>
      <c r="B83" s="494" t="s">
        <v>1158</v>
      </c>
      <c r="C83" s="494" t="s">
        <v>668</v>
      </c>
      <c r="D83" s="398" t="s">
        <v>560</v>
      </c>
      <c r="E83" s="583" t="s">
        <v>1269</v>
      </c>
      <c r="F83" s="583" t="s">
        <v>1215</v>
      </c>
      <c r="G83" s="494">
        <v>7</v>
      </c>
      <c r="H83" s="419">
        <v>280</v>
      </c>
      <c r="I83" s="419">
        <v>280</v>
      </c>
    </row>
    <row r="84" spans="1:9" ht="33.75" x14ac:dyDescent="0.2">
      <c r="A84" s="582">
        <v>76</v>
      </c>
      <c r="B84" s="494" t="s">
        <v>1129</v>
      </c>
      <c r="C84" s="494" t="s">
        <v>681</v>
      </c>
      <c r="D84" s="398" t="s">
        <v>679</v>
      </c>
      <c r="E84" s="583" t="s">
        <v>1269</v>
      </c>
      <c r="F84" s="583" t="s">
        <v>1215</v>
      </c>
      <c r="G84" s="494">
        <v>7</v>
      </c>
      <c r="H84" s="419">
        <v>280</v>
      </c>
      <c r="I84" s="419">
        <v>280</v>
      </c>
    </row>
    <row r="85" spans="1:9" ht="33.75" x14ac:dyDescent="0.2">
      <c r="A85" s="582">
        <v>77</v>
      </c>
      <c r="B85" s="494" t="s">
        <v>672</v>
      </c>
      <c r="C85" s="494" t="s">
        <v>673</v>
      </c>
      <c r="D85" s="398" t="s">
        <v>1160</v>
      </c>
      <c r="E85" s="583" t="s">
        <v>1269</v>
      </c>
      <c r="F85" s="583" t="s">
        <v>1215</v>
      </c>
      <c r="G85" s="494">
        <v>7</v>
      </c>
      <c r="H85" s="419">
        <v>280</v>
      </c>
      <c r="I85" s="419">
        <v>280</v>
      </c>
    </row>
    <row r="86" spans="1:9" ht="33.75" x14ac:dyDescent="0.2">
      <c r="A86" s="582">
        <v>78</v>
      </c>
      <c r="B86" s="494" t="s">
        <v>892</v>
      </c>
      <c r="C86" s="494" t="s">
        <v>1162</v>
      </c>
      <c r="D86" s="494">
        <v>65002007395</v>
      </c>
      <c r="E86" s="583" t="s">
        <v>1269</v>
      </c>
      <c r="F86" s="583" t="s">
        <v>1215</v>
      </c>
      <c r="G86" s="494">
        <v>7</v>
      </c>
      <c r="H86" s="419">
        <v>280</v>
      </c>
      <c r="I86" s="419">
        <v>280</v>
      </c>
    </row>
    <row r="87" spans="1:9" ht="33.75" x14ac:dyDescent="0.2">
      <c r="A87" s="582">
        <v>79</v>
      </c>
      <c r="B87" s="494" t="s">
        <v>892</v>
      </c>
      <c r="C87" s="494" t="s">
        <v>1159</v>
      </c>
      <c r="D87" s="398" t="s">
        <v>570</v>
      </c>
      <c r="E87" s="583" t="s">
        <v>1269</v>
      </c>
      <c r="F87" s="583" t="s">
        <v>1215</v>
      </c>
      <c r="G87" s="494">
        <v>7</v>
      </c>
      <c r="H87" s="419">
        <v>280</v>
      </c>
      <c r="I87" s="419">
        <v>280</v>
      </c>
    </row>
    <row r="88" spans="1:9" ht="33.75" x14ac:dyDescent="0.2">
      <c r="A88" s="582">
        <v>80</v>
      </c>
      <c r="B88" s="494" t="s">
        <v>676</v>
      </c>
      <c r="C88" s="494" t="s">
        <v>677</v>
      </c>
      <c r="D88" s="398" t="s">
        <v>572</v>
      </c>
      <c r="E88" s="583" t="s">
        <v>1269</v>
      </c>
      <c r="F88" s="583" t="s">
        <v>1215</v>
      </c>
      <c r="G88" s="494">
        <v>7</v>
      </c>
      <c r="H88" s="419">
        <v>280</v>
      </c>
      <c r="I88" s="419">
        <v>280</v>
      </c>
    </row>
    <row r="89" spans="1:9" ht="33.75" x14ac:dyDescent="0.2">
      <c r="A89" s="582">
        <v>81</v>
      </c>
      <c r="B89" s="504" t="s">
        <v>1170</v>
      </c>
      <c r="C89" s="504" t="s">
        <v>1171</v>
      </c>
      <c r="D89" s="412" t="s">
        <v>546</v>
      </c>
      <c r="E89" s="583" t="s">
        <v>1269</v>
      </c>
      <c r="F89" s="583" t="s">
        <v>1215</v>
      </c>
      <c r="G89" s="494">
        <v>7</v>
      </c>
      <c r="H89" s="419">
        <v>280</v>
      </c>
      <c r="I89" s="419">
        <v>280</v>
      </c>
    </row>
    <row r="90" spans="1:9" ht="33.75" x14ac:dyDescent="0.2">
      <c r="A90" s="582">
        <v>82</v>
      </c>
      <c r="B90" s="494" t="s">
        <v>1198</v>
      </c>
      <c r="C90" s="494" t="s">
        <v>1131</v>
      </c>
      <c r="D90" s="398" t="s">
        <v>552</v>
      </c>
      <c r="E90" s="583" t="s">
        <v>1269</v>
      </c>
      <c r="F90" s="583" t="s">
        <v>1215</v>
      </c>
      <c r="G90" s="494">
        <v>7</v>
      </c>
      <c r="H90" s="419">
        <v>280</v>
      </c>
      <c r="I90" s="419">
        <v>280</v>
      </c>
    </row>
    <row r="91" spans="1:9" ht="33.75" x14ac:dyDescent="0.2">
      <c r="A91" s="582">
        <v>83</v>
      </c>
      <c r="B91" s="494" t="s">
        <v>1167</v>
      </c>
      <c r="C91" s="494" t="s">
        <v>1168</v>
      </c>
      <c r="D91" s="412" t="s">
        <v>1169</v>
      </c>
      <c r="E91" s="583" t="s">
        <v>1269</v>
      </c>
      <c r="F91" s="583" t="s">
        <v>1215</v>
      </c>
      <c r="G91" s="494">
        <v>7</v>
      </c>
      <c r="H91" s="419">
        <v>280</v>
      </c>
      <c r="I91" s="419">
        <v>280</v>
      </c>
    </row>
    <row r="92" spans="1:9" ht="33.75" x14ac:dyDescent="0.2">
      <c r="A92" s="582">
        <v>84</v>
      </c>
      <c r="B92" s="494" t="s">
        <v>680</v>
      </c>
      <c r="C92" s="494" t="s">
        <v>1199</v>
      </c>
      <c r="D92" s="412" t="s">
        <v>1200</v>
      </c>
      <c r="E92" s="583" t="s">
        <v>1269</v>
      </c>
      <c r="F92" s="583" t="s">
        <v>1215</v>
      </c>
      <c r="G92" s="494">
        <v>7</v>
      </c>
      <c r="H92" s="419">
        <v>280</v>
      </c>
      <c r="I92" s="419">
        <v>280</v>
      </c>
    </row>
    <row r="93" spans="1:9" ht="33.75" x14ac:dyDescent="0.2">
      <c r="A93" s="582">
        <v>85</v>
      </c>
      <c r="B93" s="494" t="s">
        <v>1182</v>
      </c>
      <c r="C93" s="494" t="s">
        <v>1183</v>
      </c>
      <c r="D93" s="412" t="s">
        <v>1184</v>
      </c>
      <c r="E93" s="583" t="s">
        <v>1269</v>
      </c>
      <c r="F93" s="583" t="s">
        <v>1215</v>
      </c>
      <c r="G93" s="494">
        <v>7</v>
      </c>
      <c r="H93" s="419">
        <v>280</v>
      </c>
      <c r="I93" s="419">
        <v>280</v>
      </c>
    </row>
    <row r="94" spans="1:9" ht="33.75" x14ac:dyDescent="0.2">
      <c r="A94" s="582">
        <v>86</v>
      </c>
      <c r="B94" s="494" t="s">
        <v>1179</v>
      </c>
      <c r="C94" s="494" t="s">
        <v>1180</v>
      </c>
      <c r="D94" s="412" t="s">
        <v>1181</v>
      </c>
      <c r="E94" s="583" t="s">
        <v>1269</v>
      </c>
      <c r="F94" s="583" t="s">
        <v>1215</v>
      </c>
      <c r="G94" s="494">
        <v>7</v>
      </c>
      <c r="H94" s="419">
        <v>280</v>
      </c>
      <c r="I94" s="419">
        <v>280</v>
      </c>
    </row>
    <row r="95" spans="1:9" ht="33.75" x14ac:dyDescent="0.2">
      <c r="A95" s="582">
        <v>87</v>
      </c>
      <c r="B95" s="494" t="s">
        <v>1158</v>
      </c>
      <c r="C95" s="494" t="s">
        <v>668</v>
      </c>
      <c r="D95" s="398" t="s">
        <v>560</v>
      </c>
      <c r="E95" s="583" t="s">
        <v>1269</v>
      </c>
      <c r="F95" s="583" t="s">
        <v>1286</v>
      </c>
      <c r="G95" s="494">
        <v>6</v>
      </c>
      <c r="H95" s="419">
        <v>240</v>
      </c>
      <c r="I95" s="419">
        <v>240</v>
      </c>
    </row>
    <row r="96" spans="1:9" ht="33.75" x14ac:dyDescent="0.2">
      <c r="A96" s="582">
        <v>88</v>
      </c>
      <c r="B96" s="494" t="s">
        <v>1129</v>
      </c>
      <c r="C96" s="494" t="s">
        <v>681</v>
      </c>
      <c r="D96" s="398" t="s">
        <v>679</v>
      </c>
      <c r="E96" s="583" t="s">
        <v>1269</v>
      </c>
      <c r="F96" s="583" t="s">
        <v>1286</v>
      </c>
      <c r="G96" s="494">
        <v>6</v>
      </c>
      <c r="H96" s="419">
        <v>240</v>
      </c>
      <c r="I96" s="419">
        <v>240</v>
      </c>
    </row>
    <row r="97" spans="1:9" ht="33.75" x14ac:dyDescent="0.2">
      <c r="A97" s="582">
        <v>89</v>
      </c>
      <c r="B97" s="494" t="s">
        <v>672</v>
      </c>
      <c r="C97" s="494" t="s">
        <v>673</v>
      </c>
      <c r="D97" s="398" t="s">
        <v>1160</v>
      </c>
      <c r="E97" s="583" t="s">
        <v>1269</v>
      </c>
      <c r="F97" s="583" t="s">
        <v>1286</v>
      </c>
      <c r="G97" s="494">
        <v>6</v>
      </c>
      <c r="H97" s="419">
        <v>240</v>
      </c>
      <c r="I97" s="419">
        <v>240</v>
      </c>
    </row>
    <row r="98" spans="1:9" ht="33.75" x14ac:dyDescent="0.2">
      <c r="A98" s="582">
        <v>90</v>
      </c>
      <c r="B98" s="494" t="s">
        <v>1177</v>
      </c>
      <c r="C98" s="494" t="s">
        <v>1178</v>
      </c>
      <c r="D98" s="398" t="s">
        <v>1165</v>
      </c>
      <c r="E98" s="583" t="s">
        <v>1269</v>
      </c>
      <c r="F98" s="583" t="s">
        <v>1286</v>
      </c>
      <c r="G98" s="494">
        <v>6</v>
      </c>
      <c r="H98" s="419">
        <v>240</v>
      </c>
      <c r="I98" s="419">
        <v>240</v>
      </c>
    </row>
    <row r="99" spans="1:9" ht="33.75" x14ac:dyDescent="0.2">
      <c r="A99" s="582">
        <v>91</v>
      </c>
      <c r="B99" s="494" t="s">
        <v>892</v>
      </c>
      <c r="C99" s="494" t="s">
        <v>1162</v>
      </c>
      <c r="D99" s="494">
        <v>65002007395</v>
      </c>
      <c r="E99" s="583" t="s">
        <v>1269</v>
      </c>
      <c r="F99" s="583" t="s">
        <v>1287</v>
      </c>
      <c r="G99" s="494">
        <v>6</v>
      </c>
      <c r="H99" s="419">
        <v>240</v>
      </c>
      <c r="I99" s="419">
        <v>240</v>
      </c>
    </row>
    <row r="100" spans="1:9" ht="33.75" x14ac:dyDescent="0.2">
      <c r="A100" s="582">
        <v>92</v>
      </c>
      <c r="B100" s="494" t="s">
        <v>892</v>
      </c>
      <c r="C100" s="494" t="s">
        <v>1159</v>
      </c>
      <c r="D100" s="398" t="s">
        <v>570</v>
      </c>
      <c r="E100" s="583" t="s">
        <v>1269</v>
      </c>
      <c r="F100" s="583" t="s">
        <v>1287</v>
      </c>
      <c r="G100" s="494">
        <v>6</v>
      </c>
      <c r="H100" s="419">
        <v>240</v>
      </c>
      <c r="I100" s="419">
        <v>240</v>
      </c>
    </row>
    <row r="101" spans="1:9" ht="33.75" x14ac:dyDescent="0.2">
      <c r="A101" s="582">
        <v>93</v>
      </c>
      <c r="B101" s="494" t="s">
        <v>676</v>
      </c>
      <c r="C101" s="494" t="s">
        <v>677</v>
      </c>
      <c r="D101" s="398" t="s">
        <v>572</v>
      </c>
      <c r="E101" s="583" t="s">
        <v>1269</v>
      </c>
      <c r="F101" s="583" t="s">
        <v>1287</v>
      </c>
      <c r="G101" s="494">
        <v>6</v>
      </c>
      <c r="H101" s="419">
        <v>240</v>
      </c>
      <c r="I101" s="419">
        <v>240</v>
      </c>
    </row>
    <row r="102" spans="1:9" ht="33.75" x14ac:dyDescent="0.2">
      <c r="A102" s="582">
        <v>94</v>
      </c>
      <c r="B102" s="494" t="s">
        <v>739</v>
      </c>
      <c r="C102" s="494" t="s">
        <v>1193</v>
      </c>
      <c r="D102" s="398" t="s">
        <v>550</v>
      </c>
      <c r="E102" s="583" t="s">
        <v>1269</v>
      </c>
      <c r="F102" s="583" t="s">
        <v>1287</v>
      </c>
      <c r="G102" s="494">
        <v>6</v>
      </c>
      <c r="H102" s="419">
        <v>240</v>
      </c>
      <c r="I102" s="419">
        <v>240</v>
      </c>
    </row>
    <row r="103" spans="1:9" ht="33.75" x14ac:dyDescent="0.2">
      <c r="A103" s="582">
        <v>95</v>
      </c>
      <c r="B103" s="494" t="s">
        <v>1198</v>
      </c>
      <c r="C103" s="494" t="s">
        <v>1131</v>
      </c>
      <c r="D103" s="398" t="s">
        <v>552</v>
      </c>
      <c r="E103" s="583" t="s">
        <v>1269</v>
      </c>
      <c r="F103" s="583" t="s">
        <v>1287</v>
      </c>
      <c r="G103" s="494">
        <v>6</v>
      </c>
      <c r="H103" s="419">
        <v>240</v>
      </c>
      <c r="I103" s="419">
        <v>240</v>
      </c>
    </row>
    <row r="104" spans="1:9" ht="45" x14ac:dyDescent="0.2">
      <c r="A104" s="582">
        <v>96</v>
      </c>
      <c r="B104" s="494" t="s">
        <v>920</v>
      </c>
      <c r="C104" s="494" t="s">
        <v>1257</v>
      </c>
      <c r="D104" s="398" t="s">
        <v>1258</v>
      </c>
      <c r="E104" s="583" t="s">
        <v>1288</v>
      </c>
      <c r="F104" s="583" t="s">
        <v>1289</v>
      </c>
      <c r="G104" s="494">
        <v>5</v>
      </c>
      <c r="H104" s="419">
        <v>200</v>
      </c>
      <c r="I104" s="419">
        <v>200</v>
      </c>
    </row>
    <row r="105" spans="1:9" ht="45" x14ac:dyDescent="0.2">
      <c r="A105" s="582">
        <v>97</v>
      </c>
      <c r="B105" s="494" t="s">
        <v>1185</v>
      </c>
      <c r="C105" s="494" t="s">
        <v>1186</v>
      </c>
      <c r="D105" s="398" t="s">
        <v>548</v>
      </c>
      <c r="E105" s="583" t="s">
        <v>1288</v>
      </c>
      <c r="F105" s="583" t="s">
        <v>1289</v>
      </c>
      <c r="G105" s="494">
        <v>5</v>
      </c>
      <c r="H105" s="419">
        <v>200</v>
      </c>
      <c r="I105" s="419">
        <f t="shared" ref="I105:I124" si="3">40*G105</f>
        <v>200</v>
      </c>
    </row>
    <row r="106" spans="1:9" ht="45" x14ac:dyDescent="0.2">
      <c r="A106" s="582">
        <v>98</v>
      </c>
      <c r="B106" s="494" t="s">
        <v>672</v>
      </c>
      <c r="C106" s="494" t="s">
        <v>673</v>
      </c>
      <c r="D106" s="398" t="s">
        <v>1160</v>
      </c>
      <c r="E106" s="583" t="s">
        <v>1290</v>
      </c>
      <c r="F106" s="583" t="s">
        <v>1219</v>
      </c>
      <c r="G106" s="494">
        <v>2</v>
      </c>
      <c r="H106" s="419">
        <v>80</v>
      </c>
      <c r="I106" s="419">
        <f t="shared" si="3"/>
        <v>80</v>
      </c>
    </row>
    <row r="107" spans="1:9" ht="45" x14ac:dyDescent="0.2">
      <c r="A107" s="582">
        <v>99</v>
      </c>
      <c r="B107" s="494" t="s">
        <v>892</v>
      </c>
      <c r="C107" s="494" t="s">
        <v>1159</v>
      </c>
      <c r="D107" s="398" t="s">
        <v>570</v>
      </c>
      <c r="E107" s="583" t="s">
        <v>1290</v>
      </c>
      <c r="F107" s="583" t="s">
        <v>1219</v>
      </c>
      <c r="G107" s="494">
        <v>2</v>
      </c>
      <c r="H107" s="419">
        <v>80</v>
      </c>
      <c r="I107" s="419">
        <f t="shared" si="3"/>
        <v>80</v>
      </c>
    </row>
    <row r="108" spans="1:9" ht="45" x14ac:dyDescent="0.2">
      <c r="A108" s="582">
        <v>100</v>
      </c>
      <c r="B108" s="494" t="s">
        <v>1129</v>
      </c>
      <c r="C108" s="494" t="s">
        <v>681</v>
      </c>
      <c r="D108" s="398" t="s">
        <v>679</v>
      </c>
      <c r="E108" s="583" t="s">
        <v>1290</v>
      </c>
      <c r="F108" s="583" t="s">
        <v>1219</v>
      </c>
      <c r="G108" s="494">
        <v>2</v>
      </c>
      <c r="H108" s="419">
        <f>80+50</f>
        <v>130</v>
      </c>
      <c r="I108" s="419">
        <f>40*G108+50</f>
        <v>130</v>
      </c>
    </row>
    <row r="109" spans="1:9" ht="45" x14ac:dyDescent="0.2">
      <c r="A109" s="582">
        <v>101</v>
      </c>
      <c r="B109" s="494" t="s">
        <v>1158</v>
      </c>
      <c r="C109" s="494" t="s">
        <v>668</v>
      </c>
      <c r="D109" s="398" t="s">
        <v>560</v>
      </c>
      <c r="E109" s="583" t="s">
        <v>1290</v>
      </c>
      <c r="F109" s="583" t="s">
        <v>1219</v>
      </c>
      <c r="G109" s="494">
        <v>2</v>
      </c>
      <c r="H109" s="419">
        <f>80+50</f>
        <v>130</v>
      </c>
      <c r="I109" s="419">
        <f>40*G109+50</f>
        <v>130</v>
      </c>
    </row>
    <row r="110" spans="1:9" ht="31.5" customHeight="1" x14ac:dyDescent="0.2">
      <c r="A110" s="582">
        <v>102</v>
      </c>
      <c r="B110" s="494" t="s">
        <v>1187</v>
      </c>
      <c r="C110" s="494" t="s">
        <v>663</v>
      </c>
      <c r="D110" s="398" t="s">
        <v>564</v>
      </c>
      <c r="E110" s="583" t="s">
        <v>1291</v>
      </c>
      <c r="F110" s="583" t="s">
        <v>1292</v>
      </c>
      <c r="G110" s="494">
        <v>2</v>
      </c>
      <c r="H110" s="419">
        <v>80</v>
      </c>
      <c r="I110" s="419">
        <v>80</v>
      </c>
    </row>
    <row r="111" spans="1:9" ht="31.5" customHeight="1" x14ac:dyDescent="0.2">
      <c r="A111" s="582">
        <v>103</v>
      </c>
      <c r="B111" s="494" t="s">
        <v>676</v>
      </c>
      <c r="C111" s="494" t="s">
        <v>677</v>
      </c>
      <c r="D111" s="398" t="s">
        <v>572</v>
      </c>
      <c r="E111" s="583" t="s">
        <v>1291</v>
      </c>
      <c r="F111" s="583" t="s">
        <v>1292</v>
      </c>
      <c r="G111" s="494">
        <v>2</v>
      </c>
      <c r="H111" s="419">
        <v>80</v>
      </c>
      <c r="I111" s="419">
        <v>80</v>
      </c>
    </row>
    <row r="112" spans="1:9" ht="31.5" customHeight="1" x14ac:dyDescent="0.2">
      <c r="A112" s="582">
        <v>104</v>
      </c>
      <c r="B112" s="494" t="s">
        <v>892</v>
      </c>
      <c r="C112" s="494" t="s">
        <v>1159</v>
      </c>
      <c r="D112" s="398" t="s">
        <v>570</v>
      </c>
      <c r="E112" s="583" t="s">
        <v>1291</v>
      </c>
      <c r="F112" s="583" t="s">
        <v>1292</v>
      </c>
      <c r="G112" s="494">
        <v>2</v>
      </c>
      <c r="H112" s="419">
        <v>80</v>
      </c>
      <c r="I112" s="419">
        <v>80</v>
      </c>
    </row>
    <row r="113" spans="1:9" ht="31.5" customHeight="1" x14ac:dyDescent="0.2">
      <c r="A113" s="582">
        <v>105</v>
      </c>
      <c r="B113" s="494" t="s">
        <v>1129</v>
      </c>
      <c r="C113" s="494" t="s">
        <v>681</v>
      </c>
      <c r="D113" s="398" t="s">
        <v>679</v>
      </c>
      <c r="E113" s="583" t="s">
        <v>1291</v>
      </c>
      <c r="F113" s="583" t="s">
        <v>1293</v>
      </c>
      <c r="G113" s="494">
        <v>2</v>
      </c>
      <c r="H113" s="419">
        <v>80</v>
      </c>
      <c r="I113" s="419">
        <v>80</v>
      </c>
    </row>
    <row r="114" spans="1:9" ht="31.5" customHeight="1" x14ac:dyDescent="0.2">
      <c r="A114" s="582">
        <v>106</v>
      </c>
      <c r="B114" s="494" t="s">
        <v>1158</v>
      </c>
      <c r="C114" s="494" t="s">
        <v>668</v>
      </c>
      <c r="D114" s="398" t="s">
        <v>560</v>
      </c>
      <c r="E114" s="583" t="s">
        <v>1291</v>
      </c>
      <c r="F114" s="583" t="s">
        <v>1293</v>
      </c>
      <c r="G114" s="494">
        <v>2</v>
      </c>
      <c r="H114" s="419">
        <v>80</v>
      </c>
      <c r="I114" s="419">
        <v>80</v>
      </c>
    </row>
    <row r="115" spans="1:9" ht="31.5" customHeight="1" x14ac:dyDescent="0.2">
      <c r="A115" s="582">
        <v>107</v>
      </c>
      <c r="B115" s="494" t="s">
        <v>672</v>
      </c>
      <c r="C115" s="494" t="s">
        <v>673</v>
      </c>
      <c r="D115" s="398" t="s">
        <v>1160</v>
      </c>
      <c r="E115" s="583" t="s">
        <v>1291</v>
      </c>
      <c r="F115" s="583" t="s">
        <v>1293</v>
      </c>
      <c r="G115" s="494">
        <v>2</v>
      </c>
      <c r="H115" s="419">
        <v>80</v>
      </c>
      <c r="I115" s="419">
        <v>80</v>
      </c>
    </row>
    <row r="116" spans="1:9" ht="33.75" x14ac:dyDescent="0.2">
      <c r="A116" s="582">
        <v>108</v>
      </c>
      <c r="B116" s="494" t="s">
        <v>1129</v>
      </c>
      <c r="C116" s="494" t="s">
        <v>681</v>
      </c>
      <c r="D116" s="398" t="s">
        <v>679</v>
      </c>
      <c r="E116" s="583" t="s">
        <v>1269</v>
      </c>
      <c r="F116" s="583" t="s">
        <v>1294</v>
      </c>
      <c r="G116" s="494">
        <v>7</v>
      </c>
      <c r="H116" s="419">
        <v>280</v>
      </c>
      <c r="I116" s="419">
        <f>40*G116</f>
        <v>280</v>
      </c>
    </row>
    <row r="117" spans="1:9" ht="33.75" x14ac:dyDescent="0.2">
      <c r="A117" s="582">
        <v>109</v>
      </c>
      <c r="B117" s="494" t="s">
        <v>892</v>
      </c>
      <c r="C117" s="494" t="s">
        <v>1166</v>
      </c>
      <c r="D117" s="412" t="s">
        <v>562</v>
      </c>
      <c r="E117" s="583" t="s">
        <v>1269</v>
      </c>
      <c r="F117" s="583" t="s">
        <v>1294</v>
      </c>
      <c r="G117" s="494">
        <v>7</v>
      </c>
      <c r="H117" s="419">
        <v>280</v>
      </c>
      <c r="I117" s="419">
        <f>40*G117</f>
        <v>280</v>
      </c>
    </row>
    <row r="118" spans="1:9" ht="33.75" x14ac:dyDescent="0.2">
      <c r="A118" s="582">
        <v>110</v>
      </c>
      <c r="B118" s="494" t="s">
        <v>892</v>
      </c>
      <c r="C118" s="494" t="s">
        <v>1159</v>
      </c>
      <c r="D118" s="398" t="s">
        <v>570</v>
      </c>
      <c r="E118" s="583" t="s">
        <v>1269</v>
      </c>
      <c r="F118" s="583" t="s">
        <v>1294</v>
      </c>
      <c r="G118" s="494">
        <v>7</v>
      </c>
      <c r="H118" s="419">
        <v>280</v>
      </c>
      <c r="I118" s="419">
        <f>40*G118</f>
        <v>280</v>
      </c>
    </row>
    <row r="119" spans="1:9" ht="33.75" x14ac:dyDescent="0.2">
      <c r="A119" s="582">
        <v>111</v>
      </c>
      <c r="B119" s="494" t="s">
        <v>1177</v>
      </c>
      <c r="C119" s="494" t="s">
        <v>1178</v>
      </c>
      <c r="D119" s="398" t="s">
        <v>1165</v>
      </c>
      <c r="E119" s="583" t="s">
        <v>1269</v>
      </c>
      <c r="F119" s="583" t="s">
        <v>1294</v>
      </c>
      <c r="G119" s="494">
        <v>7</v>
      </c>
      <c r="H119" s="419">
        <v>280</v>
      </c>
      <c r="I119" s="419">
        <f>40*G119</f>
        <v>280</v>
      </c>
    </row>
    <row r="120" spans="1:9" ht="33.75" x14ac:dyDescent="0.2">
      <c r="A120" s="582">
        <v>112</v>
      </c>
      <c r="B120" s="494" t="s">
        <v>676</v>
      </c>
      <c r="C120" s="494" t="s">
        <v>677</v>
      </c>
      <c r="D120" s="398" t="s">
        <v>572</v>
      </c>
      <c r="E120" s="583" t="s">
        <v>1269</v>
      </c>
      <c r="F120" s="583" t="s">
        <v>1294</v>
      </c>
      <c r="G120" s="494">
        <v>7</v>
      </c>
      <c r="H120" s="419">
        <v>280</v>
      </c>
      <c r="I120" s="419">
        <f t="shared" si="3"/>
        <v>280</v>
      </c>
    </row>
    <row r="121" spans="1:9" ht="33.75" x14ac:dyDescent="0.2">
      <c r="A121" s="582">
        <v>113</v>
      </c>
      <c r="B121" s="494" t="s">
        <v>1158</v>
      </c>
      <c r="C121" s="494" t="s">
        <v>668</v>
      </c>
      <c r="D121" s="398" t="s">
        <v>560</v>
      </c>
      <c r="E121" s="583" t="s">
        <v>1269</v>
      </c>
      <c r="F121" s="583" t="s">
        <v>1295</v>
      </c>
      <c r="G121" s="494">
        <v>7</v>
      </c>
      <c r="H121" s="419">
        <v>280</v>
      </c>
      <c r="I121" s="419">
        <f t="shared" si="3"/>
        <v>280</v>
      </c>
    </row>
    <row r="122" spans="1:9" ht="33.75" x14ac:dyDescent="0.2">
      <c r="A122" s="582">
        <v>114</v>
      </c>
      <c r="B122" s="494" t="s">
        <v>1185</v>
      </c>
      <c r="C122" s="494" t="s">
        <v>1186</v>
      </c>
      <c r="D122" s="398" t="s">
        <v>548</v>
      </c>
      <c r="E122" s="583" t="s">
        <v>1269</v>
      </c>
      <c r="F122" s="583" t="s">
        <v>1295</v>
      </c>
      <c r="G122" s="494">
        <v>7</v>
      </c>
      <c r="H122" s="419">
        <v>280</v>
      </c>
      <c r="I122" s="419">
        <f t="shared" si="3"/>
        <v>280</v>
      </c>
    </row>
    <row r="123" spans="1:9" ht="33.75" x14ac:dyDescent="0.2">
      <c r="A123" s="582">
        <v>115</v>
      </c>
      <c r="B123" s="494" t="s">
        <v>892</v>
      </c>
      <c r="C123" s="494" t="s">
        <v>1162</v>
      </c>
      <c r="D123" s="494">
        <v>65002007395</v>
      </c>
      <c r="E123" s="583" t="s">
        <v>1269</v>
      </c>
      <c r="F123" s="583" t="s">
        <v>1295</v>
      </c>
      <c r="G123" s="494">
        <v>7</v>
      </c>
      <c r="H123" s="419">
        <v>280</v>
      </c>
      <c r="I123" s="419">
        <f t="shared" si="3"/>
        <v>280</v>
      </c>
    </row>
    <row r="124" spans="1:9" ht="33.75" x14ac:dyDescent="0.2">
      <c r="A124" s="582">
        <v>116</v>
      </c>
      <c r="B124" s="494" t="s">
        <v>672</v>
      </c>
      <c r="C124" s="494" t="s">
        <v>673</v>
      </c>
      <c r="D124" s="398" t="s">
        <v>1160</v>
      </c>
      <c r="E124" s="583" t="s">
        <v>1269</v>
      </c>
      <c r="F124" s="583" t="s">
        <v>1295</v>
      </c>
      <c r="G124" s="494">
        <v>7</v>
      </c>
      <c r="H124" s="419">
        <v>280</v>
      </c>
      <c r="I124" s="419">
        <f t="shared" si="3"/>
        <v>280</v>
      </c>
    </row>
    <row r="125" spans="1:9" ht="48.75" customHeight="1" x14ac:dyDescent="0.2">
      <c r="A125" s="582">
        <v>117</v>
      </c>
      <c r="B125" s="494" t="s">
        <v>1158</v>
      </c>
      <c r="C125" s="494" t="s">
        <v>668</v>
      </c>
      <c r="D125" s="398" t="s">
        <v>560</v>
      </c>
      <c r="E125" s="585" t="s">
        <v>1236</v>
      </c>
      <c r="F125" s="574" t="s">
        <v>1237</v>
      </c>
      <c r="G125" s="494">
        <v>1</v>
      </c>
      <c r="H125" s="419">
        <v>0</v>
      </c>
      <c r="I125" s="419">
        <v>15</v>
      </c>
    </row>
    <row r="126" spans="1:9" ht="48.75" customHeight="1" x14ac:dyDescent="0.2">
      <c r="A126" s="582">
        <v>118</v>
      </c>
      <c r="B126" s="494" t="s">
        <v>936</v>
      </c>
      <c r="C126" s="494" t="s">
        <v>1220</v>
      </c>
      <c r="D126" s="398" t="s">
        <v>1191</v>
      </c>
      <c r="E126" s="585" t="s">
        <v>1236</v>
      </c>
      <c r="F126" s="574" t="s">
        <v>1237</v>
      </c>
      <c r="G126" s="494">
        <v>1</v>
      </c>
      <c r="H126" s="419">
        <v>0</v>
      </c>
      <c r="I126" s="419">
        <v>15</v>
      </c>
    </row>
    <row r="127" spans="1:9" ht="48.75" customHeight="1" x14ac:dyDescent="0.2">
      <c r="A127" s="582">
        <v>119</v>
      </c>
      <c r="B127" s="494" t="s">
        <v>1185</v>
      </c>
      <c r="C127" s="494" t="s">
        <v>1186</v>
      </c>
      <c r="D127" s="398" t="s">
        <v>548</v>
      </c>
      <c r="E127" s="585" t="s">
        <v>1236</v>
      </c>
      <c r="F127" s="574" t="s">
        <v>1237</v>
      </c>
      <c r="G127" s="494">
        <v>1</v>
      </c>
      <c r="H127" s="419">
        <v>0</v>
      </c>
      <c r="I127" s="419">
        <v>15</v>
      </c>
    </row>
    <row r="128" spans="1:9" ht="33.75" x14ac:dyDescent="0.2">
      <c r="A128" s="582">
        <v>120</v>
      </c>
      <c r="B128" s="494" t="s">
        <v>1158</v>
      </c>
      <c r="C128" s="494" t="s">
        <v>668</v>
      </c>
      <c r="D128" s="398" t="s">
        <v>560</v>
      </c>
      <c r="E128" s="583" t="s">
        <v>1269</v>
      </c>
      <c r="F128" s="527" t="s">
        <v>1215</v>
      </c>
      <c r="G128" s="494">
        <v>7</v>
      </c>
      <c r="H128" s="419">
        <v>105</v>
      </c>
      <c r="I128" s="419">
        <v>105</v>
      </c>
    </row>
    <row r="129" spans="1:9" ht="33.75" x14ac:dyDescent="0.2">
      <c r="A129" s="582">
        <v>121</v>
      </c>
      <c r="B129" s="494" t="s">
        <v>1296</v>
      </c>
      <c r="C129" s="494" t="s">
        <v>1171</v>
      </c>
      <c r="D129" s="398" t="s">
        <v>546</v>
      </c>
      <c r="E129" s="583" t="s">
        <v>1269</v>
      </c>
      <c r="F129" s="527" t="s">
        <v>1215</v>
      </c>
      <c r="G129" s="494">
        <v>7</v>
      </c>
      <c r="H129" s="419">
        <v>105</v>
      </c>
      <c r="I129" s="419">
        <v>105</v>
      </c>
    </row>
    <row r="130" spans="1:9" ht="33.75" x14ac:dyDescent="0.2">
      <c r="A130" s="582">
        <v>122</v>
      </c>
      <c r="B130" s="494" t="s">
        <v>1130</v>
      </c>
      <c r="C130" s="494" t="s">
        <v>1131</v>
      </c>
      <c r="D130" s="398" t="s">
        <v>552</v>
      </c>
      <c r="E130" s="583" t="s">
        <v>1269</v>
      </c>
      <c r="F130" s="527" t="s">
        <v>1215</v>
      </c>
      <c r="G130" s="494">
        <v>7</v>
      </c>
      <c r="H130" s="419">
        <v>105</v>
      </c>
      <c r="I130" s="419">
        <v>105</v>
      </c>
    </row>
    <row r="131" spans="1:9" ht="33.75" x14ac:dyDescent="0.2">
      <c r="A131" s="582">
        <v>123</v>
      </c>
      <c r="B131" s="494" t="s">
        <v>892</v>
      </c>
      <c r="C131" s="494" t="s">
        <v>1159</v>
      </c>
      <c r="D131" s="398" t="s">
        <v>570</v>
      </c>
      <c r="E131" s="583" t="s">
        <v>1269</v>
      </c>
      <c r="F131" s="527" t="s">
        <v>1215</v>
      </c>
      <c r="G131" s="494">
        <v>7</v>
      </c>
      <c r="H131" s="419">
        <v>105</v>
      </c>
      <c r="I131" s="419">
        <v>105</v>
      </c>
    </row>
    <row r="132" spans="1:9" ht="33.75" x14ac:dyDescent="0.2">
      <c r="A132" s="582">
        <v>124</v>
      </c>
      <c r="B132" s="504" t="s">
        <v>908</v>
      </c>
      <c r="C132" s="504" t="s">
        <v>1209</v>
      </c>
      <c r="D132" s="412" t="s">
        <v>1210</v>
      </c>
      <c r="E132" s="583" t="s">
        <v>1269</v>
      </c>
      <c r="F132" s="527" t="s">
        <v>1215</v>
      </c>
      <c r="G132" s="494">
        <v>7</v>
      </c>
      <c r="H132" s="419">
        <v>105</v>
      </c>
      <c r="I132" s="419">
        <v>105</v>
      </c>
    </row>
    <row r="133" spans="1:9" ht="33.75" x14ac:dyDescent="0.2">
      <c r="A133" s="582">
        <v>125</v>
      </c>
      <c r="B133" s="494" t="s">
        <v>1129</v>
      </c>
      <c r="C133" s="494" t="s">
        <v>681</v>
      </c>
      <c r="D133" s="398" t="s">
        <v>679</v>
      </c>
      <c r="E133" s="583" t="s">
        <v>1269</v>
      </c>
      <c r="F133" s="527" t="s">
        <v>1192</v>
      </c>
      <c r="G133" s="494">
        <v>7</v>
      </c>
      <c r="H133" s="419">
        <v>105</v>
      </c>
      <c r="I133" s="419">
        <v>105</v>
      </c>
    </row>
    <row r="134" spans="1:9" ht="33.75" x14ac:dyDescent="0.2">
      <c r="A134" s="582">
        <v>126</v>
      </c>
      <c r="B134" s="494" t="s">
        <v>747</v>
      </c>
      <c r="C134" s="494" t="s">
        <v>1176</v>
      </c>
      <c r="D134" s="398" t="s">
        <v>1195</v>
      </c>
      <c r="E134" s="583" t="s">
        <v>1269</v>
      </c>
      <c r="F134" s="527" t="s">
        <v>1192</v>
      </c>
      <c r="G134" s="494">
        <v>7</v>
      </c>
      <c r="H134" s="419">
        <v>105</v>
      </c>
      <c r="I134" s="419">
        <v>105</v>
      </c>
    </row>
    <row r="135" spans="1:9" ht="33.75" x14ac:dyDescent="0.2">
      <c r="A135" s="582">
        <v>127</v>
      </c>
      <c r="B135" s="494" t="s">
        <v>1167</v>
      </c>
      <c r="C135" s="494" t="s">
        <v>1196</v>
      </c>
      <c r="D135" s="398" t="s">
        <v>1197</v>
      </c>
      <c r="E135" s="583" t="s">
        <v>1269</v>
      </c>
      <c r="F135" s="527" t="s">
        <v>1192</v>
      </c>
      <c r="G135" s="494">
        <v>7</v>
      </c>
      <c r="H135" s="419">
        <v>105</v>
      </c>
      <c r="I135" s="419">
        <v>105</v>
      </c>
    </row>
    <row r="136" spans="1:9" ht="33.75" x14ac:dyDescent="0.2">
      <c r="A136" s="582">
        <v>128</v>
      </c>
      <c r="B136" s="494" t="s">
        <v>1271</v>
      </c>
      <c r="C136" s="494" t="s">
        <v>1180</v>
      </c>
      <c r="D136" s="558" t="s">
        <v>1181</v>
      </c>
      <c r="E136" s="583" t="s">
        <v>1269</v>
      </c>
      <c r="F136" s="527" t="s">
        <v>1192</v>
      </c>
      <c r="G136" s="494">
        <v>7</v>
      </c>
      <c r="H136" s="419">
        <v>105</v>
      </c>
      <c r="I136" s="419">
        <v>105</v>
      </c>
    </row>
    <row r="137" spans="1:9" ht="33.75" x14ac:dyDescent="0.2">
      <c r="A137" s="582">
        <v>129</v>
      </c>
      <c r="B137" s="494" t="s">
        <v>1129</v>
      </c>
      <c r="C137" s="494" t="s">
        <v>1199</v>
      </c>
      <c r="D137" s="558" t="s">
        <v>1200</v>
      </c>
      <c r="E137" s="583" t="s">
        <v>1269</v>
      </c>
      <c r="F137" s="527" t="s">
        <v>1192</v>
      </c>
      <c r="G137" s="494">
        <v>7</v>
      </c>
      <c r="H137" s="419">
        <v>105</v>
      </c>
      <c r="I137" s="419">
        <v>105</v>
      </c>
    </row>
    <row r="138" spans="1:9" ht="33.75" x14ac:dyDescent="0.2">
      <c r="A138" s="582">
        <v>130</v>
      </c>
      <c r="B138" s="494" t="s">
        <v>892</v>
      </c>
      <c r="C138" s="494" t="s">
        <v>1162</v>
      </c>
      <c r="D138" s="398">
        <v>65002007395</v>
      </c>
      <c r="E138" s="583" t="s">
        <v>1269</v>
      </c>
      <c r="F138" s="527" t="s">
        <v>1294</v>
      </c>
      <c r="G138" s="494">
        <v>7</v>
      </c>
      <c r="H138" s="419">
        <v>105</v>
      </c>
      <c r="I138" s="419">
        <v>105</v>
      </c>
    </row>
    <row r="139" spans="1:9" ht="33.75" x14ac:dyDescent="0.2">
      <c r="A139" s="582">
        <v>131</v>
      </c>
      <c r="B139" s="494" t="s">
        <v>672</v>
      </c>
      <c r="C139" s="494" t="s">
        <v>673</v>
      </c>
      <c r="D139" s="398" t="s">
        <v>1160</v>
      </c>
      <c r="E139" s="583" t="s">
        <v>1269</v>
      </c>
      <c r="F139" s="527" t="s">
        <v>1294</v>
      </c>
      <c r="G139" s="494">
        <v>7</v>
      </c>
      <c r="H139" s="419">
        <v>105</v>
      </c>
      <c r="I139" s="419">
        <v>105</v>
      </c>
    </row>
    <row r="140" spans="1:9" ht="33.75" x14ac:dyDescent="0.2">
      <c r="A140" s="582">
        <v>132</v>
      </c>
      <c r="B140" s="494" t="s">
        <v>1167</v>
      </c>
      <c r="C140" s="494" t="s">
        <v>1297</v>
      </c>
      <c r="D140" s="398" t="s">
        <v>1301</v>
      </c>
      <c r="E140" s="583" t="s">
        <v>1269</v>
      </c>
      <c r="F140" s="527" t="s">
        <v>1294</v>
      </c>
      <c r="G140" s="494">
        <v>7</v>
      </c>
      <c r="H140" s="419">
        <v>105</v>
      </c>
      <c r="I140" s="419">
        <v>105</v>
      </c>
    </row>
    <row r="141" spans="1:9" ht="33.75" x14ac:dyDescent="0.2">
      <c r="A141" s="582">
        <v>133</v>
      </c>
      <c r="B141" s="494" t="s">
        <v>1298</v>
      </c>
      <c r="C141" s="494" t="s">
        <v>1299</v>
      </c>
      <c r="D141" s="398" t="s">
        <v>1302</v>
      </c>
      <c r="E141" s="583" t="s">
        <v>1269</v>
      </c>
      <c r="F141" s="527" t="s">
        <v>1294</v>
      </c>
      <c r="G141" s="494">
        <v>7</v>
      </c>
      <c r="H141" s="419">
        <v>105</v>
      </c>
      <c r="I141" s="419">
        <v>105</v>
      </c>
    </row>
    <row r="142" spans="1:9" ht="33.75" x14ac:dyDescent="0.2">
      <c r="A142" s="582">
        <v>134</v>
      </c>
      <c r="B142" s="494" t="s">
        <v>1167</v>
      </c>
      <c r="C142" s="494" t="s">
        <v>1168</v>
      </c>
      <c r="D142" s="558" t="s">
        <v>1169</v>
      </c>
      <c r="E142" s="583" t="s">
        <v>1269</v>
      </c>
      <c r="F142" s="527" t="s">
        <v>1294</v>
      </c>
      <c r="G142" s="494">
        <v>7</v>
      </c>
      <c r="H142" s="419">
        <v>105</v>
      </c>
      <c r="I142" s="419">
        <v>105</v>
      </c>
    </row>
    <row r="143" spans="1:9" ht="33.75" x14ac:dyDescent="0.2">
      <c r="A143" s="582">
        <v>135</v>
      </c>
      <c r="B143" s="494" t="s">
        <v>676</v>
      </c>
      <c r="C143" s="494" t="s">
        <v>677</v>
      </c>
      <c r="D143" s="398" t="s">
        <v>572</v>
      </c>
      <c r="E143" s="583" t="s">
        <v>1269</v>
      </c>
      <c r="F143" s="527" t="s">
        <v>1286</v>
      </c>
      <c r="G143" s="494">
        <v>7</v>
      </c>
      <c r="H143" s="419">
        <v>105</v>
      </c>
      <c r="I143" s="419">
        <v>105</v>
      </c>
    </row>
    <row r="144" spans="1:9" ht="33.75" x14ac:dyDescent="0.2">
      <c r="A144" s="582">
        <v>136</v>
      </c>
      <c r="B144" s="494" t="s">
        <v>739</v>
      </c>
      <c r="C144" s="494" t="s">
        <v>1193</v>
      </c>
      <c r="D144" s="398" t="s">
        <v>550</v>
      </c>
      <c r="E144" s="583" t="s">
        <v>1269</v>
      </c>
      <c r="F144" s="527" t="s">
        <v>1286</v>
      </c>
      <c r="G144" s="494">
        <v>7</v>
      </c>
      <c r="H144" s="419">
        <v>105</v>
      </c>
      <c r="I144" s="419">
        <v>105</v>
      </c>
    </row>
    <row r="145" spans="1:9" ht="33.75" x14ac:dyDescent="0.2">
      <c r="A145" s="582">
        <v>137</v>
      </c>
      <c r="B145" s="494" t="s">
        <v>1185</v>
      </c>
      <c r="C145" s="494" t="s">
        <v>1186</v>
      </c>
      <c r="D145" s="559" t="s">
        <v>548</v>
      </c>
      <c r="E145" s="583" t="s">
        <v>1269</v>
      </c>
      <c r="F145" s="527" t="s">
        <v>1286</v>
      </c>
      <c r="G145" s="494">
        <v>7</v>
      </c>
      <c r="H145" s="419">
        <v>105</v>
      </c>
      <c r="I145" s="419">
        <v>105</v>
      </c>
    </row>
    <row r="146" spans="1:9" ht="33.75" x14ac:dyDescent="0.2">
      <c r="A146" s="582">
        <v>138</v>
      </c>
      <c r="B146" s="494" t="s">
        <v>1182</v>
      </c>
      <c r="C146" s="494" t="s">
        <v>1183</v>
      </c>
      <c r="D146" s="558" t="s">
        <v>1184</v>
      </c>
      <c r="E146" s="583" t="s">
        <v>1269</v>
      </c>
      <c r="F146" s="527" t="s">
        <v>1286</v>
      </c>
      <c r="G146" s="494">
        <v>7</v>
      </c>
      <c r="H146" s="419">
        <v>105</v>
      </c>
      <c r="I146" s="419">
        <v>105</v>
      </c>
    </row>
    <row r="147" spans="1:9" ht="33.75" x14ac:dyDescent="0.2">
      <c r="A147" s="582">
        <v>139</v>
      </c>
      <c r="B147" s="504" t="s">
        <v>892</v>
      </c>
      <c r="C147" s="504" t="s">
        <v>1300</v>
      </c>
      <c r="D147" s="558" t="s">
        <v>562</v>
      </c>
      <c r="E147" s="583" t="s">
        <v>1269</v>
      </c>
      <c r="F147" s="527" t="s">
        <v>1286</v>
      </c>
      <c r="G147" s="494">
        <v>7</v>
      </c>
      <c r="H147" s="419">
        <v>105</v>
      </c>
      <c r="I147" s="419">
        <v>105</v>
      </c>
    </row>
    <row r="148" spans="1:9" ht="38.25" customHeight="1" x14ac:dyDescent="0.2">
      <c r="A148" s="582">
        <v>140</v>
      </c>
      <c r="B148" s="494" t="s">
        <v>1129</v>
      </c>
      <c r="C148" s="494" t="s">
        <v>681</v>
      </c>
      <c r="D148" s="398" t="s">
        <v>679</v>
      </c>
      <c r="E148" s="583" t="s">
        <v>1269</v>
      </c>
      <c r="F148" s="527" t="s">
        <v>1303</v>
      </c>
      <c r="G148" s="494">
        <v>7</v>
      </c>
      <c r="H148" s="419">
        <v>105</v>
      </c>
      <c r="I148" s="419">
        <v>105</v>
      </c>
    </row>
    <row r="149" spans="1:9" ht="38.25" customHeight="1" x14ac:dyDescent="0.2">
      <c r="A149" s="582">
        <v>141</v>
      </c>
      <c r="B149" s="494" t="s">
        <v>892</v>
      </c>
      <c r="C149" s="494" t="s">
        <v>1162</v>
      </c>
      <c r="D149" s="398">
        <v>65002007395</v>
      </c>
      <c r="E149" s="583" t="s">
        <v>1269</v>
      </c>
      <c r="F149" s="527" t="s">
        <v>1303</v>
      </c>
      <c r="G149" s="494">
        <v>7</v>
      </c>
      <c r="H149" s="419">
        <v>105</v>
      </c>
      <c r="I149" s="419">
        <v>105</v>
      </c>
    </row>
    <row r="150" spans="1:9" ht="38.25" customHeight="1" x14ac:dyDescent="0.2">
      <c r="A150" s="582">
        <v>142</v>
      </c>
      <c r="B150" s="494" t="s">
        <v>892</v>
      </c>
      <c r="C150" s="494" t="s">
        <v>1159</v>
      </c>
      <c r="D150" s="398" t="s">
        <v>570</v>
      </c>
      <c r="E150" s="583" t="s">
        <v>1269</v>
      </c>
      <c r="F150" s="527" t="s">
        <v>1303</v>
      </c>
      <c r="G150" s="494">
        <v>7</v>
      </c>
      <c r="H150" s="419">
        <v>105</v>
      </c>
      <c r="I150" s="419">
        <v>105</v>
      </c>
    </row>
    <row r="151" spans="1:9" ht="38.25" customHeight="1" x14ac:dyDescent="0.2">
      <c r="A151" s="582">
        <v>143</v>
      </c>
      <c r="B151" s="504" t="s">
        <v>892</v>
      </c>
      <c r="C151" s="504" t="s">
        <v>1300</v>
      </c>
      <c r="D151" s="558" t="s">
        <v>562</v>
      </c>
      <c r="E151" s="583" t="s">
        <v>1269</v>
      </c>
      <c r="F151" s="527" t="s">
        <v>1303</v>
      </c>
      <c r="G151" s="494">
        <v>7</v>
      </c>
      <c r="H151" s="419">
        <v>105</v>
      </c>
      <c r="I151" s="419">
        <v>105</v>
      </c>
    </row>
    <row r="152" spans="1:9" ht="38.25" customHeight="1" x14ac:dyDescent="0.2">
      <c r="A152" s="582">
        <v>144</v>
      </c>
      <c r="B152" s="494" t="s">
        <v>676</v>
      </c>
      <c r="C152" s="494" t="s">
        <v>677</v>
      </c>
      <c r="D152" s="398" t="s">
        <v>572</v>
      </c>
      <c r="E152" s="583" t="s">
        <v>1269</v>
      </c>
      <c r="F152" s="527" t="s">
        <v>1303</v>
      </c>
      <c r="G152" s="494">
        <v>7</v>
      </c>
      <c r="H152" s="419">
        <v>105</v>
      </c>
      <c r="I152" s="419">
        <v>105</v>
      </c>
    </row>
    <row r="153" spans="1:9" ht="38.25" customHeight="1" x14ac:dyDescent="0.2">
      <c r="A153" s="582">
        <v>145</v>
      </c>
      <c r="B153" s="494" t="s">
        <v>747</v>
      </c>
      <c r="C153" s="494" t="s">
        <v>1176</v>
      </c>
      <c r="D153" s="398" t="s">
        <v>1195</v>
      </c>
      <c r="E153" s="583" t="s">
        <v>1269</v>
      </c>
      <c r="F153" s="527" t="s">
        <v>1303</v>
      </c>
      <c r="G153" s="494">
        <v>7</v>
      </c>
      <c r="H153" s="419">
        <v>105</v>
      </c>
      <c r="I153" s="419">
        <v>105</v>
      </c>
    </row>
    <row r="154" spans="1:9" ht="38.25" customHeight="1" x14ac:dyDescent="0.2">
      <c r="A154" s="582">
        <v>146</v>
      </c>
      <c r="B154" s="494" t="s">
        <v>672</v>
      </c>
      <c r="C154" s="494" t="s">
        <v>673</v>
      </c>
      <c r="D154" s="398" t="s">
        <v>1160</v>
      </c>
      <c r="E154" s="583" t="s">
        <v>1269</v>
      </c>
      <c r="F154" s="527" t="s">
        <v>1303</v>
      </c>
      <c r="G154" s="494">
        <v>7</v>
      </c>
      <c r="H154" s="419">
        <v>105</v>
      </c>
      <c r="I154" s="419">
        <v>105</v>
      </c>
    </row>
    <row r="155" spans="1:9" ht="38.25" customHeight="1" x14ac:dyDescent="0.2">
      <c r="A155" s="582">
        <v>147</v>
      </c>
      <c r="B155" s="494" t="s">
        <v>1185</v>
      </c>
      <c r="C155" s="494" t="s">
        <v>1186</v>
      </c>
      <c r="D155" s="559" t="s">
        <v>548</v>
      </c>
      <c r="E155" s="583" t="s">
        <v>1269</v>
      </c>
      <c r="F155" s="527" t="s">
        <v>1303</v>
      </c>
      <c r="G155" s="494">
        <v>7</v>
      </c>
      <c r="H155" s="419">
        <v>105</v>
      </c>
      <c r="I155" s="419">
        <v>105</v>
      </c>
    </row>
    <row r="156" spans="1:9" ht="38.25" customHeight="1" x14ac:dyDescent="0.2">
      <c r="A156" s="582">
        <v>148</v>
      </c>
      <c r="B156" s="494" t="s">
        <v>1167</v>
      </c>
      <c r="C156" s="494" t="s">
        <v>1196</v>
      </c>
      <c r="D156" s="398" t="s">
        <v>1197</v>
      </c>
      <c r="E156" s="583" t="s">
        <v>1269</v>
      </c>
      <c r="F156" s="527" t="s">
        <v>1303</v>
      </c>
      <c r="G156" s="494">
        <v>7</v>
      </c>
      <c r="H156" s="419">
        <v>105</v>
      </c>
      <c r="I156" s="419">
        <v>105</v>
      </c>
    </row>
    <row r="157" spans="1:9" ht="38.25" customHeight="1" x14ac:dyDescent="0.2">
      <c r="A157" s="582">
        <v>149</v>
      </c>
      <c r="B157" s="494" t="s">
        <v>1298</v>
      </c>
      <c r="C157" s="494" t="s">
        <v>1299</v>
      </c>
      <c r="D157" s="398" t="s">
        <v>1302</v>
      </c>
      <c r="E157" s="583" t="s">
        <v>1269</v>
      </c>
      <c r="F157" s="527" t="s">
        <v>1303</v>
      </c>
      <c r="G157" s="494">
        <v>7</v>
      </c>
      <c r="H157" s="419">
        <v>105</v>
      </c>
      <c r="I157" s="419">
        <v>105</v>
      </c>
    </row>
    <row r="158" spans="1:9" ht="38.25" customHeight="1" x14ac:dyDescent="0.2">
      <c r="A158" s="582">
        <v>150</v>
      </c>
      <c r="B158" s="494" t="s">
        <v>1158</v>
      </c>
      <c r="C158" s="494" t="s">
        <v>668</v>
      </c>
      <c r="D158" s="398" t="s">
        <v>560</v>
      </c>
      <c r="E158" s="527" t="s">
        <v>1304</v>
      </c>
      <c r="F158" s="527" t="s">
        <v>1305</v>
      </c>
      <c r="G158" s="494">
        <v>3</v>
      </c>
      <c r="H158" s="419">
        <v>45</v>
      </c>
      <c r="I158" s="419">
        <v>45</v>
      </c>
    </row>
    <row r="159" spans="1:9" ht="38.25" customHeight="1" x14ac:dyDescent="0.2">
      <c r="A159" s="582">
        <v>151</v>
      </c>
      <c r="B159" s="494" t="s">
        <v>936</v>
      </c>
      <c r="C159" s="494" t="s">
        <v>1220</v>
      </c>
      <c r="D159" s="398" t="s">
        <v>1191</v>
      </c>
      <c r="E159" s="527" t="s">
        <v>1304</v>
      </c>
      <c r="F159" s="527" t="s">
        <v>1305</v>
      </c>
      <c r="G159" s="494">
        <v>3</v>
      </c>
      <c r="H159" s="419">
        <v>45</v>
      </c>
      <c r="I159" s="419">
        <v>45</v>
      </c>
    </row>
    <row r="160" spans="1:9" ht="38.25" customHeight="1" x14ac:dyDescent="0.2">
      <c r="A160" s="582">
        <v>152</v>
      </c>
      <c r="B160" s="494" t="s">
        <v>1187</v>
      </c>
      <c r="C160" s="494" t="s">
        <v>663</v>
      </c>
      <c r="D160" s="412" t="s">
        <v>564</v>
      </c>
      <c r="E160" s="527" t="s">
        <v>1304</v>
      </c>
      <c r="F160" s="527" t="s">
        <v>1305</v>
      </c>
      <c r="G160" s="494">
        <v>3</v>
      </c>
      <c r="H160" s="419">
        <v>45</v>
      </c>
      <c r="I160" s="419">
        <v>45</v>
      </c>
    </row>
    <row r="161" spans="1:9" ht="54.75" customHeight="1" x14ac:dyDescent="0.2">
      <c r="A161" s="582">
        <v>153</v>
      </c>
      <c r="B161" s="494" t="s">
        <v>1158</v>
      </c>
      <c r="C161" s="494" t="s">
        <v>668</v>
      </c>
      <c r="D161" s="398" t="s">
        <v>560</v>
      </c>
      <c r="E161" s="585" t="s">
        <v>1218</v>
      </c>
      <c r="F161" s="527" t="s">
        <v>1312</v>
      </c>
      <c r="G161" s="494">
        <v>7</v>
      </c>
      <c r="H161" s="419">
        <v>105</v>
      </c>
      <c r="I161" s="419">
        <v>105</v>
      </c>
    </row>
    <row r="162" spans="1:9" ht="54.75" customHeight="1" x14ac:dyDescent="0.2">
      <c r="A162" s="582">
        <v>154</v>
      </c>
      <c r="B162" s="494" t="s">
        <v>672</v>
      </c>
      <c r="C162" s="494" t="s">
        <v>673</v>
      </c>
      <c r="D162" s="398" t="s">
        <v>1160</v>
      </c>
      <c r="E162" s="585" t="s">
        <v>1218</v>
      </c>
      <c r="F162" s="527" t="s">
        <v>1312</v>
      </c>
      <c r="G162" s="494">
        <v>7</v>
      </c>
      <c r="H162" s="419">
        <v>105</v>
      </c>
      <c r="I162" s="419">
        <v>105</v>
      </c>
    </row>
    <row r="163" spans="1:9" ht="54.75" customHeight="1" x14ac:dyDescent="0.2">
      <c r="A163" s="582">
        <v>155</v>
      </c>
      <c r="B163" s="494" t="s">
        <v>892</v>
      </c>
      <c r="C163" s="494" t="s">
        <v>1159</v>
      </c>
      <c r="D163" s="398" t="s">
        <v>570</v>
      </c>
      <c r="E163" s="585" t="s">
        <v>1218</v>
      </c>
      <c r="F163" s="527" t="s">
        <v>1312</v>
      </c>
      <c r="G163" s="494">
        <v>7</v>
      </c>
      <c r="H163" s="419">
        <v>105</v>
      </c>
      <c r="I163" s="419">
        <v>105</v>
      </c>
    </row>
    <row r="164" spans="1:9" ht="54.75" customHeight="1" x14ac:dyDescent="0.2">
      <c r="A164" s="582">
        <v>156</v>
      </c>
      <c r="B164" s="494" t="s">
        <v>1129</v>
      </c>
      <c r="C164" s="494" t="s">
        <v>681</v>
      </c>
      <c r="D164" s="398" t="s">
        <v>679</v>
      </c>
      <c r="E164" s="585" t="s">
        <v>1218</v>
      </c>
      <c r="F164" s="527" t="s">
        <v>1312</v>
      </c>
      <c r="G164" s="494">
        <v>7</v>
      </c>
      <c r="H164" s="419">
        <v>105</v>
      </c>
      <c r="I164" s="419">
        <v>105</v>
      </c>
    </row>
    <row r="165" spans="1:9" ht="54.75" customHeight="1" x14ac:dyDescent="0.2">
      <c r="A165" s="582">
        <v>157</v>
      </c>
      <c r="B165" s="494" t="s">
        <v>676</v>
      </c>
      <c r="C165" s="494" t="s">
        <v>677</v>
      </c>
      <c r="D165" s="398" t="s">
        <v>572</v>
      </c>
      <c r="E165" s="585" t="s">
        <v>1218</v>
      </c>
      <c r="F165" s="527" t="s">
        <v>1312</v>
      </c>
      <c r="G165" s="494">
        <v>7</v>
      </c>
      <c r="H165" s="419">
        <v>105</v>
      </c>
      <c r="I165" s="419">
        <v>105</v>
      </c>
    </row>
    <row r="166" spans="1:9" ht="54.75" customHeight="1" x14ac:dyDescent="0.2">
      <c r="A166" s="582">
        <v>158</v>
      </c>
      <c r="B166" s="494" t="s">
        <v>892</v>
      </c>
      <c r="C166" s="494" t="s">
        <v>1162</v>
      </c>
      <c r="D166" s="398">
        <v>65002007395</v>
      </c>
      <c r="E166" s="585" t="s">
        <v>1218</v>
      </c>
      <c r="F166" s="527" t="s">
        <v>1312</v>
      </c>
      <c r="G166" s="494">
        <v>7</v>
      </c>
      <c r="H166" s="419">
        <v>105</v>
      </c>
      <c r="I166" s="419">
        <v>105</v>
      </c>
    </row>
    <row r="167" spans="1:9" ht="54.75" customHeight="1" x14ac:dyDescent="0.2">
      <c r="A167" s="582">
        <v>159</v>
      </c>
      <c r="B167" s="494" t="s">
        <v>739</v>
      </c>
      <c r="C167" s="494" t="s">
        <v>1193</v>
      </c>
      <c r="D167" s="398" t="s">
        <v>550</v>
      </c>
      <c r="E167" s="585" t="s">
        <v>1218</v>
      </c>
      <c r="F167" s="527" t="s">
        <v>1312</v>
      </c>
      <c r="G167" s="494">
        <v>7</v>
      </c>
      <c r="H167" s="419">
        <v>105</v>
      </c>
      <c r="I167" s="419">
        <v>105</v>
      </c>
    </row>
    <row r="168" spans="1:9" ht="54.75" customHeight="1" x14ac:dyDescent="0.2">
      <c r="A168" s="582">
        <v>160</v>
      </c>
      <c r="B168" s="494" t="s">
        <v>1298</v>
      </c>
      <c r="C168" s="494" t="s">
        <v>1299</v>
      </c>
      <c r="D168" s="398" t="s">
        <v>1302</v>
      </c>
      <c r="E168" s="585" t="s">
        <v>1218</v>
      </c>
      <c r="F168" s="527" t="s">
        <v>1312</v>
      </c>
      <c r="G168" s="494">
        <v>7</v>
      </c>
      <c r="H168" s="419">
        <v>105</v>
      </c>
      <c r="I168" s="419">
        <v>105</v>
      </c>
    </row>
    <row r="169" spans="1:9" ht="54.75" customHeight="1" x14ac:dyDescent="0.2">
      <c r="A169" s="582">
        <v>161</v>
      </c>
      <c r="B169" s="494" t="s">
        <v>1296</v>
      </c>
      <c r="C169" s="494" t="s">
        <v>1171</v>
      </c>
      <c r="D169" s="398" t="s">
        <v>546</v>
      </c>
      <c r="E169" s="585" t="s">
        <v>1218</v>
      </c>
      <c r="F169" s="527" t="s">
        <v>1312</v>
      </c>
      <c r="G169" s="494">
        <v>7</v>
      </c>
      <c r="H169" s="419">
        <v>105</v>
      </c>
      <c r="I169" s="419">
        <v>105</v>
      </c>
    </row>
    <row r="170" spans="1:9" ht="54.75" customHeight="1" x14ac:dyDescent="0.2">
      <c r="A170" s="582">
        <v>162</v>
      </c>
      <c r="B170" s="494" t="s">
        <v>870</v>
      </c>
      <c r="C170" s="494" t="s">
        <v>1306</v>
      </c>
      <c r="D170" s="398" t="s">
        <v>1309</v>
      </c>
      <c r="E170" s="585" t="s">
        <v>1218</v>
      </c>
      <c r="F170" s="527" t="s">
        <v>1312</v>
      </c>
      <c r="G170" s="494">
        <v>7</v>
      </c>
      <c r="H170" s="419">
        <v>105</v>
      </c>
      <c r="I170" s="419">
        <v>105</v>
      </c>
    </row>
    <row r="171" spans="1:9" ht="54.75" customHeight="1" x14ac:dyDescent="0.2">
      <c r="A171" s="582">
        <v>163</v>
      </c>
      <c r="B171" s="494" t="s">
        <v>1125</v>
      </c>
      <c r="C171" s="494" t="s">
        <v>1307</v>
      </c>
      <c r="D171" s="398" t="s">
        <v>1310</v>
      </c>
      <c r="E171" s="585" t="s">
        <v>1218</v>
      </c>
      <c r="F171" s="527" t="s">
        <v>1312</v>
      </c>
      <c r="G171" s="494">
        <v>7</v>
      </c>
      <c r="H171" s="419">
        <v>105</v>
      </c>
      <c r="I171" s="419">
        <v>105</v>
      </c>
    </row>
    <row r="172" spans="1:9" ht="54.75" customHeight="1" x14ac:dyDescent="0.2">
      <c r="A172" s="582">
        <v>164</v>
      </c>
      <c r="B172" s="494" t="s">
        <v>892</v>
      </c>
      <c r="C172" s="494" t="s">
        <v>1166</v>
      </c>
      <c r="D172" s="412" t="s">
        <v>562</v>
      </c>
      <c r="E172" s="585" t="s">
        <v>1218</v>
      </c>
      <c r="F172" s="527" t="s">
        <v>1312</v>
      </c>
      <c r="G172" s="494">
        <v>7</v>
      </c>
      <c r="H172" s="419">
        <v>105</v>
      </c>
      <c r="I172" s="419">
        <v>105</v>
      </c>
    </row>
    <row r="173" spans="1:9" ht="54.75" customHeight="1" x14ac:dyDescent="0.2">
      <c r="A173" s="582">
        <v>165</v>
      </c>
      <c r="B173" s="494" t="s">
        <v>1179</v>
      </c>
      <c r="C173" s="494" t="s">
        <v>1180</v>
      </c>
      <c r="D173" s="412" t="s">
        <v>1181</v>
      </c>
      <c r="E173" s="585" t="s">
        <v>1218</v>
      </c>
      <c r="F173" s="527" t="s">
        <v>1312</v>
      </c>
      <c r="G173" s="494">
        <v>7</v>
      </c>
      <c r="H173" s="419">
        <v>105</v>
      </c>
      <c r="I173" s="419">
        <v>105</v>
      </c>
    </row>
    <row r="174" spans="1:9" ht="54.75" customHeight="1" x14ac:dyDescent="0.2">
      <c r="A174" s="582">
        <v>166</v>
      </c>
      <c r="B174" s="494" t="s">
        <v>747</v>
      </c>
      <c r="C174" s="494" t="s">
        <v>1176</v>
      </c>
      <c r="D174" s="398" t="s">
        <v>1195</v>
      </c>
      <c r="E174" s="585" t="s">
        <v>1218</v>
      </c>
      <c r="F174" s="527" t="s">
        <v>1312</v>
      </c>
      <c r="G174" s="494">
        <v>7</v>
      </c>
      <c r="H174" s="419">
        <v>105</v>
      </c>
      <c r="I174" s="419">
        <v>105</v>
      </c>
    </row>
    <row r="175" spans="1:9" ht="54.75" customHeight="1" x14ac:dyDescent="0.2">
      <c r="A175" s="582">
        <v>167</v>
      </c>
      <c r="B175" s="494" t="s">
        <v>1185</v>
      </c>
      <c r="C175" s="494" t="s">
        <v>1186</v>
      </c>
      <c r="D175" s="559" t="s">
        <v>548</v>
      </c>
      <c r="E175" s="585" t="s">
        <v>1218</v>
      </c>
      <c r="F175" s="527" t="s">
        <v>1312</v>
      </c>
      <c r="G175" s="494">
        <v>7</v>
      </c>
      <c r="H175" s="419">
        <v>105</v>
      </c>
      <c r="I175" s="419">
        <v>105</v>
      </c>
    </row>
    <row r="176" spans="1:9" ht="54.75" customHeight="1" x14ac:dyDescent="0.2">
      <c r="A176" s="582">
        <v>168</v>
      </c>
      <c r="B176" s="494" t="s">
        <v>735</v>
      </c>
      <c r="C176" s="494" t="s">
        <v>1308</v>
      </c>
      <c r="D176" s="398" t="s">
        <v>1311</v>
      </c>
      <c r="E176" s="585" t="s">
        <v>1218</v>
      </c>
      <c r="F176" s="527" t="s">
        <v>1312</v>
      </c>
      <c r="G176" s="494">
        <v>7</v>
      </c>
      <c r="H176" s="419">
        <v>105</v>
      </c>
      <c r="I176" s="419">
        <v>105</v>
      </c>
    </row>
    <row r="177" spans="1:9" ht="15" x14ac:dyDescent="0.2">
      <c r="A177" s="348"/>
      <c r="B177" s="349"/>
      <c r="C177" s="78"/>
      <c r="D177" s="78"/>
      <c r="E177" s="586"/>
      <c r="F177" s="586"/>
      <c r="G177" s="499"/>
      <c r="H177" s="4"/>
      <c r="I177" s="4"/>
    </row>
    <row r="178" spans="1:9" ht="15" x14ac:dyDescent="0.2">
      <c r="A178" s="348"/>
      <c r="B178" s="349"/>
      <c r="C178" s="78"/>
      <c r="D178" s="78"/>
      <c r="E178" s="586"/>
      <c r="F178" s="586"/>
      <c r="G178" s="499"/>
      <c r="H178" s="4"/>
      <c r="I178" s="4"/>
    </row>
    <row r="179" spans="1:9" ht="15" x14ac:dyDescent="0.2">
      <c r="A179" s="348"/>
      <c r="B179" s="349"/>
      <c r="C179" s="78"/>
      <c r="D179" s="78"/>
      <c r="E179" s="586"/>
      <c r="F179" s="586"/>
      <c r="G179" s="499"/>
      <c r="H179" s="4"/>
      <c r="I179" s="4"/>
    </row>
    <row r="180" spans="1:9" ht="15" x14ac:dyDescent="0.3">
      <c r="A180" s="348"/>
      <c r="B180" s="350"/>
      <c r="C180" s="90"/>
      <c r="D180" s="90"/>
      <c r="E180" s="587"/>
      <c r="F180" s="587"/>
      <c r="G180" s="588" t="s">
        <v>339</v>
      </c>
      <c r="H180" s="77">
        <f>SUM(H9:H179)</f>
        <v>29325</v>
      </c>
      <c r="I180" s="77">
        <f>SUM(I9:I179)</f>
        <v>29370</v>
      </c>
    </row>
    <row r="181" spans="1:9" ht="15" x14ac:dyDescent="0.3">
      <c r="A181" s="214"/>
      <c r="B181" s="214"/>
      <c r="C181" s="214"/>
      <c r="D181" s="214"/>
      <c r="E181" s="589"/>
      <c r="F181" s="589"/>
      <c r="G181" s="590"/>
      <c r="H181" s="170"/>
      <c r="I181" s="175"/>
    </row>
    <row r="182" spans="1:9" ht="15" x14ac:dyDescent="0.3">
      <c r="A182" s="215" t="s">
        <v>350</v>
      </c>
      <c r="B182" s="214"/>
      <c r="C182" s="214"/>
      <c r="D182" s="214"/>
      <c r="E182" s="589"/>
      <c r="F182" s="589"/>
      <c r="G182" s="590"/>
      <c r="H182" s="170"/>
      <c r="I182" s="175"/>
    </row>
    <row r="183" spans="1:9" ht="15" x14ac:dyDescent="0.3">
      <c r="A183" s="215" t="s">
        <v>353</v>
      </c>
      <c r="B183" s="214"/>
      <c r="C183" s="214"/>
      <c r="D183" s="214"/>
      <c r="E183" s="589"/>
      <c r="F183" s="589"/>
      <c r="G183" s="590"/>
      <c r="H183" s="170"/>
      <c r="I183" s="175"/>
    </row>
    <row r="184" spans="1:9" ht="15" x14ac:dyDescent="0.3">
      <c r="A184" s="215"/>
      <c r="B184" s="170"/>
      <c r="C184" s="170"/>
      <c r="D184" s="170"/>
      <c r="E184" s="590"/>
      <c r="F184" s="590"/>
      <c r="G184" s="590"/>
      <c r="H184" s="170"/>
      <c r="I184" s="175"/>
    </row>
    <row r="185" spans="1:9" ht="15" x14ac:dyDescent="0.3">
      <c r="A185" s="215"/>
      <c r="B185" s="170"/>
      <c r="C185" s="170"/>
      <c r="D185" s="170"/>
      <c r="E185" s="590"/>
      <c r="G185" s="590"/>
      <c r="H185" s="170"/>
      <c r="I185" s="175"/>
    </row>
    <row r="186" spans="1:9" x14ac:dyDescent="0.2">
      <c r="A186" s="211"/>
      <c r="B186" s="211"/>
      <c r="C186" s="211"/>
      <c r="D186" s="211"/>
      <c r="E186" s="592"/>
      <c r="F186" s="592"/>
      <c r="G186" s="593"/>
      <c r="H186" s="211"/>
      <c r="I186" s="175"/>
    </row>
    <row r="187" spans="1:9" ht="15" x14ac:dyDescent="0.3">
      <c r="A187" s="176" t="s">
        <v>107</v>
      </c>
      <c r="B187" s="170"/>
      <c r="C187" s="170"/>
      <c r="D187" s="170"/>
      <c r="E187" s="590"/>
      <c r="F187" s="590"/>
      <c r="G187" s="590"/>
      <c r="H187" s="170"/>
      <c r="I187" s="175"/>
    </row>
    <row r="188" spans="1:9" ht="15" x14ac:dyDescent="0.3">
      <c r="A188" s="170"/>
      <c r="B188" s="170"/>
      <c r="C188" s="170"/>
      <c r="D188" s="170"/>
      <c r="E188" s="590"/>
      <c r="F188" s="590"/>
      <c r="G188" s="590"/>
      <c r="H188" s="170"/>
      <c r="I188" s="175"/>
    </row>
    <row r="189" spans="1:9" ht="15" x14ac:dyDescent="0.3">
      <c r="A189" s="170"/>
      <c r="B189" s="170"/>
      <c r="C189" s="170"/>
      <c r="D189" s="170"/>
      <c r="E189" s="590"/>
      <c r="F189" s="590"/>
      <c r="G189" s="590"/>
      <c r="H189" s="177"/>
      <c r="I189" s="175"/>
    </row>
    <row r="190" spans="1:9" ht="15" x14ac:dyDescent="0.3">
      <c r="A190" s="176"/>
      <c r="B190" s="176" t="s">
        <v>271</v>
      </c>
      <c r="C190" s="176"/>
      <c r="D190" s="176"/>
      <c r="E190" s="589"/>
      <c r="F190" s="589"/>
      <c r="G190" s="590"/>
      <c r="H190" s="177"/>
      <c r="I190" s="175"/>
    </row>
    <row r="191" spans="1:9" ht="15" x14ac:dyDescent="0.3">
      <c r="A191" s="170"/>
      <c r="B191" s="170" t="s">
        <v>270</v>
      </c>
      <c r="C191" s="170"/>
      <c r="D191" s="170"/>
      <c r="E191" s="590"/>
      <c r="F191" s="590"/>
      <c r="G191" s="590"/>
      <c r="H191" s="177"/>
      <c r="I191" s="175"/>
    </row>
    <row r="192" spans="1:9" x14ac:dyDescent="0.2">
      <c r="A192" s="178"/>
      <c r="B192" s="178" t="s">
        <v>139</v>
      </c>
      <c r="C192" s="178"/>
      <c r="D192" s="178"/>
      <c r="E192" s="594"/>
      <c r="F192" s="594"/>
      <c r="G192" s="595"/>
      <c r="H192" s="171"/>
      <c r="I192" s="171"/>
    </row>
    <row r="193" spans="5:7" x14ac:dyDescent="0.2">
      <c r="E193"/>
      <c r="F193"/>
      <c r="G193"/>
    </row>
  </sheetData>
  <mergeCells count="2">
    <mergeCell ref="G1:H1"/>
    <mergeCell ref="G2:I2"/>
  </mergeCells>
  <printOptions gridLines="1"/>
  <pageMargins left="0.25" right="0.25" top="0.5" bottom="0.5" header="0.3" footer="0.3"/>
  <pageSetup scale="7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M41" sqref="M41"/>
    </sheetView>
  </sheetViews>
  <sheetFormatPr defaultRowHeight="12.75" x14ac:dyDescent="0.2"/>
  <cols>
    <col min="1" max="1" width="5.42578125" style="171" customWidth="1"/>
    <col min="2" max="2" width="13.140625" style="171" customWidth="1"/>
    <col min="3" max="3" width="15.140625" style="171" customWidth="1"/>
    <col min="4" max="4" width="23.42578125" style="171" customWidth="1"/>
    <col min="5" max="5" width="20.5703125" style="171" customWidth="1"/>
    <col min="6" max="6" width="21.28515625" style="171" customWidth="1"/>
    <col min="7" max="7" width="15.140625" style="171" customWidth="1"/>
    <col min="8" max="8" width="15.5703125" style="171" customWidth="1"/>
    <col min="9" max="9" width="13.42578125" style="171" customWidth="1"/>
    <col min="10" max="10" width="0" style="171" hidden="1" customWidth="1"/>
    <col min="11" max="16384" width="9.140625" style="171"/>
  </cols>
  <sheetData>
    <row r="1" spans="1:10" ht="15" x14ac:dyDescent="0.3">
      <c r="A1" s="65" t="s">
        <v>465</v>
      </c>
      <c r="B1" s="65"/>
      <c r="C1" s="68"/>
      <c r="D1" s="68"/>
      <c r="E1" s="68"/>
      <c r="F1" s="68"/>
      <c r="G1" s="638" t="s">
        <v>109</v>
      </c>
      <c r="H1" s="638"/>
    </row>
    <row r="2" spans="1:10" ht="15" x14ac:dyDescent="0.3">
      <c r="A2" s="67" t="s">
        <v>140</v>
      </c>
      <c r="B2" s="65"/>
      <c r="C2" s="68"/>
      <c r="D2" s="68"/>
      <c r="E2" s="68"/>
      <c r="F2" s="68"/>
      <c r="G2" s="628" t="s">
        <v>645</v>
      </c>
      <c r="H2" s="639"/>
      <c r="I2" s="639"/>
    </row>
    <row r="3" spans="1:10" ht="15" x14ac:dyDescent="0.3">
      <c r="A3" s="67"/>
      <c r="B3" s="67"/>
      <c r="C3" s="67"/>
      <c r="D3" s="67"/>
      <c r="E3" s="67"/>
      <c r="F3" s="67"/>
      <c r="G3" s="205"/>
      <c r="H3" s="205"/>
    </row>
    <row r="4" spans="1:10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71" t="str">
        <f>'ფორმა N1'!D4</f>
        <v>მოქალაქეთა  პოლიტიკური გაერთიანება "ეროვნული ფორუმი"</v>
      </c>
      <c r="B5" s="71"/>
      <c r="C5" s="71"/>
      <c r="D5" s="71"/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04"/>
      <c r="B7" s="204"/>
      <c r="C7" s="204"/>
      <c r="D7" s="207"/>
      <c r="E7" s="204"/>
      <c r="F7" s="204"/>
      <c r="G7" s="69"/>
      <c r="H7" s="69"/>
    </row>
    <row r="8" spans="1:10" ht="30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349</v>
      </c>
      <c r="F8" s="81" t="s">
        <v>342</v>
      </c>
      <c r="G8" s="70" t="s">
        <v>10</v>
      </c>
      <c r="H8" s="70" t="s">
        <v>9</v>
      </c>
      <c r="J8" s="216" t="s">
        <v>348</v>
      </c>
    </row>
    <row r="9" spans="1:10" ht="15" x14ac:dyDescent="0.2">
      <c r="A9" s="89"/>
      <c r="B9" s="89"/>
      <c r="C9" s="89"/>
      <c r="D9" s="412"/>
      <c r="E9" s="89"/>
      <c r="F9" s="89"/>
      <c r="G9" s="4"/>
      <c r="H9" s="4"/>
      <c r="J9" s="216" t="s">
        <v>0</v>
      </c>
    </row>
    <row r="10" spans="1:10" ht="15" x14ac:dyDescent="0.2">
      <c r="A10" s="89"/>
      <c r="B10" s="89"/>
      <c r="C10" s="89"/>
      <c r="D10" s="412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8" ht="15" x14ac:dyDescent="0.2">
      <c r="A17" s="78"/>
      <c r="B17" s="78"/>
      <c r="C17" s="78"/>
      <c r="D17" s="78"/>
      <c r="E17" s="78"/>
      <c r="F17" s="78"/>
      <c r="G17" s="4"/>
      <c r="H17" s="4"/>
    </row>
    <row r="18" spans="1:8" ht="15" x14ac:dyDescent="0.2">
      <c r="A18" s="78"/>
      <c r="B18" s="78"/>
      <c r="C18" s="78"/>
      <c r="D18" s="78"/>
      <c r="E18" s="78"/>
      <c r="F18" s="78"/>
      <c r="G18" s="4"/>
      <c r="H18" s="4"/>
    </row>
    <row r="19" spans="1:8" ht="15" x14ac:dyDescent="0.2">
      <c r="A19" s="78"/>
      <c r="B19" s="78"/>
      <c r="C19" s="78"/>
      <c r="D19" s="78"/>
      <c r="E19" s="78"/>
      <c r="F19" s="78"/>
      <c r="G19" s="4"/>
      <c r="H19" s="4"/>
    </row>
    <row r="20" spans="1:8" ht="15" x14ac:dyDescent="0.2">
      <c r="A20" s="78"/>
      <c r="B20" s="78"/>
      <c r="C20" s="78"/>
      <c r="D20" s="78"/>
      <c r="E20" s="78"/>
      <c r="F20" s="78"/>
      <c r="G20" s="4"/>
      <c r="H20" s="4"/>
    </row>
    <row r="21" spans="1:8" ht="15" x14ac:dyDescent="0.2">
      <c r="A21" s="78"/>
      <c r="B21" s="78"/>
      <c r="C21" s="78"/>
      <c r="D21" s="78"/>
      <c r="E21" s="78"/>
      <c r="F21" s="78"/>
      <c r="G21" s="4"/>
      <c r="H21" s="4"/>
    </row>
    <row r="22" spans="1:8" ht="15" x14ac:dyDescent="0.2">
      <c r="A22" s="78"/>
      <c r="B22" s="78"/>
      <c r="C22" s="78"/>
      <c r="D22" s="78"/>
      <c r="E22" s="78"/>
      <c r="F22" s="78"/>
      <c r="G22" s="4"/>
      <c r="H22" s="4"/>
    </row>
    <row r="23" spans="1:8" ht="15" x14ac:dyDescent="0.2">
      <c r="A23" s="78"/>
      <c r="B23" s="78"/>
      <c r="C23" s="78"/>
      <c r="D23" s="78"/>
      <c r="E23" s="78"/>
      <c r="F23" s="78"/>
      <c r="G23" s="4"/>
      <c r="H23" s="4"/>
    </row>
    <row r="24" spans="1:8" ht="15" x14ac:dyDescent="0.2">
      <c r="A24" s="78"/>
      <c r="B24" s="78"/>
      <c r="C24" s="78"/>
      <c r="D24" s="78"/>
      <c r="E24" s="78"/>
      <c r="F24" s="78"/>
      <c r="G24" s="4"/>
      <c r="H24" s="4"/>
    </row>
    <row r="25" spans="1:8" ht="15" x14ac:dyDescent="0.2">
      <c r="A25" s="78"/>
      <c r="B25" s="78"/>
      <c r="C25" s="78"/>
      <c r="D25" s="78"/>
      <c r="E25" s="78"/>
      <c r="F25" s="78"/>
      <c r="G25" s="4"/>
      <c r="H25" s="4"/>
    </row>
    <row r="26" spans="1:8" ht="15" x14ac:dyDescent="0.2">
      <c r="A26" s="78"/>
      <c r="B26" s="78"/>
      <c r="C26" s="78"/>
      <c r="D26" s="78"/>
      <c r="E26" s="78"/>
      <c r="F26" s="78"/>
      <c r="G26" s="4"/>
      <c r="H26" s="4"/>
    </row>
    <row r="27" spans="1:8" ht="15" x14ac:dyDescent="0.2">
      <c r="A27" s="78"/>
      <c r="B27" s="78"/>
      <c r="C27" s="78"/>
      <c r="D27" s="78"/>
      <c r="E27" s="78"/>
      <c r="F27" s="78"/>
      <c r="G27" s="4"/>
      <c r="H27" s="4"/>
    </row>
    <row r="28" spans="1:8" ht="15" x14ac:dyDescent="0.2">
      <c r="A28" s="78"/>
      <c r="B28" s="78"/>
      <c r="C28" s="78"/>
      <c r="D28" s="78"/>
      <c r="E28" s="78"/>
      <c r="F28" s="78"/>
      <c r="G28" s="4"/>
      <c r="H28" s="4"/>
    </row>
    <row r="29" spans="1:8" ht="15" x14ac:dyDescent="0.2">
      <c r="A29" s="78"/>
      <c r="B29" s="78"/>
      <c r="C29" s="78"/>
      <c r="D29" s="78"/>
      <c r="E29" s="78"/>
      <c r="F29" s="78"/>
      <c r="G29" s="4"/>
      <c r="H29" s="4"/>
    </row>
    <row r="30" spans="1:8" ht="15" x14ac:dyDescent="0.2">
      <c r="A30" s="78"/>
      <c r="B30" s="78"/>
      <c r="C30" s="78"/>
      <c r="D30" s="78"/>
      <c r="E30" s="78"/>
      <c r="F30" s="78"/>
      <c r="G30" s="4"/>
      <c r="H30" s="4"/>
    </row>
    <row r="31" spans="1:8" ht="15" x14ac:dyDescent="0.2">
      <c r="A31" s="78"/>
      <c r="B31" s="78"/>
      <c r="C31" s="78"/>
      <c r="D31" s="78"/>
      <c r="E31" s="78"/>
      <c r="F31" s="78"/>
      <c r="G31" s="4"/>
      <c r="H31" s="4"/>
    </row>
    <row r="32" spans="1:8" ht="15" x14ac:dyDescent="0.2">
      <c r="A32" s="78"/>
      <c r="B32" s="78"/>
      <c r="C32" s="78"/>
      <c r="D32" s="78"/>
      <c r="E32" s="78"/>
      <c r="F32" s="78"/>
      <c r="G32" s="4"/>
      <c r="H32" s="4"/>
    </row>
    <row r="33" spans="1:9" ht="15" x14ac:dyDescent="0.2">
      <c r="A33" s="78"/>
      <c r="B33" s="78"/>
      <c r="C33" s="78"/>
      <c r="D33" s="78"/>
      <c r="E33" s="78"/>
      <c r="F33" s="78"/>
      <c r="G33" s="4"/>
      <c r="H33" s="4"/>
    </row>
    <row r="34" spans="1:9" ht="15" x14ac:dyDescent="0.3">
      <c r="A34" s="78"/>
      <c r="B34" s="90"/>
      <c r="C34" s="90"/>
      <c r="D34" s="90"/>
      <c r="E34" s="90"/>
      <c r="F34" s="90" t="s">
        <v>347</v>
      </c>
      <c r="G34" s="77">
        <f>SUM(G9:G33)</f>
        <v>0</v>
      </c>
      <c r="H34" s="77">
        <f>SUM(H9:H33)</f>
        <v>0</v>
      </c>
    </row>
    <row r="35" spans="1:9" ht="15" x14ac:dyDescent="0.3">
      <c r="A35" s="214"/>
      <c r="B35" s="214"/>
      <c r="C35" s="214"/>
      <c r="D35" s="214"/>
      <c r="E35" s="214"/>
      <c r="F35" s="214"/>
      <c r="G35" s="214"/>
      <c r="H35" s="170"/>
      <c r="I35" s="170"/>
    </row>
    <row r="36" spans="1:9" ht="15" x14ac:dyDescent="0.3">
      <c r="A36" s="215" t="s">
        <v>401</v>
      </c>
      <c r="B36" s="215"/>
      <c r="C36" s="214"/>
      <c r="D36" s="626"/>
      <c r="E36" s="214"/>
      <c r="F36" s="626"/>
      <c r="G36" s="214"/>
      <c r="H36" s="170"/>
      <c r="I36" s="170"/>
    </row>
    <row r="37" spans="1:9" ht="15" x14ac:dyDescent="0.3">
      <c r="A37" s="215" t="s">
        <v>346</v>
      </c>
      <c r="B37" s="215"/>
      <c r="C37" s="214"/>
      <c r="D37" s="214"/>
      <c r="E37" s="214"/>
      <c r="F37" s="214"/>
      <c r="G37" s="214"/>
      <c r="H37" s="170"/>
      <c r="I37" s="170"/>
    </row>
    <row r="38" spans="1:9" ht="15" x14ac:dyDescent="0.3">
      <c r="A38" s="215"/>
      <c r="B38" s="215"/>
      <c r="C38" s="170"/>
      <c r="D38" s="170"/>
      <c r="E38" s="170"/>
      <c r="F38" s="627"/>
      <c r="G38" s="170"/>
      <c r="H38" s="170"/>
      <c r="I38" s="170"/>
    </row>
    <row r="39" spans="1:9" ht="15" x14ac:dyDescent="0.3">
      <c r="A39" s="215"/>
      <c r="B39" s="215"/>
      <c r="C39" s="170"/>
      <c r="D39" s="170"/>
      <c r="E39" s="170"/>
      <c r="F39" s="575"/>
      <c r="G39" s="170"/>
      <c r="H39" s="170"/>
      <c r="I39" s="170"/>
    </row>
    <row r="40" spans="1:9" x14ac:dyDescent="0.2">
      <c r="A40" s="211"/>
      <c r="B40" s="211"/>
      <c r="C40" s="211"/>
      <c r="D40" s="211"/>
      <c r="E40" s="211"/>
      <c r="F40" s="211"/>
      <c r="G40" s="211"/>
      <c r="H40" s="211"/>
      <c r="I40" s="211"/>
    </row>
    <row r="41" spans="1:9" ht="15" x14ac:dyDescent="0.3">
      <c r="A41" s="176" t="s">
        <v>107</v>
      </c>
      <c r="B41" s="176"/>
      <c r="C41" s="170"/>
      <c r="D41" s="170"/>
      <c r="E41" s="170"/>
      <c r="F41" s="170"/>
      <c r="G41" s="170"/>
      <c r="H41" s="170"/>
      <c r="I41" s="170"/>
    </row>
    <row r="42" spans="1:9" ht="15" x14ac:dyDescent="0.3">
      <c r="A42" s="170"/>
      <c r="B42" s="170"/>
      <c r="C42" s="170"/>
      <c r="D42" s="170"/>
      <c r="E42" s="170"/>
      <c r="F42" s="170"/>
      <c r="G42" s="170"/>
      <c r="H42" s="170"/>
      <c r="I42" s="170"/>
    </row>
    <row r="43" spans="1:9" ht="15" x14ac:dyDescent="0.3">
      <c r="A43" s="170"/>
      <c r="B43" s="170"/>
      <c r="C43" s="170"/>
      <c r="D43" s="170"/>
      <c r="E43" s="170"/>
      <c r="F43" s="170"/>
      <c r="G43" s="170"/>
      <c r="H43" s="170"/>
      <c r="I43" s="177"/>
    </row>
    <row r="44" spans="1:9" ht="15" x14ac:dyDescent="0.3">
      <c r="A44" s="176"/>
      <c r="B44" s="176"/>
      <c r="C44" s="176" t="s">
        <v>434</v>
      </c>
      <c r="D44" s="176"/>
      <c r="E44" s="214"/>
      <c r="F44" s="176"/>
      <c r="G44" s="176"/>
      <c r="H44" s="170"/>
      <c r="I44" s="177"/>
    </row>
    <row r="45" spans="1:9" ht="15" x14ac:dyDescent="0.3">
      <c r="A45" s="170"/>
      <c r="B45" s="170"/>
      <c r="C45" s="170" t="s">
        <v>270</v>
      </c>
      <c r="D45" s="170"/>
      <c r="E45" s="170"/>
      <c r="F45" s="170"/>
      <c r="G45" s="170"/>
      <c r="H45" s="170"/>
      <c r="I45" s="177"/>
    </row>
    <row r="46" spans="1:9" x14ac:dyDescent="0.2">
      <c r="A46" s="178"/>
      <c r="B46" s="178"/>
      <c r="C46" s="178" t="s">
        <v>139</v>
      </c>
      <c r="D46" s="178"/>
      <c r="E46" s="178"/>
      <c r="F46" s="178"/>
      <c r="G46" s="178"/>
    </row>
  </sheetData>
  <mergeCells count="2">
    <mergeCell ref="G1:H1"/>
    <mergeCell ref="G2:I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A16" zoomScale="85" zoomScaleSheetLayoutView="85" workbookViewId="0">
      <selection activeCell="D22" sqref="D22"/>
    </sheetView>
  </sheetViews>
  <sheetFormatPr defaultRowHeight="12.75" x14ac:dyDescent="0.2"/>
  <cols>
    <col min="1" max="1" width="5.42578125" style="171" customWidth="1"/>
    <col min="2" max="2" width="27.5703125" style="171" customWidth="1"/>
    <col min="3" max="3" width="19.28515625" style="171" customWidth="1"/>
    <col min="4" max="4" width="16.85546875" style="171" customWidth="1"/>
    <col min="5" max="5" width="13.140625" style="171" customWidth="1"/>
    <col min="6" max="6" width="17" style="171" customWidth="1"/>
    <col min="7" max="7" width="13.7109375" style="171" customWidth="1"/>
    <col min="8" max="8" width="19.42578125" style="171" bestFit="1" customWidth="1"/>
    <col min="9" max="9" width="18.5703125" style="171" bestFit="1" customWidth="1"/>
    <col min="10" max="10" width="16.7109375" style="171" customWidth="1"/>
    <col min="11" max="11" width="17.7109375" style="171" customWidth="1"/>
    <col min="12" max="12" width="12.85546875" style="171" customWidth="1"/>
    <col min="13" max="16384" width="9.140625" style="171"/>
  </cols>
  <sheetData>
    <row r="2" spans="1:13" ht="15" x14ac:dyDescent="0.3">
      <c r="A2" s="642" t="s">
        <v>512</v>
      </c>
      <c r="B2" s="642"/>
      <c r="C2" s="642"/>
      <c r="D2" s="642"/>
      <c r="E2" s="354"/>
      <c r="F2" s="68"/>
      <c r="G2" s="68"/>
      <c r="H2" s="68"/>
      <c r="I2" s="68"/>
      <c r="J2" s="355"/>
      <c r="K2" s="356"/>
      <c r="L2" s="356" t="s">
        <v>109</v>
      </c>
    </row>
    <row r="3" spans="1:13" ht="15" x14ac:dyDescent="0.3">
      <c r="A3" s="67" t="s">
        <v>140</v>
      </c>
      <c r="B3" s="65"/>
      <c r="C3" s="68"/>
      <c r="D3" s="68"/>
      <c r="E3" s="68"/>
      <c r="F3" s="68"/>
      <c r="G3" s="68"/>
      <c r="H3" s="68"/>
      <c r="I3" s="68"/>
      <c r="J3" s="355"/>
      <c r="K3" s="628" t="s">
        <v>645</v>
      </c>
      <c r="L3" s="639"/>
      <c r="M3" s="639"/>
    </row>
    <row r="4" spans="1:13" ht="15" x14ac:dyDescent="0.3">
      <c r="A4" s="67"/>
      <c r="B4" s="67"/>
      <c r="C4" s="65"/>
      <c r="D4" s="65"/>
      <c r="E4" s="65"/>
      <c r="F4" s="65"/>
      <c r="G4" s="65"/>
      <c r="H4" s="65"/>
      <c r="I4" s="65"/>
      <c r="J4" s="355"/>
      <c r="K4" s="355"/>
      <c r="L4" s="355"/>
    </row>
    <row r="5" spans="1:13" ht="15" x14ac:dyDescent="0.3">
      <c r="A5" s="68" t="s">
        <v>274</v>
      </c>
      <c r="B5" s="68"/>
      <c r="C5" s="68"/>
      <c r="D5" s="68"/>
      <c r="E5" s="68"/>
      <c r="F5" s="68"/>
      <c r="G5" s="68"/>
      <c r="H5" s="68"/>
      <c r="I5" s="68"/>
      <c r="J5" s="67"/>
      <c r="K5" s="67"/>
      <c r="L5" s="67"/>
    </row>
    <row r="6" spans="1:13" ht="15" x14ac:dyDescent="0.3">
      <c r="A6" s="71" t="str">
        <f>'ფორმა N1'!D4</f>
        <v>მოქალაქეთა  პოლიტიკური გაერთიანება "ეროვნული ფორუმი"</v>
      </c>
      <c r="B6" s="71"/>
      <c r="C6" s="71"/>
      <c r="D6" s="71"/>
      <c r="E6" s="71"/>
      <c r="F6" s="71"/>
      <c r="G6" s="71"/>
      <c r="H6" s="71"/>
      <c r="I6" s="71"/>
      <c r="J6" s="72"/>
      <c r="K6" s="72"/>
    </row>
    <row r="7" spans="1:13" ht="15" x14ac:dyDescent="0.3">
      <c r="A7" s="68"/>
      <c r="B7" s="68"/>
      <c r="C7" s="68"/>
      <c r="D7" s="68"/>
      <c r="E7" s="68"/>
      <c r="F7" s="68"/>
      <c r="G7" s="68"/>
      <c r="H7" s="68"/>
      <c r="I7" s="68"/>
      <c r="J7" s="67"/>
      <c r="K7" s="67"/>
      <c r="L7" s="67"/>
    </row>
    <row r="8" spans="1:13" ht="15" x14ac:dyDescent="0.2">
      <c r="A8" s="352"/>
      <c r="B8" s="352"/>
      <c r="C8" s="352"/>
      <c r="D8" s="352"/>
      <c r="E8" s="352"/>
      <c r="F8" s="352"/>
      <c r="G8" s="352"/>
      <c r="H8" s="352"/>
      <c r="I8" s="352"/>
      <c r="J8" s="69"/>
      <c r="K8" s="69"/>
      <c r="L8" s="69"/>
    </row>
    <row r="9" spans="1:13" ht="45" x14ac:dyDescent="0.2">
      <c r="A9" s="81" t="s">
        <v>64</v>
      </c>
      <c r="B9" s="81" t="s">
        <v>483</v>
      </c>
      <c r="C9" s="81" t="s">
        <v>484</v>
      </c>
      <c r="D9" s="81" t="s">
        <v>485</v>
      </c>
      <c r="E9" s="81" t="s">
        <v>486</v>
      </c>
      <c r="F9" s="81" t="s">
        <v>487</v>
      </c>
      <c r="G9" s="81" t="s">
        <v>488</v>
      </c>
      <c r="H9" s="81" t="s">
        <v>489</v>
      </c>
      <c r="I9" s="81" t="s">
        <v>490</v>
      </c>
      <c r="J9" s="81" t="s">
        <v>491</v>
      </c>
      <c r="K9" s="81" t="s">
        <v>492</v>
      </c>
      <c r="L9" s="81" t="s">
        <v>318</v>
      </c>
    </row>
    <row r="10" spans="1:13" ht="15" x14ac:dyDescent="0.2">
      <c r="A10" s="89">
        <v>1</v>
      </c>
      <c r="B10" s="340"/>
      <c r="C10" s="89"/>
      <c r="D10" s="89"/>
      <c r="E10" s="89"/>
      <c r="F10" s="89"/>
      <c r="G10" s="89"/>
      <c r="H10" s="89"/>
      <c r="I10" s="89"/>
      <c r="J10" s="4"/>
      <c r="K10" s="4"/>
      <c r="L10" s="89"/>
    </row>
    <row r="11" spans="1:13" ht="15" x14ac:dyDescent="0.2">
      <c r="A11" s="89">
        <v>2</v>
      </c>
      <c r="B11" s="340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3" ht="15" x14ac:dyDescent="0.2">
      <c r="A12" s="89">
        <v>3</v>
      </c>
      <c r="B12" s="340"/>
      <c r="C12" s="78"/>
      <c r="D12" s="78"/>
      <c r="E12" s="78"/>
      <c r="F12" s="78"/>
      <c r="G12" s="78"/>
      <c r="H12" s="78"/>
      <c r="I12" s="78"/>
      <c r="J12" s="4"/>
      <c r="K12" s="4"/>
      <c r="L12" s="78"/>
    </row>
    <row r="13" spans="1:13" ht="15" x14ac:dyDescent="0.2">
      <c r="A13" s="89">
        <v>4</v>
      </c>
      <c r="B13" s="340"/>
      <c r="C13" s="78"/>
      <c r="D13" s="78"/>
      <c r="E13" s="78"/>
      <c r="F13" s="78"/>
      <c r="G13" s="78"/>
      <c r="H13" s="78"/>
      <c r="I13" s="78"/>
      <c r="J13" s="4"/>
      <c r="K13" s="4"/>
      <c r="L13" s="78"/>
    </row>
    <row r="14" spans="1:13" ht="15" x14ac:dyDescent="0.2">
      <c r="A14" s="89">
        <v>5</v>
      </c>
      <c r="B14" s="340"/>
      <c r="C14" s="78"/>
      <c r="D14" s="78"/>
      <c r="E14" s="78"/>
      <c r="F14" s="78"/>
      <c r="G14" s="78"/>
      <c r="H14" s="78"/>
      <c r="I14" s="78"/>
      <c r="J14" s="4"/>
      <c r="K14" s="4"/>
      <c r="L14" s="78"/>
    </row>
    <row r="15" spans="1:13" ht="15" x14ac:dyDescent="0.2">
      <c r="A15" s="89">
        <v>6</v>
      </c>
      <c r="B15" s="340"/>
      <c r="C15" s="78"/>
      <c r="D15" s="78"/>
      <c r="E15" s="78"/>
      <c r="F15" s="78"/>
      <c r="G15" s="78"/>
      <c r="H15" s="78"/>
      <c r="I15" s="78"/>
      <c r="J15" s="4"/>
      <c r="K15" s="4"/>
      <c r="L15" s="78"/>
    </row>
    <row r="16" spans="1:13" ht="15" x14ac:dyDescent="0.2">
      <c r="A16" s="89">
        <v>7</v>
      </c>
      <c r="B16" s="340"/>
      <c r="C16" s="78"/>
      <c r="D16" s="78"/>
      <c r="E16" s="78"/>
      <c r="F16" s="78"/>
      <c r="G16" s="78"/>
      <c r="H16" s="78"/>
      <c r="I16" s="78"/>
      <c r="J16" s="4"/>
      <c r="K16" s="4"/>
      <c r="L16" s="78"/>
    </row>
    <row r="17" spans="1:12" ht="15" x14ac:dyDescent="0.2">
      <c r="A17" s="89">
        <v>8</v>
      </c>
      <c r="B17" s="340"/>
      <c r="C17" s="78"/>
      <c r="D17" s="78"/>
      <c r="E17" s="78"/>
      <c r="F17" s="78"/>
      <c r="G17" s="78"/>
      <c r="H17" s="78"/>
      <c r="I17" s="78"/>
      <c r="J17" s="4"/>
      <c r="K17" s="4"/>
      <c r="L17" s="78"/>
    </row>
    <row r="18" spans="1:12" ht="15" x14ac:dyDescent="0.2">
      <c r="A18" s="89">
        <v>9</v>
      </c>
      <c r="B18" s="340"/>
      <c r="C18" s="78"/>
      <c r="D18" s="78"/>
      <c r="E18" s="78"/>
      <c r="F18" s="78"/>
      <c r="G18" s="78"/>
      <c r="H18" s="78"/>
      <c r="I18" s="78"/>
      <c r="J18" s="4"/>
      <c r="K18" s="4"/>
      <c r="L18" s="78"/>
    </row>
    <row r="19" spans="1:12" ht="15" x14ac:dyDescent="0.2">
      <c r="A19" s="89">
        <v>10</v>
      </c>
      <c r="B19" s="340"/>
      <c r="C19" s="78"/>
      <c r="D19" s="78"/>
      <c r="E19" s="78"/>
      <c r="F19" s="78"/>
      <c r="G19" s="78"/>
      <c r="H19" s="78"/>
      <c r="I19" s="78"/>
      <c r="J19" s="4"/>
      <c r="K19" s="4"/>
      <c r="L19" s="78"/>
    </row>
    <row r="20" spans="1:12" ht="15" x14ac:dyDescent="0.2">
      <c r="A20" s="89">
        <v>11</v>
      </c>
      <c r="B20" s="340"/>
      <c r="C20" s="78"/>
      <c r="D20" s="78"/>
      <c r="E20" s="78"/>
      <c r="F20" s="78"/>
      <c r="G20" s="78"/>
      <c r="H20" s="78"/>
      <c r="I20" s="78"/>
      <c r="J20" s="4"/>
      <c r="K20" s="4"/>
      <c r="L20" s="78"/>
    </row>
    <row r="21" spans="1:12" ht="15" x14ac:dyDescent="0.2">
      <c r="A21" s="89">
        <v>12</v>
      </c>
      <c r="B21" s="340"/>
      <c r="C21" s="78"/>
      <c r="D21" s="78"/>
      <c r="E21" s="78"/>
      <c r="F21" s="78"/>
      <c r="G21" s="78"/>
      <c r="H21" s="78"/>
      <c r="I21" s="78"/>
      <c r="J21" s="4"/>
      <c r="K21" s="4"/>
      <c r="L21" s="78"/>
    </row>
    <row r="22" spans="1:12" ht="15" x14ac:dyDescent="0.2">
      <c r="A22" s="89">
        <v>13</v>
      </c>
      <c r="B22" s="340"/>
      <c r="C22" s="78"/>
      <c r="D22" s="78"/>
      <c r="E22" s="78"/>
      <c r="F22" s="78"/>
      <c r="G22" s="78"/>
      <c r="H22" s="78"/>
      <c r="I22" s="78"/>
      <c r="J22" s="4"/>
      <c r="K22" s="4"/>
      <c r="L22" s="78"/>
    </row>
    <row r="23" spans="1:12" ht="15" x14ac:dyDescent="0.2">
      <c r="A23" s="89">
        <v>14</v>
      </c>
      <c r="B23" s="340"/>
      <c r="C23" s="78"/>
      <c r="D23" s="78"/>
      <c r="E23" s="78"/>
      <c r="F23" s="78"/>
      <c r="G23" s="78"/>
      <c r="H23" s="78"/>
      <c r="I23" s="78"/>
      <c r="J23" s="4"/>
      <c r="K23" s="4"/>
      <c r="L23" s="78"/>
    </row>
    <row r="24" spans="1:12" ht="15" x14ac:dyDescent="0.2">
      <c r="A24" s="89">
        <v>15</v>
      </c>
      <c r="B24" s="340"/>
      <c r="C24" s="78"/>
      <c r="D24" s="78"/>
      <c r="E24" s="78"/>
      <c r="F24" s="78"/>
      <c r="G24" s="78"/>
      <c r="H24" s="78"/>
      <c r="I24" s="78"/>
      <c r="J24" s="4"/>
      <c r="K24" s="4"/>
      <c r="L24" s="78"/>
    </row>
    <row r="25" spans="1:12" ht="15" x14ac:dyDescent="0.2">
      <c r="A25" s="89">
        <v>16</v>
      </c>
      <c r="B25" s="340"/>
      <c r="C25" s="78"/>
      <c r="D25" s="78"/>
      <c r="E25" s="78"/>
      <c r="F25" s="78"/>
      <c r="G25" s="78"/>
      <c r="H25" s="78"/>
      <c r="I25" s="78"/>
      <c r="J25" s="4"/>
      <c r="K25" s="4"/>
      <c r="L25" s="78"/>
    </row>
    <row r="26" spans="1:12" ht="15" x14ac:dyDescent="0.2">
      <c r="A26" s="89">
        <v>17</v>
      </c>
      <c r="B26" s="340"/>
      <c r="C26" s="78"/>
      <c r="D26" s="78"/>
      <c r="E26" s="78"/>
      <c r="F26" s="78"/>
      <c r="G26" s="78"/>
      <c r="H26" s="78"/>
      <c r="I26" s="78"/>
      <c r="J26" s="4"/>
      <c r="K26" s="4"/>
      <c r="L26" s="78"/>
    </row>
    <row r="27" spans="1:12" ht="15" x14ac:dyDescent="0.2">
      <c r="A27" s="89">
        <v>18</v>
      </c>
      <c r="B27" s="340"/>
      <c r="C27" s="78"/>
      <c r="D27" s="78"/>
      <c r="E27" s="78"/>
      <c r="F27" s="78"/>
      <c r="G27" s="78"/>
      <c r="H27" s="78"/>
      <c r="I27" s="78"/>
      <c r="J27" s="4"/>
      <c r="K27" s="4"/>
      <c r="L27" s="78"/>
    </row>
    <row r="28" spans="1:12" ht="15" x14ac:dyDescent="0.2">
      <c r="A28" s="89">
        <v>19</v>
      </c>
      <c r="B28" s="340"/>
      <c r="C28" s="78"/>
      <c r="D28" s="78"/>
      <c r="E28" s="78"/>
      <c r="F28" s="78"/>
      <c r="G28" s="78"/>
      <c r="H28" s="78"/>
      <c r="I28" s="78"/>
      <c r="J28" s="4"/>
      <c r="K28" s="4"/>
      <c r="L28" s="78"/>
    </row>
    <row r="29" spans="1:12" ht="15" x14ac:dyDescent="0.2">
      <c r="A29" s="89">
        <v>20</v>
      </c>
      <c r="B29" s="340"/>
      <c r="C29" s="78"/>
      <c r="D29" s="78"/>
      <c r="E29" s="78"/>
      <c r="F29" s="78"/>
      <c r="G29" s="78"/>
      <c r="H29" s="78"/>
      <c r="I29" s="78"/>
      <c r="J29" s="4"/>
      <c r="K29" s="4"/>
      <c r="L29" s="78"/>
    </row>
    <row r="30" spans="1:12" ht="15" x14ac:dyDescent="0.2">
      <c r="A30" s="89">
        <v>21</v>
      </c>
      <c r="B30" s="340"/>
      <c r="C30" s="78"/>
      <c r="D30" s="78"/>
      <c r="E30" s="78"/>
      <c r="F30" s="78"/>
      <c r="G30" s="78"/>
      <c r="H30" s="78"/>
      <c r="I30" s="78"/>
      <c r="J30" s="4"/>
      <c r="K30" s="4"/>
      <c r="L30" s="78"/>
    </row>
    <row r="31" spans="1:12" ht="15" x14ac:dyDescent="0.2">
      <c r="A31" s="89">
        <v>22</v>
      </c>
      <c r="B31" s="340"/>
      <c r="C31" s="78"/>
      <c r="D31" s="78"/>
      <c r="E31" s="78"/>
      <c r="F31" s="78"/>
      <c r="G31" s="78"/>
      <c r="H31" s="78"/>
      <c r="I31" s="78"/>
      <c r="J31" s="4"/>
      <c r="K31" s="4"/>
      <c r="L31" s="78"/>
    </row>
    <row r="32" spans="1:12" ht="15" x14ac:dyDescent="0.2">
      <c r="A32" s="89">
        <v>23</v>
      </c>
      <c r="B32" s="340"/>
      <c r="C32" s="78"/>
      <c r="D32" s="78"/>
      <c r="E32" s="78"/>
      <c r="F32" s="78"/>
      <c r="G32" s="78"/>
      <c r="H32" s="78"/>
      <c r="I32" s="78"/>
      <c r="J32" s="4"/>
      <c r="K32" s="4"/>
      <c r="L32" s="78"/>
    </row>
    <row r="33" spans="1:12" ht="15" x14ac:dyDescent="0.2">
      <c r="A33" s="89">
        <v>24</v>
      </c>
      <c r="B33" s="340"/>
      <c r="C33" s="78"/>
      <c r="D33" s="78"/>
      <c r="E33" s="78"/>
      <c r="F33" s="78"/>
      <c r="G33" s="78"/>
      <c r="H33" s="78"/>
      <c r="I33" s="78"/>
      <c r="J33" s="4"/>
      <c r="K33" s="4"/>
      <c r="L33" s="78"/>
    </row>
    <row r="34" spans="1:12" ht="15" x14ac:dyDescent="0.2">
      <c r="A34" s="78" t="s">
        <v>276</v>
      </c>
      <c r="B34" s="340"/>
      <c r="C34" s="78"/>
      <c r="D34" s="78"/>
      <c r="E34" s="78"/>
      <c r="F34" s="78"/>
      <c r="G34" s="78"/>
      <c r="H34" s="78"/>
      <c r="I34" s="78"/>
      <c r="J34" s="4"/>
      <c r="K34" s="4"/>
      <c r="L34" s="78"/>
    </row>
    <row r="35" spans="1:12" ht="15" x14ac:dyDescent="0.3">
      <c r="A35" s="78"/>
      <c r="B35" s="340"/>
      <c r="C35" s="90"/>
      <c r="D35" s="90"/>
      <c r="E35" s="90"/>
      <c r="F35" s="90"/>
      <c r="G35" s="78"/>
      <c r="H35" s="78"/>
      <c r="I35" s="78"/>
      <c r="J35" s="78" t="s">
        <v>493</v>
      </c>
      <c r="K35" s="77">
        <f>SUM(K10:K34)</f>
        <v>0</v>
      </c>
      <c r="L35" s="78"/>
    </row>
    <row r="36" spans="1:12" ht="15" x14ac:dyDescent="0.3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170"/>
    </row>
    <row r="37" spans="1:12" ht="15" x14ac:dyDescent="0.3">
      <c r="A37" s="215" t="s">
        <v>494</v>
      </c>
      <c r="B37" s="215"/>
      <c r="C37" s="214"/>
      <c r="D37" s="214"/>
      <c r="E37" s="214"/>
      <c r="F37" s="214"/>
      <c r="G37" s="214"/>
      <c r="H37" s="214"/>
      <c r="I37" s="214"/>
      <c r="J37" s="214"/>
      <c r="K37" s="170"/>
    </row>
    <row r="38" spans="1:12" ht="15" x14ac:dyDescent="0.3">
      <c r="A38" s="215" t="s">
        <v>495</v>
      </c>
      <c r="B38" s="215"/>
      <c r="C38" s="214"/>
      <c r="D38" s="214"/>
      <c r="E38" s="214"/>
      <c r="F38" s="214"/>
      <c r="G38" s="214"/>
      <c r="H38" s="214"/>
      <c r="I38" s="214"/>
      <c r="J38" s="214"/>
      <c r="K38" s="170"/>
    </row>
    <row r="39" spans="1:12" ht="15" x14ac:dyDescent="0.3">
      <c r="A39" s="201" t="s">
        <v>496</v>
      </c>
      <c r="B39" s="215"/>
      <c r="C39" s="170"/>
      <c r="D39" s="170"/>
      <c r="E39" s="170"/>
      <c r="F39" s="170"/>
      <c r="G39" s="170"/>
      <c r="H39" s="170"/>
      <c r="I39" s="170"/>
      <c r="J39" s="170"/>
      <c r="K39" s="170"/>
    </row>
    <row r="40" spans="1:12" ht="15" x14ac:dyDescent="0.3">
      <c r="A40" s="201" t="s">
        <v>513</v>
      </c>
      <c r="B40" s="215"/>
      <c r="C40" s="170"/>
      <c r="D40" s="170"/>
      <c r="E40" s="170"/>
      <c r="F40" s="170"/>
      <c r="G40" s="170"/>
      <c r="H40" s="170"/>
      <c r="I40" s="170"/>
      <c r="J40" s="170"/>
      <c r="K40" s="170"/>
    </row>
    <row r="41" spans="1:12" ht="15.75" customHeight="1" x14ac:dyDescent="0.2">
      <c r="A41" s="647" t="s">
        <v>514</v>
      </c>
      <c r="B41" s="647"/>
      <c r="C41" s="647"/>
      <c r="D41" s="647"/>
      <c r="E41" s="647"/>
      <c r="F41" s="647"/>
      <c r="G41" s="647"/>
      <c r="H41" s="647"/>
      <c r="I41" s="647"/>
      <c r="J41" s="647"/>
      <c r="K41" s="647"/>
    </row>
    <row r="42" spans="1:12" ht="15.75" customHeight="1" x14ac:dyDescent="0.2">
      <c r="A42" s="647"/>
      <c r="B42" s="647"/>
      <c r="C42" s="647"/>
      <c r="D42" s="647"/>
      <c r="E42" s="647"/>
      <c r="F42" s="647"/>
      <c r="G42" s="647"/>
      <c r="H42" s="647"/>
      <c r="I42" s="647"/>
      <c r="J42" s="647"/>
      <c r="K42" s="647"/>
    </row>
    <row r="43" spans="1:12" x14ac:dyDescent="0.2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</row>
    <row r="44" spans="1:12" ht="15" x14ac:dyDescent="0.3">
      <c r="A44" s="643" t="s">
        <v>107</v>
      </c>
      <c r="B44" s="643"/>
      <c r="C44" s="341"/>
      <c r="D44" s="342"/>
      <c r="E44" s="342"/>
      <c r="F44" s="341"/>
      <c r="G44" s="341"/>
      <c r="H44" s="341"/>
      <c r="I44" s="341"/>
      <c r="J44" s="341"/>
      <c r="K44" s="170"/>
    </row>
    <row r="45" spans="1:12" ht="15" x14ac:dyDescent="0.3">
      <c r="A45" s="341"/>
      <c r="B45" s="342"/>
      <c r="C45" s="341"/>
      <c r="D45" s="342"/>
      <c r="E45" s="342"/>
      <c r="F45" s="341"/>
      <c r="G45" s="341"/>
      <c r="H45" s="341"/>
      <c r="I45" s="341"/>
      <c r="J45" s="343"/>
      <c r="K45" s="170"/>
    </row>
    <row r="46" spans="1:12" ht="15" customHeight="1" x14ac:dyDescent="0.3">
      <c r="A46" s="341"/>
      <c r="B46" s="342"/>
      <c r="C46" s="644" t="s">
        <v>268</v>
      </c>
      <c r="D46" s="644"/>
      <c r="E46" s="353"/>
      <c r="F46" s="344"/>
      <c r="G46" s="645" t="s">
        <v>498</v>
      </c>
      <c r="H46" s="645"/>
      <c r="I46" s="645"/>
      <c r="J46" s="345"/>
      <c r="K46" s="170"/>
    </row>
    <row r="47" spans="1:12" ht="15" x14ac:dyDescent="0.3">
      <c r="A47" s="341"/>
      <c r="B47" s="342"/>
      <c r="C47" s="341"/>
      <c r="D47" s="342"/>
      <c r="E47" s="342"/>
      <c r="F47" s="341"/>
      <c r="G47" s="646"/>
      <c r="H47" s="646"/>
      <c r="I47" s="646"/>
      <c r="J47" s="345"/>
      <c r="K47" s="170"/>
    </row>
    <row r="48" spans="1:12" ht="15" x14ac:dyDescent="0.3">
      <c r="A48" s="341"/>
      <c r="B48" s="342"/>
      <c r="C48" s="641" t="s">
        <v>139</v>
      </c>
      <c r="D48" s="641"/>
      <c r="E48" s="353"/>
      <c r="F48" s="344"/>
      <c r="G48" s="341"/>
      <c r="H48" s="341"/>
      <c r="I48" s="341"/>
      <c r="J48" s="341"/>
      <c r="K48" s="170"/>
    </row>
  </sheetData>
  <mergeCells count="7">
    <mergeCell ref="C48:D48"/>
    <mergeCell ref="A2:D2"/>
    <mergeCell ref="A44:B44"/>
    <mergeCell ref="C46:D46"/>
    <mergeCell ref="G46:I47"/>
    <mergeCell ref="A41:K42"/>
    <mergeCell ref="K3:M3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2017-01-30T16:50:57Z</cp:lastPrinted>
  <dcterms:created xsi:type="dcterms:W3CDTF">2011-12-27T13:20:18Z</dcterms:created>
  <dcterms:modified xsi:type="dcterms:W3CDTF">2017-02-03T11:19:12Z</dcterms:modified>
</cp:coreProperties>
</file>