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4.2'!$A$1:$I$294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5.2'!$A$1:$I$65</definedName>
    <definedName name="_xlnm.Print_Area" localSheetId="13">'ფორმა 5.4'!$A$1:$H$46</definedName>
    <definedName name="_xlnm.Print_Area" localSheetId="14">'ფორმა 5.5'!$A$1:$L$56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D13" i="40" l="1"/>
  <c r="C13" i="40"/>
  <c r="G282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D31" i="12"/>
  <c r="C64" i="40"/>
  <c r="C50" i="40" l="1"/>
  <c r="C23" i="40"/>
  <c r="C66" i="40"/>
  <c r="D23" i="40"/>
  <c r="D47" i="40"/>
  <c r="D50" i="40"/>
  <c r="D28" i="40"/>
  <c r="C26" i="40"/>
  <c r="C28" i="40"/>
  <c r="C27" i="40"/>
  <c r="D29" i="40"/>
  <c r="C29" i="40"/>
  <c r="C37" i="40"/>
  <c r="K42" i="46"/>
  <c r="A6" i="46"/>
  <c r="I13" i="44"/>
  <c r="H13" i="44"/>
  <c r="I52" i="43"/>
  <c r="H52" i="43"/>
  <c r="G52" i="43"/>
  <c r="A5" i="43"/>
  <c r="D72" i="47"/>
  <c r="C72" i="47"/>
  <c r="D64" i="47"/>
  <c r="D58" i="47"/>
  <c r="C58" i="47"/>
  <c r="D53" i="47"/>
  <c r="C53" i="47"/>
  <c r="D48" i="47"/>
  <c r="D47" i="47" s="1"/>
  <c r="C48" i="47"/>
  <c r="C47" i="47"/>
  <c r="D44" i="47"/>
  <c r="C44" i="47"/>
  <c r="C40" i="47"/>
  <c r="C36" i="47" s="1"/>
  <c r="D36" i="47"/>
  <c r="D35" i="47"/>
  <c r="C35" i="47"/>
  <c r="D33" i="47"/>
  <c r="D32" i="47" s="1"/>
  <c r="C33" i="47"/>
  <c r="C32" i="47"/>
  <c r="D29" i="47"/>
  <c r="C29" i="47"/>
  <c r="D27" i="47"/>
  <c r="C27" i="47"/>
  <c r="D26" i="47"/>
  <c r="C26" i="47"/>
  <c r="D25" i="47"/>
  <c r="C25" i="47"/>
  <c r="D24" i="47"/>
  <c r="D23" i="47" s="1"/>
  <c r="C24" i="47"/>
  <c r="C23" i="47" s="1"/>
  <c r="C17" i="47" s="1"/>
  <c r="D21" i="47"/>
  <c r="D17" i="47" s="1"/>
  <c r="C21" i="47"/>
  <c r="D16" i="47"/>
  <c r="D14" i="47" s="1"/>
  <c r="C16" i="47"/>
  <c r="C14" i="47" s="1"/>
  <c r="C13" i="47" s="1"/>
  <c r="D11" i="47"/>
  <c r="D10" i="47" s="1"/>
  <c r="C11" i="47"/>
  <c r="C10" i="47" s="1"/>
  <c r="A5" i="47"/>
  <c r="I239" i="29"/>
  <c r="H239" i="29"/>
  <c r="I238" i="29"/>
  <c r="H238" i="29"/>
  <c r="I237" i="29"/>
  <c r="H237" i="29"/>
  <c r="I236" i="29"/>
  <c r="H236" i="29"/>
  <c r="I235" i="29"/>
  <c r="H235" i="29"/>
  <c r="I234" i="29"/>
  <c r="H234" i="29"/>
  <c r="I233" i="29"/>
  <c r="H233" i="29"/>
  <c r="I232" i="29"/>
  <c r="H232" i="29"/>
  <c r="I231" i="29"/>
  <c r="H231" i="29"/>
  <c r="I230" i="29"/>
  <c r="H230" i="29"/>
  <c r="I229" i="29"/>
  <c r="H229" i="29"/>
  <c r="I228" i="29"/>
  <c r="H228" i="29"/>
  <c r="I227" i="29"/>
  <c r="H227" i="29"/>
  <c r="I226" i="29"/>
  <c r="H226" i="29"/>
  <c r="I225" i="29"/>
  <c r="H225" i="29"/>
  <c r="I224" i="29"/>
  <c r="H224" i="29"/>
  <c r="I223" i="29"/>
  <c r="H223" i="29"/>
  <c r="I222" i="29"/>
  <c r="H222" i="29"/>
  <c r="I221" i="29"/>
  <c r="H221" i="29"/>
  <c r="I220" i="29"/>
  <c r="H220" i="29"/>
  <c r="I219" i="29"/>
  <c r="H219" i="29"/>
  <c r="I218" i="29"/>
  <c r="H218" i="29"/>
  <c r="I217" i="29"/>
  <c r="H217" i="29"/>
  <c r="I216" i="29"/>
  <c r="H216" i="29"/>
  <c r="I215" i="29"/>
  <c r="H215" i="29"/>
  <c r="I214" i="29"/>
  <c r="H214" i="29"/>
  <c r="I213" i="29"/>
  <c r="H213" i="29"/>
  <c r="I212" i="29"/>
  <c r="H212" i="29"/>
  <c r="I211" i="29"/>
  <c r="H211" i="29"/>
  <c r="I210" i="29"/>
  <c r="H210" i="29"/>
  <c r="I209" i="29"/>
  <c r="H209" i="29"/>
  <c r="I208" i="29"/>
  <c r="H208" i="29"/>
  <c r="I207" i="29"/>
  <c r="H207" i="29"/>
  <c r="I206" i="29"/>
  <c r="H206" i="29"/>
  <c r="I205" i="29"/>
  <c r="H205" i="29"/>
  <c r="I204" i="29"/>
  <c r="H204" i="29"/>
  <c r="I203" i="29"/>
  <c r="H203" i="29"/>
  <c r="I202" i="29"/>
  <c r="H202" i="29"/>
  <c r="I201" i="29"/>
  <c r="H201" i="29"/>
  <c r="I200" i="29"/>
  <c r="H200" i="29"/>
  <c r="I199" i="29"/>
  <c r="H199" i="29"/>
  <c r="I198" i="29"/>
  <c r="H198" i="29"/>
  <c r="I197" i="29"/>
  <c r="H197" i="29"/>
  <c r="I196" i="29"/>
  <c r="H196" i="29"/>
  <c r="I195" i="29"/>
  <c r="H195" i="29"/>
  <c r="I194" i="29"/>
  <c r="H194" i="29"/>
  <c r="I193" i="29"/>
  <c r="H193" i="29"/>
  <c r="I192" i="29"/>
  <c r="H192" i="29"/>
  <c r="I191" i="29"/>
  <c r="H191" i="29"/>
  <c r="I190" i="29"/>
  <c r="H190" i="29"/>
  <c r="I189" i="29"/>
  <c r="H189" i="29"/>
  <c r="I188" i="29"/>
  <c r="H188" i="29"/>
  <c r="I187" i="29"/>
  <c r="H187" i="29"/>
  <c r="I186" i="29"/>
  <c r="H186" i="29"/>
  <c r="I185" i="29"/>
  <c r="H185" i="29"/>
  <c r="I184" i="29"/>
  <c r="H184" i="29"/>
  <c r="I183" i="29"/>
  <c r="H183" i="29"/>
  <c r="I182" i="29"/>
  <c r="H182" i="29"/>
  <c r="I181" i="29"/>
  <c r="H181" i="29"/>
  <c r="I180" i="29"/>
  <c r="H180" i="29"/>
  <c r="I179" i="29"/>
  <c r="H179" i="29"/>
  <c r="I178" i="29"/>
  <c r="H178" i="29"/>
  <c r="I177" i="29"/>
  <c r="H177" i="29"/>
  <c r="I176" i="29"/>
  <c r="H176" i="29"/>
  <c r="I175" i="29"/>
  <c r="H175" i="29"/>
  <c r="I174" i="29"/>
  <c r="H174" i="29"/>
  <c r="I173" i="29"/>
  <c r="H173" i="29"/>
  <c r="I172" i="29"/>
  <c r="H172" i="29"/>
  <c r="I171" i="29"/>
  <c r="H171" i="29"/>
  <c r="I170" i="29"/>
  <c r="H170" i="29"/>
  <c r="I169" i="29"/>
  <c r="H169" i="29"/>
  <c r="I168" i="29"/>
  <c r="H168" i="29"/>
  <c r="I167" i="29"/>
  <c r="H167" i="29"/>
  <c r="I166" i="29"/>
  <c r="H166" i="29"/>
  <c r="I165" i="29"/>
  <c r="H165" i="29"/>
  <c r="I164" i="29"/>
  <c r="H164" i="29"/>
  <c r="I163" i="29"/>
  <c r="H163" i="29"/>
  <c r="I162" i="29"/>
  <c r="H162" i="29"/>
  <c r="I161" i="29"/>
  <c r="H161" i="29"/>
  <c r="I160" i="29"/>
  <c r="H160" i="29"/>
  <c r="I159" i="29"/>
  <c r="H159" i="29"/>
  <c r="I158" i="29"/>
  <c r="H158" i="29"/>
  <c r="I157" i="29"/>
  <c r="H157" i="29"/>
  <c r="I156" i="29"/>
  <c r="H156" i="29"/>
  <c r="I155" i="29"/>
  <c r="H155" i="29"/>
  <c r="I154" i="29"/>
  <c r="H154" i="29"/>
  <c r="I153" i="29"/>
  <c r="H153" i="29"/>
  <c r="I152" i="29"/>
  <c r="H152" i="29"/>
  <c r="I151" i="29"/>
  <c r="H151" i="29"/>
  <c r="I150" i="29"/>
  <c r="H150" i="29"/>
  <c r="I149" i="29"/>
  <c r="H149" i="29"/>
  <c r="I148" i="29"/>
  <c r="H148" i="29"/>
  <c r="I147" i="29"/>
  <c r="H147" i="29"/>
  <c r="I146" i="29"/>
  <c r="H146" i="29"/>
  <c r="I145" i="29"/>
  <c r="H145" i="29"/>
  <c r="I144" i="29"/>
  <c r="H144" i="29"/>
  <c r="I143" i="29"/>
  <c r="H143" i="29"/>
  <c r="I142" i="29"/>
  <c r="H142" i="29"/>
  <c r="I141" i="29"/>
  <c r="H141" i="29"/>
  <c r="I140" i="29"/>
  <c r="H140" i="29"/>
  <c r="I139" i="29"/>
  <c r="H139" i="29"/>
  <c r="I138" i="29"/>
  <c r="H138" i="29"/>
  <c r="I137" i="29"/>
  <c r="H137" i="29"/>
  <c r="I136" i="29"/>
  <c r="H136" i="29"/>
  <c r="I135" i="29"/>
  <c r="H135" i="29"/>
  <c r="I134" i="29"/>
  <c r="H134" i="29"/>
  <c r="I133" i="29"/>
  <c r="H133" i="29"/>
  <c r="I132" i="29"/>
  <c r="H132" i="29"/>
  <c r="I131" i="29"/>
  <c r="H131" i="29"/>
  <c r="I130" i="29"/>
  <c r="H130" i="29"/>
  <c r="I129" i="29"/>
  <c r="H129" i="29"/>
  <c r="I128" i="29"/>
  <c r="H128" i="29"/>
  <c r="I127" i="29"/>
  <c r="H127" i="29"/>
  <c r="I126" i="29"/>
  <c r="H126" i="29"/>
  <c r="I125" i="29"/>
  <c r="H125" i="29"/>
  <c r="I124" i="29"/>
  <c r="H124" i="29"/>
  <c r="I123" i="29"/>
  <c r="H123" i="29"/>
  <c r="I122" i="29"/>
  <c r="H122" i="29"/>
  <c r="I121" i="29"/>
  <c r="H121" i="29"/>
  <c r="I120" i="29"/>
  <c r="H120" i="29"/>
  <c r="I119" i="29"/>
  <c r="H119" i="29"/>
  <c r="I118" i="29"/>
  <c r="H118" i="29"/>
  <c r="I117" i="29"/>
  <c r="H117" i="29"/>
  <c r="I116" i="29"/>
  <c r="H116" i="29"/>
  <c r="I115" i="29"/>
  <c r="H115" i="29"/>
  <c r="I114" i="29"/>
  <c r="H114" i="29"/>
  <c r="I113" i="29"/>
  <c r="H113" i="29"/>
  <c r="I112" i="29"/>
  <c r="H112" i="29"/>
  <c r="I111" i="29"/>
  <c r="H111" i="29"/>
  <c r="I110" i="29"/>
  <c r="H110" i="29"/>
  <c r="I109" i="29"/>
  <c r="H109" i="29"/>
  <c r="I108" i="29"/>
  <c r="H108" i="29"/>
  <c r="I107" i="29"/>
  <c r="H107" i="29"/>
  <c r="I106" i="29"/>
  <c r="H106" i="29"/>
  <c r="I105" i="29"/>
  <c r="H105" i="29"/>
  <c r="I104" i="29"/>
  <c r="H104" i="29"/>
  <c r="I103" i="29"/>
  <c r="H103" i="29"/>
  <c r="I102" i="29"/>
  <c r="H102" i="29"/>
  <c r="I101" i="29"/>
  <c r="H101" i="29"/>
  <c r="I100" i="29"/>
  <c r="H100" i="29"/>
  <c r="I99" i="29"/>
  <c r="H99" i="29"/>
  <c r="I98" i="29"/>
  <c r="H98" i="29"/>
  <c r="I97" i="29"/>
  <c r="H97" i="29"/>
  <c r="I96" i="29"/>
  <c r="H96" i="29"/>
  <c r="I95" i="29"/>
  <c r="H95" i="29"/>
  <c r="I94" i="29"/>
  <c r="H94" i="29"/>
  <c r="I93" i="29"/>
  <c r="H93" i="29"/>
  <c r="I92" i="29"/>
  <c r="H92" i="29"/>
  <c r="I91" i="29"/>
  <c r="H91" i="29"/>
  <c r="I90" i="29"/>
  <c r="H90" i="29"/>
  <c r="I89" i="29"/>
  <c r="H89" i="29"/>
  <c r="I88" i="29"/>
  <c r="H88" i="29"/>
  <c r="I87" i="29"/>
  <c r="H87" i="29"/>
  <c r="I86" i="29"/>
  <c r="H86" i="29"/>
  <c r="I85" i="29"/>
  <c r="H85" i="29"/>
  <c r="I84" i="29"/>
  <c r="H84" i="29"/>
  <c r="I83" i="29"/>
  <c r="H83" i="29"/>
  <c r="I82" i="29"/>
  <c r="H82" i="29"/>
  <c r="I81" i="29"/>
  <c r="H81" i="29"/>
  <c r="I80" i="29"/>
  <c r="H80" i="29"/>
  <c r="I79" i="29"/>
  <c r="H79" i="29"/>
  <c r="I78" i="29"/>
  <c r="H78" i="29"/>
  <c r="I77" i="29"/>
  <c r="H77" i="29"/>
  <c r="I76" i="29"/>
  <c r="H76" i="29"/>
  <c r="I75" i="29"/>
  <c r="H75" i="29"/>
  <c r="I74" i="29"/>
  <c r="H74" i="29"/>
  <c r="I73" i="29"/>
  <c r="H73" i="29"/>
  <c r="I72" i="29"/>
  <c r="H72" i="29"/>
  <c r="I71" i="29"/>
  <c r="H71" i="29"/>
  <c r="I70" i="29"/>
  <c r="H70" i="29"/>
  <c r="I69" i="29"/>
  <c r="H69" i="29"/>
  <c r="I68" i="29"/>
  <c r="H68" i="29"/>
  <c r="I67" i="29"/>
  <c r="H67" i="29"/>
  <c r="I66" i="29"/>
  <c r="H66" i="29"/>
  <c r="I65" i="29"/>
  <c r="H65" i="29"/>
  <c r="I64" i="29"/>
  <c r="H64" i="29"/>
  <c r="I63" i="29"/>
  <c r="H63" i="29"/>
  <c r="I62" i="29"/>
  <c r="H62" i="29"/>
  <c r="I61" i="29"/>
  <c r="H61" i="29"/>
  <c r="I60" i="29"/>
  <c r="H60" i="29"/>
  <c r="I59" i="29"/>
  <c r="H59" i="29"/>
  <c r="I58" i="29"/>
  <c r="H58" i="29"/>
  <c r="I57" i="29"/>
  <c r="H57" i="29"/>
  <c r="I56" i="29"/>
  <c r="H56" i="29"/>
  <c r="I55" i="29"/>
  <c r="H55" i="29"/>
  <c r="I54" i="29"/>
  <c r="H54" i="29"/>
  <c r="I53" i="29"/>
  <c r="H53" i="29"/>
  <c r="I52" i="29"/>
  <c r="H52" i="29"/>
  <c r="I51" i="29"/>
  <c r="H51" i="29"/>
  <c r="I50" i="29"/>
  <c r="H50" i="29"/>
  <c r="I49" i="29"/>
  <c r="H49" i="29"/>
  <c r="I48" i="29"/>
  <c r="H48" i="29"/>
  <c r="I47" i="29"/>
  <c r="H47" i="29"/>
  <c r="I46" i="29"/>
  <c r="H46" i="29"/>
  <c r="I45" i="29"/>
  <c r="H45" i="29"/>
  <c r="I44" i="29"/>
  <c r="H44" i="29"/>
  <c r="I43" i="29"/>
  <c r="H43" i="29"/>
  <c r="I42" i="29"/>
  <c r="H42" i="29"/>
  <c r="I41" i="29"/>
  <c r="H41" i="29"/>
  <c r="I40" i="29"/>
  <c r="H40" i="29"/>
  <c r="I39" i="29"/>
  <c r="H39" i="29"/>
  <c r="I38" i="29"/>
  <c r="H38" i="29"/>
  <c r="I37" i="29"/>
  <c r="H37" i="29"/>
  <c r="I36" i="29"/>
  <c r="H36" i="29"/>
  <c r="I35" i="29"/>
  <c r="H35" i="29"/>
  <c r="I34" i="29"/>
  <c r="H34" i="29"/>
  <c r="I33" i="29"/>
  <c r="H33" i="29"/>
  <c r="I32" i="29"/>
  <c r="H32" i="29"/>
  <c r="I31" i="29"/>
  <c r="H31" i="29"/>
  <c r="I30" i="29"/>
  <c r="H30" i="29"/>
  <c r="I29" i="29"/>
  <c r="H29" i="29"/>
  <c r="I28" i="29"/>
  <c r="H28" i="29"/>
  <c r="I27" i="29"/>
  <c r="H27" i="29"/>
  <c r="I26" i="29"/>
  <c r="H26" i="29"/>
  <c r="I25" i="29"/>
  <c r="H25" i="29"/>
  <c r="I24" i="29"/>
  <c r="H24" i="29"/>
  <c r="I23" i="29"/>
  <c r="H23" i="29"/>
  <c r="I22" i="29"/>
  <c r="H22" i="29"/>
  <c r="I21" i="29"/>
  <c r="H21" i="29"/>
  <c r="I20" i="29"/>
  <c r="H20" i="29"/>
  <c r="I19" i="29"/>
  <c r="H19" i="29"/>
  <c r="I18" i="29"/>
  <c r="H18" i="29"/>
  <c r="I17" i="29"/>
  <c r="H17" i="29"/>
  <c r="I16" i="29"/>
  <c r="H16" i="29"/>
  <c r="I15" i="29"/>
  <c r="H15" i="29"/>
  <c r="I14" i="29"/>
  <c r="H14" i="29"/>
  <c r="I13" i="29"/>
  <c r="H13" i="29"/>
  <c r="I12" i="29"/>
  <c r="H12" i="29"/>
  <c r="I11" i="29"/>
  <c r="H11" i="29"/>
  <c r="I10" i="29"/>
  <c r="H10" i="29"/>
  <c r="I9" i="29"/>
  <c r="I282" i="29" s="1"/>
  <c r="H9" i="29"/>
  <c r="A4" i="29"/>
  <c r="D46" i="40"/>
  <c r="C17" i="40"/>
  <c r="D18" i="40"/>
  <c r="C18" i="40"/>
  <c r="D20" i="40"/>
  <c r="C20" i="40"/>
  <c r="D26" i="40"/>
  <c r="C35" i="40"/>
  <c r="C46" i="40"/>
  <c r="C47" i="40"/>
  <c r="D27" i="40"/>
  <c r="D35" i="40"/>
  <c r="D37" i="40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5" i="33"/>
  <c r="A4" i="33"/>
  <c r="J16" i="10"/>
  <c r="G16" i="10"/>
  <c r="G19" i="10"/>
  <c r="G17" i="10" s="1"/>
  <c r="G18" i="10"/>
  <c r="G20" i="10"/>
  <c r="G22" i="10"/>
  <c r="G23" i="10"/>
  <c r="J23" i="10" s="1"/>
  <c r="G15" i="10"/>
  <c r="J15" i="10" s="1"/>
  <c r="J39" i="10"/>
  <c r="I39" i="10"/>
  <c r="I36" i="10" s="1"/>
  <c r="H39" i="10"/>
  <c r="G39" i="10"/>
  <c r="G36" i="10" s="1"/>
  <c r="F39" i="10"/>
  <c r="F36" i="10" s="1"/>
  <c r="E39" i="10"/>
  <c r="E36" i="10" s="1"/>
  <c r="D39" i="10"/>
  <c r="D36" i="10" s="1"/>
  <c r="C39" i="10"/>
  <c r="C36" i="10" s="1"/>
  <c r="B39" i="10"/>
  <c r="J36" i="10"/>
  <c r="H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I23" i="10"/>
  <c r="J21" i="10"/>
  <c r="J19" i="10" s="1"/>
  <c r="I21" i="10"/>
  <c r="I19" i="10" s="1"/>
  <c r="I17" i="10" s="1"/>
  <c r="H19" i="10"/>
  <c r="F19" i="10"/>
  <c r="F17" i="10" s="1"/>
  <c r="E19" i="10"/>
  <c r="E17" i="10" s="1"/>
  <c r="E9" i="10" s="1"/>
  <c r="D19" i="10"/>
  <c r="C19" i="10"/>
  <c r="C17" i="10" s="1"/>
  <c r="B19" i="10"/>
  <c r="H17" i="10"/>
  <c r="D17" i="10"/>
  <c r="B17" i="10"/>
  <c r="I16" i="10"/>
  <c r="I15" i="10"/>
  <c r="H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D9" i="10" s="1"/>
  <c r="C10" i="10"/>
  <c r="B10" i="10"/>
  <c r="B9" i="10" s="1"/>
  <c r="A5" i="10"/>
  <c r="A4" i="10"/>
  <c r="I10" i="9"/>
  <c r="D18" i="3"/>
  <c r="D17" i="3"/>
  <c r="C17" i="3"/>
  <c r="D31" i="7"/>
  <c r="C31" i="7"/>
  <c r="D27" i="7"/>
  <c r="D26" i="7" s="1"/>
  <c r="C27" i="7"/>
  <c r="C26" i="7" s="1"/>
  <c r="D19" i="7"/>
  <c r="C19" i="7"/>
  <c r="D17" i="7"/>
  <c r="D16" i="7" s="1"/>
  <c r="C16" i="7"/>
  <c r="D13" i="7"/>
  <c r="D12" i="7" s="1"/>
  <c r="C12" i="7"/>
  <c r="A5" i="7"/>
  <c r="A4" i="7"/>
  <c r="C18" i="3"/>
  <c r="F9" i="10" l="1"/>
  <c r="C10" i="7"/>
  <c r="C9" i="7" s="1"/>
  <c r="H9" i="10"/>
  <c r="J14" i="10"/>
  <c r="I14" i="10"/>
  <c r="C9" i="47"/>
  <c r="J17" i="10"/>
  <c r="J9" i="10" s="1"/>
  <c r="H282" i="29"/>
  <c r="D13" i="47"/>
  <c r="D9" i="47"/>
  <c r="G14" i="10"/>
  <c r="G9" i="10" s="1"/>
  <c r="C9" i="10"/>
  <c r="I9" i="10"/>
  <c r="D10" i="7"/>
  <c r="D9" i="7" s="1"/>
  <c r="D21" i="42" l="1"/>
  <c r="I38" i="35" l="1"/>
  <c r="A5" i="9"/>
  <c r="K35" i="55" l="1"/>
  <c r="A6" i="55"/>
  <c r="A5" i="35" l="1"/>
  <c r="A5" i="39"/>
  <c r="A5" i="32"/>
  <c r="A5" i="25"/>
  <c r="A5" i="17"/>
  <c r="A5" i="16"/>
  <c r="A5" i="18"/>
  <c r="A5" i="12"/>
  <c r="A6" i="28"/>
  <c r="A6" i="5"/>
  <c r="A5" i="45"/>
  <c r="A5" i="44"/>
  <c r="A6" i="27"/>
  <c r="A5" i="34"/>
  <c r="A5" i="30"/>
  <c r="A6" i="26"/>
  <c r="A7" i="40"/>
  <c r="A5" i="3"/>
  <c r="I34" i="44" l="1"/>
  <c r="H34" i="44"/>
  <c r="D31" i="3" l="1"/>
  <c r="C31" i="3"/>
  <c r="H34" i="45" l="1"/>
  <c r="G34" i="45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H34" i="34" l="1"/>
  <c r="G34" i="34"/>
  <c r="A4" i="34"/>
  <c r="A4" i="32" l="1"/>
  <c r="I34" i="30" l="1"/>
  <c r="H34" i="30"/>
  <c r="A4" i="30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7" l="1"/>
  <c r="A4" i="16"/>
  <c r="A4" i="9"/>
  <c r="A4" i="12"/>
  <c r="A5" i="5"/>
  <c r="D45" i="12" l="1"/>
  <c r="C45" i="12"/>
  <c r="D34" i="12"/>
  <c r="C34" i="12"/>
  <c r="D11" i="12"/>
  <c r="C11" i="12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10" i="12"/>
  <c r="D44" i="12"/>
  <c r="D26" i="3"/>
  <c r="C10" i="12"/>
  <c r="C44" i="12"/>
  <c r="C9" i="3" l="1"/>
  <c r="D9" i="3"/>
</calcChain>
</file>

<file path=xl/comments1.xml><?xml version="1.0" encoding="utf-8"?>
<comments xmlns="http://schemas.openxmlformats.org/spreadsheetml/2006/main">
  <authors>
    <author>n.barnabishvili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49775 - საშემოსავლოა
38046.5 - საშემოსავლოა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0"/>
            <color indexed="81"/>
            <rFont val="Tahoma"/>
            <family val="2"/>
          </rPr>
          <t>4222.62-საშემოსავლოა
2914.64-საშემოსავლოა
1903.48-საშემოსავლოა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 6200-საშემოსავლოა,7200.75 ლარი საშემოსავლოა გადახდილია, 7025 ლარი საშემოსავლოა გადახდილია,1738.75 
 ლარი საშემოსავლოა გადახდილი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მ.შ.4557.49-საშემოსავლოა,6963.67
-საშემოსავლოა,475 ლარი გადახდილი საშემოსავლოა, 8102.02  ლარი გადახდილი საშემოსავლოა</t>
        </r>
      </text>
    </comment>
  </commentList>
</comments>
</file>

<file path=xl/sharedStrings.xml><?xml version="1.0" encoding="utf-8"?>
<sst xmlns="http://schemas.openxmlformats.org/spreadsheetml/2006/main" count="2424" uniqueCount="1032">
  <si>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</si>
  <si>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</si>
  <si>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</si>
  <si>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</si>
  <si>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</si>
  <si>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</si>
  <si>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</si>
  <si>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</si>
  <si>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</si>
  <si>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</si>
  <si>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</si>
  <si>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</si>
  <si>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</si>
  <si>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</si>
  <si>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</si>
  <si>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</si>
  <si>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</si>
  <si>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</si>
  <si>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</si>
  <si>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</si>
  <si>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</si>
  <si>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</si>
  <si>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</si>
  <si>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</si>
  <si>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</si>
  <si>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</si>
  <si>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</si>
  <si>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</si>
  <si>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</si>
  <si>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</si>
  <si>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</si>
  <si>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</si>
  <si>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</si>
  <si>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</si>
  <si>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</si>
  <si>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</si>
  <si>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</si>
  <si>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</si>
  <si>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</si>
  <si>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</si>
  <si>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</si>
  <si>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</si>
  <si>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</si>
  <si>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</si>
  <si>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</si>
  <si>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</si>
  <si>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</si>
  <si>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</si>
  <si>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</si>
  <si>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</si>
  <si>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</si>
  <si>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</si>
  <si>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</si>
  <si>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</si>
  <si>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</si>
  <si>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</si>
  <si>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</si>
  <si>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</si>
  <si>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</si>
  <si>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</si>
  <si>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</si>
  <si>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</si>
  <si>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</si>
  <si>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</si>
  <si>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</si>
  <si>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</si>
  <si>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</si>
  <si>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</si>
  <si>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</si>
  <si>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</si>
  <si>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</si>
  <si>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</si>
  <si>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</si>
  <si>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</si>
  <si>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</si>
  <si>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</si>
  <si>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</si>
  <si>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</si>
  <si>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</si>
  <si>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</si>
  <si>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</si>
  <si>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</si>
  <si>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</si>
  <si>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</si>
  <si>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</si>
  <si>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</si>
  <si>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</si>
  <si>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</si>
  <si>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</si>
  <si>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</si>
  <si>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</si>
  <si>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</si>
  <si>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</si>
  <si>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</si>
  <si>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</si>
  <si>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</si>
  <si>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</si>
  <si>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</si>
  <si>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</si>
  <si>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</si>
  <si>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</si>
  <si>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</si>
  <si>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</si>
  <si>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</si>
  <si>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</si>
  <si>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</si>
  <si>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</si>
  <si>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</si>
  <si>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</si>
  <si>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</si>
  <si>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</si>
  <si>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</si>
  <si>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</si>
  <si>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</si>
  <si>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</si>
  <si>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</si>
  <si>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</si>
  <si>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</si>
  <si>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</si>
  <si>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</si>
  <si>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</si>
  <si>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</si>
  <si>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</si>
  <si>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</si>
  <si>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</si>
  <si>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</si>
  <si>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</si>
  <si>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</si>
  <si>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</si>
  <si>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</si>
  <si>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</si>
  <si>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</si>
  <si>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</si>
  <si>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</si>
  <si>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</si>
  <si>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</si>
  <si>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</si>
  <si>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</si>
  <si>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</si>
  <si>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</si>
  <si>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</si>
  <si>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</si>
  <si>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</si>
  <si>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</si>
  <si>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</si>
  <si>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</si>
  <si>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</si>
  <si>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</si>
  <si>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</si>
  <si>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</si>
  <si>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</si>
  <si>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</si>
  <si>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</si>
  <si>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</si>
  <si>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</si>
  <si>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</si>
  <si>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</si>
  <si>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</si>
  <si>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</si>
  <si>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</si>
  <si>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</si>
  <si>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</si>
  <si>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</si>
  <si>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</si>
  <si>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</si>
  <si>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</si>
  <si>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</si>
  <si>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</si>
  <si>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</si>
  <si>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</si>
  <si>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</si>
  <si>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</si>
  <si>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</si>
  <si>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</si>
  <si>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</si>
  <si>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</si>
  <si>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</si>
  <si>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</si>
  <si>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</si>
  <si>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</si>
  <si>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</si>
  <si>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</si>
  <si>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</si>
  <si>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</si>
  <si>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</si>
  <si>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</si>
  <si>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</si>
  <si>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</si>
  <si>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</si>
  <si>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</si>
  <si>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</si>
  <si>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</si>
  <si>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</si>
  <si>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</si>
  <si>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</si>
  <si>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</si>
  <si>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</si>
  <si>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</si>
  <si>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</si>
  <si>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</si>
  <si>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</si>
  <si>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</si>
  <si>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</si>
  <si>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</si>
  <si>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</si>
  <si>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</si>
  <si>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</si>
  <si>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</si>
  <si>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</si>
  <si>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</si>
  <si>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</si>
  <si>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</si>
  <si>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</si>
  <si>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</si>
  <si>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</si>
  <si>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</si>
  <si>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</si>
  <si>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</si>
  <si>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</si>
  <si>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</si>
  <si>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</si>
  <si>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</si>
  <si>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</si>
  <si>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</si>
  <si>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</si>
  <si>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</si>
  <si>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</si>
  <si>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</si>
  <si>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</si>
  <si>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</si>
  <si>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</si>
  <si>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</si>
  <si>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</si>
  <si>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</si>
  <si>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</si>
  <si>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</si>
  <si>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</si>
  <si>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</si>
  <si>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</si>
  <si>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</si>
  <si>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</si>
  <si>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</si>
  <si>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</si>
  <si>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</si>
  <si>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</si>
  <si>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</si>
  <si>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</si>
  <si>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</si>
  <si>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</si>
  <si>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</si>
  <si>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</si>
  <si>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</si>
  <si>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</si>
  <si>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</si>
  <si>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</si>
  <si>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</si>
  <si>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</si>
  <si>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</si>
  <si>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</si>
  <si>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</si>
  <si>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</si>
  <si>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</si>
  <si>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</si>
  <si>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</si>
  <si>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</si>
  <si>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</si>
  <si>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</si>
  <si>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</si>
  <si>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</si>
  <si>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</si>
  <si>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</si>
  <si>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</si>
  <si>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</si>
  <si>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</si>
  <si>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</si>
  <si>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</si>
  <si>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</si>
  <si>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</si>
  <si>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</si>
  <si>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</si>
  <si>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</si>
  <si>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</si>
  <si>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</si>
  <si>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</si>
  <si>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</si>
  <si>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</si>
  <si>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</si>
  <si>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</si>
  <si>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</si>
  <si>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</si>
  <si>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</si>
  <si>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</si>
  <si>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</si>
  <si>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</si>
  <si>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</si>
  <si>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</si>
  <si>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</si>
  <si>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</si>
  <si>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</si>
  <si>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</si>
  <si>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</si>
  <si>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</si>
  <si>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</si>
  <si>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</si>
  <si>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</si>
  <si>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</si>
  <si>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</si>
  <si>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</si>
  <si>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</si>
  <si>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</si>
  <si>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</si>
  <si>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</si>
  <si>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</si>
  <si>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</si>
  <si>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</si>
  <si>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</si>
  <si>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</si>
  <si>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</si>
  <si>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</si>
  <si>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</si>
  <si>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</si>
  <si>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</si>
  <si>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</si>
  <si>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</si>
  <si>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</si>
  <si>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</si>
  <si>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</si>
  <si>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</si>
  <si>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</si>
  <si>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</si>
  <si>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</si>
  <si>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</si>
  <si>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</si>
  <si>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</si>
  <si>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</si>
  <si>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</si>
  <si>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</si>
  <si>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</si>
  <si>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</si>
  <si>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</si>
  <si>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</si>
  <si>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</si>
  <si>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</si>
  <si>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</si>
  <si>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</si>
  <si>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</si>
  <si>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</si>
  <si>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</si>
  <si>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</si>
  <si>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</si>
  <si>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</si>
  <si>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</si>
  <si>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</si>
  <si>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</si>
  <si>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</si>
  <si>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</si>
  <si>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</si>
  <si>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</si>
  <si>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</si>
  <si>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</si>
  <si>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</si>
  <si>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</si>
  <si>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</si>
  <si>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</si>
  <si>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</si>
  <si>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</si>
  <si>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</si>
  <si>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</si>
  <si>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</si>
  <si>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</si>
  <si>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</si>
  <si>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</si>
  <si>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</si>
  <si>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</si>
  <si>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</si>
  <si>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</si>
  <si>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</si>
  <si>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</si>
  <si>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</si>
  <si>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</si>
  <si>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</si>
  <si>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</si>
  <si>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</si>
  <si>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</si>
  <si>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</si>
  <si>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</si>
  <si>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</si>
  <si>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</si>
  <si>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</si>
  <si>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</si>
  <si>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</si>
  <si>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</si>
  <si>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</si>
  <si>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</si>
  <si>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</si>
  <si>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</si>
  <si>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</si>
  <si>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</si>
  <si>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</si>
  <si>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</si>
  <si>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</si>
  <si>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</si>
  <si>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</si>
  <si>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</si>
  <si>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</si>
  <si>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</si>
  <si>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</si>
  <si>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</si>
  <si>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</si>
  <si>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</si>
  <si>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</si>
  <si>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</si>
  <si>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</si>
  <si>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</si>
  <si>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</si>
  <si>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</si>
  <si>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</si>
  <si>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</si>
  <si>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</si>
  <si>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</si>
  <si>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</si>
  <si>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</si>
  <si>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</si>
  <si>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</si>
  <si>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</si>
  <si>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</si>
  <si>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</si>
  <si>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</si>
  <si>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</si>
  <si>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</si>
  <si>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</si>
  <si>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</si>
  <si>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</si>
  <si>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</si>
  <si>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</si>
  <si>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</si>
  <si>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</si>
  <si>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</si>
  <si>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</si>
  <si>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</si>
  <si>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</si>
  <si>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</si>
  <si>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</si>
  <si>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</si>
  <si>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</si>
  <si>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</si>
  <si>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</si>
  <si>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</si>
  <si>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</si>
  <si>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</si>
  <si>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</si>
  <si>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</si>
  <si>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</si>
  <si>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</si>
  <si>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</si>
  <si>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</si>
  <si>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</si>
  <si>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</si>
  <si>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</si>
  <si>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</si>
  <si>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</si>
  <si>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</si>
  <si>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</si>
  <si>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</si>
  <si>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</si>
  <si>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</si>
  <si>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</si>
  <si>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</si>
  <si>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</si>
  <si>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</si>
  <si>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</si>
  <si>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</si>
  <si>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</si>
  <si>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</si>
  <si>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</si>
  <si>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</si>
  <si>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</si>
  <si>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</si>
  <si>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</si>
  <si>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</si>
  <si>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</si>
  <si>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</si>
  <si>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</si>
  <si>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</si>
  <si>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</si>
  <si>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</si>
  <si>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</si>
  <si>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</si>
  <si>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</si>
  <si>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</si>
  <si>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</si>
  <si>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</si>
  <si>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</si>
  <si>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</si>
  <si>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</si>
  <si>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</si>
  <si>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</si>
  <si>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</si>
  <si>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</si>
  <si>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</si>
  <si>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</si>
  <si>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</si>
  <si>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</si>
  <si>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</si>
  <si>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</si>
  <si>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</si>
  <si>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</si>
  <si>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</si>
  <si>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</si>
  <si>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</si>
  <si>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</si>
  <si>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</si>
  <si>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</si>
  <si>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</si>
  <si>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 "გაერთიანებული დემოკრატიული მოძრაობა "</t>
  </si>
  <si>
    <t>01.01.16-31.12.16</t>
  </si>
  <si>
    <t>19.08.2016</t>
  </si>
  <si>
    <t>ფულადი შემოწირულობა</t>
  </si>
  <si>
    <t>დიმიტრი ლორთქიფანიძე</t>
  </si>
  <si>
    <t>01005008393</t>
  </si>
  <si>
    <t>ge94tb1716645064322346</t>
  </si>
  <si>
    <t>ბესიკ დანელია</t>
  </si>
  <si>
    <t>01003003378</t>
  </si>
  <si>
    <t>ge21tb7316645061100001</t>
  </si>
  <si>
    <t>22.08.2016</t>
  </si>
  <si>
    <t>დავით ბენიძე</t>
  </si>
  <si>
    <t>01025000786</t>
  </si>
  <si>
    <t>GE25TB7928845064300001</t>
  </si>
  <si>
    <t>გიორგი ახვლედიანი</t>
  </si>
  <si>
    <t>01017017510</t>
  </si>
  <si>
    <t>GE62KS0000000000013378</t>
  </si>
  <si>
    <t>თამარ ზურაშვილი</t>
  </si>
  <si>
    <t>01008033359</t>
  </si>
  <si>
    <t>GE17TB7403445061100001</t>
  </si>
  <si>
    <t>ბაკურ ბაკურაძე</t>
  </si>
  <si>
    <t>01007002345</t>
  </si>
  <si>
    <t>GE02TB0602645162122334</t>
  </si>
  <si>
    <t>24.08.2016</t>
  </si>
  <si>
    <t>ნინო ბურჯანაძე</t>
  </si>
  <si>
    <t>01026000650</t>
  </si>
  <si>
    <t>GE35BR0000010003698447</t>
  </si>
  <si>
    <t>აკაკი კიკვაძე</t>
  </si>
  <si>
    <t>01010002370</t>
  </si>
  <si>
    <t>GE57TB7346345061100002</t>
  </si>
  <si>
    <t>26.08.2016</t>
  </si>
  <si>
    <t>მანუჩარი ომანაძე</t>
  </si>
  <si>
    <t>01006013556</t>
  </si>
  <si>
    <t>GE45LB0711161702914001</t>
  </si>
  <si>
    <t>სხვა ფულადი შემოსავლები (შეცდომით ჩარიცხული)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</si>
  <si>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</si>
  <si>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</si>
  <si>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თიბისი</t>
  </si>
  <si>
    <t>GE07TB1113336080100005</t>
  </si>
  <si>
    <t>GEL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</si>
  <si>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</si>
  <si>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</si>
  <si>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</si>
  <si>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</si>
  <si>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</si>
  <si>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</si>
  <si>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</si>
  <si>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</si>
  <si>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</si>
  <si>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</si>
  <si>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</si>
  <si>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31.10.2016</t>
  </si>
  <si>
    <t>01024009833</t>
  </si>
  <si>
    <t xml:space="preserve">ემზარი </t>
  </si>
  <si>
    <t>ილურიძე</t>
  </si>
  <si>
    <t>გლდანის ა მ/რ 52</t>
  </si>
  <si>
    <t>05.11.2016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</si>
  <si>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</si>
  <si>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</si>
  <si>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</si>
  <si>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</si>
  <si>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</si>
  <si>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01.08.2016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</si>
  <si>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</si>
  <si>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</si>
  <si>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</si>
  <si>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</si>
  <si>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</si>
  <si>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01.11.2016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</si>
  <si>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</si>
  <si>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</si>
  <si>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</si>
  <si>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</si>
  <si>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</si>
  <si>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</si>
  <si>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</si>
  <si>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>გიორგაძე</t>
  </si>
  <si>
    <t>თბილისი აღმაშენებლის 5</t>
  </si>
  <si>
    <t>12.11.2016</t>
  </si>
  <si>
    <t>500 $ ექვივალენტი ლარში</t>
  </si>
  <si>
    <t>62011003643</t>
  </si>
  <si>
    <t xml:space="preserve">ბაბულია </t>
  </si>
  <si>
    <t>ყაზარაშვილი</t>
  </si>
  <si>
    <t>თბილისი, რუსთაველის 20</t>
  </si>
  <si>
    <t>15.11.2016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</si>
  <si>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</si>
  <si>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</si>
  <si>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</si>
  <si>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</si>
  <si>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</si>
  <si>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</si>
  <si>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</si>
  <si>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</si>
  <si>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</si>
  <si>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</si>
  <si>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</si>
  <si>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</si>
  <si>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</si>
  <si>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</si>
  <si>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</si>
  <si>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</si>
  <si>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</si>
  <si>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</si>
  <si>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</si>
  <si>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</si>
  <si>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</si>
  <si>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</si>
  <si>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</si>
  <si>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</si>
  <si>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</si>
  <si>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</si>
  <si>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</si>
  <si>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</si>
  <si>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</si>
  <si>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</si>
  <si>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</si>
  <si>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</si>
  <si>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</si>
  <si>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</si>
  <si>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</si>
  <si>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</si>
  <si>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</si>
  <si>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</si>
  <si>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</si>
  <si>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</si>
  <si>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</si>
  <si>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</si>
  <si>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</si>
  <si>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</si>
  <si>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</si>
  <si>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</si>
  <si>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</si>
  <si>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ნინო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</si>
  <si>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</si>
  <si>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</si>
  <si>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</si>
  <si>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</si>
  <si>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</si>
  <si>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</si>
  <si>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</si>
  <si>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</si>
  <si>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</si>
  <si>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</si>
  <si>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</si>
  <si>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</si>
  <si>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</si>
  <si>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</si>
  <si>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</si>
  <si>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</si>
  <si>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</si>
  <si>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</si>
  <si>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</si>
  <si>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</si>
  <si>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</si>
  <si>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</si>
  <si>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56001010870</t>
  </si>
  <si>
    <t xml:space="preserve">ალექსანდრე </t>
  </si>
  <si>
    <t>მეტრეველი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</si>
  <si>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</si>
  <si>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</si>
  <si>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</si>
  <si>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</si>
  <si>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</si>
  <si>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</si>
  <si>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</si>
  <si>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</si>
  <si>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</si>
  <si>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</si>
  <si>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</si>
  <si>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</si>
  <si>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</si>
  <si>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</si>
  <si>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</si>
  <si>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</si>
  <si>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</si>
  <si>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</si>
  <si>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</si>
  <si>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</si>
  <si>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ქარელი, 9 აპრილის ქუჩა</t>
  </si>
  <si>
    <t>ქეთევანი</t>
  </si>
  <si>
    <t>აბაშიშვილი</t>
  </si>
  <si>
    <t>კასპი, სააკაძის 106</t>
  </si>
  <si>
    <t>24001002622</t>
  </si>
  <si>
    <t>მედია</t>
  </si>
  <si>
    <t>ჯუხარიძე</t>
  </si>
  <si>
    <t>დმანისი, 26 მაისის ქ, კორ 13, ბ 16</t>
  </si>
  <si>
    <t>15001008965</t>
  </si>
  <si>
    <t>ცისანა</t>
  </si>
  <si>
    <t>ოსეფაშვილი</t>
  </si>
  <si>
    <t>საგარეჯო, დოდაშვილის 5</t>
  </si>
  <si>
    <t>01011051151</t>
  </si>
  <si>
    <t>ხათუნა</t>
  </si>
  <si>
    <t>ხუციშვილი-ლაფერიშვილი</t>
  </si>
  <si>
    <t>ქ. დედოფლისწყარო რუსთაველის 44</t>
  </si>
  <si>
    <t>14001001063</t>
  </si>
  <si>
    <t>მაია</t>
  </si>
  <si>
    <t>თევზაძე</t>
  </si>
  <si>
    <t>ქ.სიღნაღი, სოფ. საქობო</t>
  </si>
  <si>
    <t>01024065423</t>
  </si>
  <si>
    <t>ანნა</t>
  </si>
  <si>
    <t>მიქაშვილი</t>
  </si>
  <si>
    <t>ზესტაფონი, აღმაშენებლის 27</t>
  </si>
  <si>
    <t>18001004846</t>
  </si>
  <si>
    <t>რუბენ</t>
  </si>
  <si>
    <t xml:space="preserve"> ჩინჩალაძე</t>
  </si>
  <si>
    <t>ტყიბული, თაბუკაშვილის 44</t>
  </si>
  <si>
    <t>41001003330</t>
  </si>
  <si>
    <t>ნუგზარი</t>
  </si>
  <si>
    <t>წიქრიძე</t>
  </si>
  <si>
    <t>თერჯოლა, რუსთაველის 68</t>
  </si>
  <si>
    <t>01008035996</t>
  </si>
  <si>
    <t>ზვიად</t>
  </si>
  <si>
    <t>ქავთარაძე</t>
  </si>
  <si>
    <t>ქ.სამტრედია, ბ.კრავეიშვილის 1</t>
  </si>
  <si>
    <t>37001012406</t>
  </si>
  <si>
    <t xml:space="preserve">მურთაზ </t>
  </si>
  <si>
    <t>კორძაია</t>
  </si>
  <si>
    <t>ქ.ხონი, მოსე ხონელის 3</t>
  </si>
  <si>
    <t>55001001230</t>
  </si>
  <si>
    <t xml:space="preserve">თამარ </t>
  </si>
  <si>
    <t>შამათავა</t>
  </si>
  <si>
    <t>ვანი, თავისუფლების 54</t>
  </si>
  <si>
    <t>17001003859</t>
  </si>
  <si>
    <t>კობელაშვილი</t>
  </si>
  <si>
    <t>ჭიათურა, წერეთლის N 1</t>
  </si>
  <si>
    <t>01015000882</t>
  </si>
  <si>
    <t xml:space="preserve">ხათუთი </t>
  </si>
  <si>
    <t>კავთელაძე</t>
  </si>
  <si>
    <t>ლენტეხი, სტალინის ქუჩა</t>
  </si>
  <si>
    <t>27001002787</t>
  </si>
  <si>
    <t xml:space="preserve">გურანდა </t>
  </si>
  <si>
    <t>ლიპარტელიანი</t>
  </si>
  <si>
    <t>ქ.ცაგერი, კოსტავას 29</t>
  </si>
  <si>
    <t xml:space="preserve">ირაკლი </t>
  </si>
  <si>
    <t>ლარცულიანი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</si>
  <si>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</si>
  <si>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</si>
  <si>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</si>
  <si>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</si>
  <si>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</si>
  <si>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</si>
  <si>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</si>
  <si>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</si>
  <si>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</si>
  <si>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</si>
  <si>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</si>
  <si>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</si>
  <si>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</si>
  <si>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</si>
  <si>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</si>
  <si>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</si>
  <si>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</si>
  <si>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</si>
  <si>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</si>
  <si>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</si>
  <si>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</si>
  <si>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</si>
  <si>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</si>
  <si>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</si>
  <si>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</si>
  <si>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</si>
  <si>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</si>
  <si>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</si>
  <si>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</si>
  <si>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</si>
  <si>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</si>
  <si>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</si>
  <si>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</si>
  <si>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</si>
  <si>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</si>
  <si>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</si>
  <si>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</si>
  <si>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</si>
  <si>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</si>
  <si>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</si>
  <si>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</si>
  <si>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</si>
  <si>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</si>
  <si>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</si>
  <si>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</si>
  <si>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</si>
  <si>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</si>
  <si>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</si>
  <si>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</si>
  <si>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</si>
  <si>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</si>
  <si>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</si>
  <si>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</si>
  <si>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</si>
  <si>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</si>
  <si>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</si>
  <si>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</si>
  <si>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</si>
  <si>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</si>
  <si>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</si>
  <si>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</si>
  <si>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</si>
  <si>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</si>
  <si>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</si>
  <si>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</si>
  <si>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</si>
  <si>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</si>
  <si>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</si>
  <si>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</si>
  <si>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</si>
  <si>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</si>
  <si>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</si>
  <si>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</si>
  <si>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</si>
  <si>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</si>
  <si>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</si>
  <si>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</si>
  <si>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</si>
  <si>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</si>
  <si>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</si>
  <si>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</si>
  <si>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</si>
  <si>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</si>
  <si>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</si>
  <si>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</si>
  <si>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</si>
  <si>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</si>
  <si>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</si>
  <si>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</si>
  <si>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</si>
  <si>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</si>
  <si>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ვალერი</t>
  </si>
  <si>
    <t>ვახანია</t>
  </si>
  <si>
    <t>დ. შუახევი, ჭავჭავაძის 13</t>
  </si>
  <si>
    <t>61010011809</t>
  </si>
  <si>
    <t>ოსმან</t>
  </si>
  <si>
    <t>ზოიძე</t>
  </si>
  <si>
    <t>დ.სურამი, აღმაშენებლის 115</t>
  </si>
  <si>
    <t>57001018502</t>
  </si>
  <si>
    <t>გელაშვილი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</si>
  <si>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</si>
  <si>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</si>
  <si>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</si>
  <si>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</si>
  <si>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</si>
  <si>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</si>
  <si>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</si>
  <si>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</si>
  <si>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</si>
  <si>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</si>
  <si>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</si>
  <si>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</si>
  <si>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</si>
  <si>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</si>
  <si>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მარინა</t>
  </si>
  <si>
    <t>თუმანიშვილი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</si>
  <si>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</si>
  <si>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</si>
  <si>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</si>
  <si>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</si>
  <si>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</si>
  <si>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</si>
  <si>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</si>
  <si>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</si>
  <si>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</si>
  <si>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</si>
  <si>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ახალი ამბები</t>
  </si>
  <si>
    <t>საინფორმ.მომსახურება</t>
  </si>
  <si>
    <t>შპს ალტა</t>
  </si>
  <si>
    <t>ტექნიკის მოწოდება</t>
  </si>
  <si>
    <t>შპს ვესტა</t>
  </si>
  <si>
    <t>შაქრია ზურაშვილი</t>
  </si>
  <si>
    <t>40001005904</t>
  </si>
  <si>
    <t>ქეთევან ჩქარეული</t>
  </si>
  <si>
    <t>01017035751</t>
  </si>
  <si>
    <t>ომარ ეგრისელაშვილი</t>
  </si>
  <si>
    <t>01019048578</t>
  </si>
  <si>
    <t>ნონა მამფორია</t>
  </si>
  <si>
    <t>01019046814</t>
  </si>
  <si>
    <t>ნანა ბარნაბიშვილი</t>
  </si>
  <si>
    <t>13001011933</t>
  </si>
  <si>
    <t>ირაკლი ჯანიაშვილი</t>
  </si>
  <si>
    <t>01002012305</t>
  </si>
  <si>
    <t>თემურ გოგიაშვილი</t>
  </si>
  <si>
    <t>20001004570</t>
  </si>
  <si>
    <t>თამარ მინდიაშვილი</t>
  </si>
  <si>
    <t>01010018768</t>
  </si>
  <si>
    <t>დავითი ნიკურაძე</t>
  </si>
  <si>
    <t>01019083784</t>
  </si>
  <si>
    <t>დავით ბერუაშვილი</t>
  </si>
  <si>
    <t>50001001545</t>
  </si>
  <si>
    <t>გრიგოლ ბარამიძე</t>
  </si>
  <si>
    <t>01018002112</t>
  </si>
  <si>
    <t>გიორგი ფირცხალაიშვილი</t>
  </si>
  <si>
    <t>01024005269</t>
  </si>
  <si>
    <t>გიორგი რევიშვილი</t>
  </si>
  <si>
    <t>01024068919</t>
  </si>
  <si>
    <t>ამირან მერებაშვილი</t>
  </si>
  <si>
    <t>01029000496</t>
  </si>
  <si>
    <t>ალექსანდრე გურასპაშვილი</t>
  </si>
  <si>
    <t>24001012169</t>
  </si>
  <si>
    <t>ალექსანდრე გოჩაშვილი</t>
  </si>
  <si>
    <t>01013019756</t>
  </si>
  <si>
    <t>ოთარ თავართქილაძე</t>
  </si>
  <si>
    <t>01025005044</t>
  </si>
  <si>
    <t>ნინო ჭეიშვილი</t>
  </si>
  <si>
    <t>60001016694</t>
  </si>
  <si>
    <t>ნიკა პეტრიაშვილი</t>
  </si>
  <si>
    <t>01005023625</t>
  </si>
  <si>
    <t>მამუკა აჩბა</t>
  </si>
  <si>
    <t>62001000351</t>
  </si>
  <si>
    <t>ლევან ძინძიბაძე</t>
  </si>
  <si>
    <t>01019028759</t>
  </si>
  <si>
    <t>ბესიკი დანელია</t>
  </si>
  <si>
    <t>თეიმურაზ მანაგაძე</t>
  </si>
  <si>
    <t>60001004340</t>
  </si>
  <si>
    <t>დავით ასპანიძე</t>
  </si>
  <si>
    <t>01024005483</t>
  </si>
  <si>
    <t>გვანცა გვენეტაძე</t>
  </si>
  <si>
    <t>01001074422</t>
  </si>
  <si>
    <t>01.01.2016-31.12.2016</t>
  </si>
  <si>
    <t>ნოდარ თეთრაძე</t>
  </si>
  <si>
    <t>01024022357</t>
  </si>
  <si>
    <t>ნათია სამხარაძე</t>
  </si>
  <si>
    <t>01022003668</t>
  </si>
  <si>
    <t>ინდირა მაისაშვილი</t>
  </si>
  <si>
    <t>01008032471</t>
  </si>
  <si>
    <t>იზაბელა ფხოველიშვილი</t>
  </si>
  <si>
    <t>01030035058</t>
  </si>
  <si>
    <t>დავით ჭანტურია</t>
  </si>
  <si>
    <t>01030041724</t>
  </si>
  <si>
    <t>ანა ჯაში</t>
  </si>
  <si>
    <t>01005030169</t>
  </si>
  <si>
    <t>სოფიკო ჩალაბაშვილი</t>
  </si>
  <si>
    <t>40001034892</t>
  </si>
  <si>
    <t>რამინ სხირტლაძე</t>
  </si>
  <si>
    <t>01029015294</t>
  </si>
  <si>
    <t>ნათია მეტრეველი</t>
  </si>
  <si>
    <t>10001005828</t>
  </si>
  <si>
    <t>ლია ცხვარიაშვილი</t>
  </si>
  <si>
    <t>01011043440</t>
  </si>
  <si>
    <t>ბურჯანაძე</t>
  </si>
  <si>
    <t>ვენა</t>
  </si>
  <si>
    <t>რუსეთი</t>
  </si>
  <si>
    <t>ანზორ</t>
  </si>
  <si>
    <t xml:space="preserve"> ბიწაძე</t>
  </si>
  <si>
    <t>01026007785</t>
  </si>
  <si>
    <t>ჭყოიძე</t>
  </si>
  <si>
    <t>01019007558</t>
  </si>
  <si>
    <t>ბათუმი</t>
  </si>
  <si>
    <t>ზაზა</t>
  </si>
  <si>
    <t>ვეკუა</t>
  </si>
  <si>
    <t>01024005465</t>
  </si>
  <si>
    <t>შაქრია</t>
  </si>
  <si>
    <t>ზურაშვილი</t>
  </si>
  <si>
    <t>მამუკა</t>
  </si>
  <si>
    <t>აჩბა</t>
  </si>
  <si>
    <t>ქუთაისი</t>
  </si>
  <si>
    <t>სხვადასხვა ხარჯები(შეცდომით გადარიცხულები)</t>
  </si>
  <si>
    <t>ზედმეტად გადარიცხული თანხა ( გადაირიცხა 440 იჯარა, ნაცვლად 400-ისა)</t>
  </si>
  <si>
    <t>შეცდიმით გადარიცხული თანხა (კობა მაისურაძის იჯარა სხვის ანგარიშზე გადაირიცხა)</t>
  </si>
  <si>
    <t>შეცდიმით გადარიცხული თანხა (შამათავას იჯარა სხვის ანგარიშზე გადაირიცხა)</t>
  </si>
  <si>
    <t>შალვა თანდილაშვილი</t>
  </si>
  <si>
    <t>13001069721</t>
  </si>
  <si>
    <t>ი/მ ნინო ჭეიშვილი</t>
  </si>
  <si>
    <t>დიმიტრი ჭეიშვილი</t>
  </si>
  <si>
    <t>61001030140</t>
  </si>
  <si>
    <t>ისაკო ცქიფურიშვილი</t>
  </si>
  <si>
    <t>01013015538</t>
  </si>
  <si>
    <t>მალხაზ ბოჩიკაშვილი</t>
  </si>
  <si>
    <t>03001014640</t>
  </si>
  <si>
    <t>ივანე მაჭარაშვილი</t>
  </si>
  <si>
    <t>59001018614</t>
  </si>
  <si>
    <t>ჯანიაშვილი</t>
  </si>
  <si>
    <t xml:space="preserve">ივანე </t>
  </si>
  <si>
    <t>კეჟერაშვილი</t>
  </si>
  <si>
    <t>ბეჭდური რეკლამი ხარჯი</t>
  </si>
  <si>
    <t>შპს კაბადონი+</t>
  </si>
  <si>
    <t>10 000 ცალი სტიკერი</t>
  </si>
  <si>
    <t>ბრენდირებული აქსესუარებით რკლამის ხარჯი</t>
  </si>
  <si>
    <t>10 000 ცალი სავიზიტო ბარათი</t>
  </si>
  <si>
    <t>ინტერნეტ-რეკლამს ხრჯი</t>
  </si>
  <si>
    <t>შპს გურიის პრესკლუბი</t>
  </si>
  <si>
    <t>0.4 სმ*0.7 სმ</t>
  </si>
  <si>
    <t>400 ავანსია</t>
  </si>
  <si>
    <t>750 ცალი მეიჯი</t>
  </si>
  <si>
    <t>250 000 ცალი ფლაერი</t>
  </si>
  <si>
    <t>ბანერი</t>
  </si>
  <si>
    <t>200.64 კვმ</t>
  </si>
  <si>
    <t>ბანერი საპრეზენტაციო</t>
  </si>
  <si>
    <t>5.58 კვმ</t>
  </si>
  <si>
    <t>100 000 ცალი ფლაერი</t>
  </si>
  <si>
    <t>10 000 ცალი პროგრამა</t>
  </si>
  <si>
    <t>45 000 ცალი პროგრამა</t>
  </si>
  <si>
    <t>47000 ცალი პროგრამა</t>
  </si>
  <si>
    <t>4000 ცალი პლაკატი</t>
  </si>
  <si>
    <t>50 000 ცალი პროგრამა</t>
  </si>
  <si>
    <t>5000 ცალი ტრიპლეტი</t>
  </si>
  <si>
    <t>20 კვმ</t>
  </si>
  <si>
    <t>15 000 ცალი პროგრამა</t>
  </si>
  <si>
    <t>43 000 ცალი პროგრამა</t>
  </si>
  <si>
    <t>40 000 ცალი პროგრამა</t>
  </si>
  <si>
    <t>10 000 ცალი ტრიპლეტი</t>
  </si>
  <si>
    <t>შპს აუთდორ.ჯი</t>
  </si>
  <si>
    <t>ბადე სტიკერი</t>
  </si>
  <si>
    <t>9.36 კვმ</t>
  </si>
  <si>
    <t>სტიკერი</t>
  </si>
  <si>
    <t>52.3 კვმ</t>
  </si>
  <si>
    <t>18.72 კვმ</t>
  </si>
  <si>
    <t>104.6 კვმ</t>
  </si>
  <si>
    <t>9.42 კვმ</t>
  </si>
  <si>
    <t>52.1 კვმ</t>
  </si>
  <si>
    <t>სხვადასხვა ხარჯები(საურავი ვადაგადაცილებაზე)</t>
  </si>
  <si>
    <t>სხვადასხვა ხარჯები(საურავი ვადაგადაცილებაზე და შეცდომით გადარიცხული)</t>
  </si>
  <si>
    <t>სხვადასხვა ხარჯები(შეცდომით გადარიცხული შპს კაბადონი +-ზე)</t>
  </si>
  <si>
    <t>1.6.4.3</t>
  </si>
  <si>
    <t>სხვადასხვა ხარჯები(ამორტიზაცია)</t>
  </si>
  <si>
    <t>ქეთევანი ზაქარეიშვილი</t>
  </si>
  <si>
    <t>ირაკლი კიკაჩეიშვილი</t>
  </si>
  <si>
    <t>გიორგი კორკოტაშვილი</t>
  </si>
  <si>
    <t>01017027991</t>
  </si>
  <si>
    <t>01008010636</t>
  </si>
  <si>
    <t>25001005513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</si>
</sst>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  <numFmt numFmtId="169" formatCode="#,##0.000"/>
    <numFmt numFmtId="170" formatCode="#,##0.000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Sylfaen"/>
      <family val="1"/>
      <charset val="204"/>
    </font>
    <font>
      <sz val="9"/>
      <color rgb="FF000000"/>
      <name val="BPG 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sz val="9"/>
      <name val="Sylfaen"/>
    </font>
    <font>
      <sz val="9"/>
      <name val="Arial"/>
    </font>
    <font>
      <sz val="10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4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5" xfId="2" applyFont="1" applyFill="1" applyBorder="1" applyAlignment="1" applyProtection="1">
      <alignment horizontal="center" vertical="top" wrapText="1"/>
    </xf>
    <xf numFmtId="1" fontId="23" fillId="5" borderId="25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6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4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28" fillId="5" borderId="40" xfId="9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28" fillId="5" borderId="42" xfId="9" applyFont="1" applyFill="1" applyBorder="1" applyAlignment="1" applyProtection="1">
      <alignment horizontal="center" vertical="center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14" fontId="26" fillId="0" borderId="2" xfId="8" applyNumberFormat="1" applyFont="1" applyBorder="1" applyAlignment="1" applyProtection="1">
      <alignment wrapText="1"/>
      <protection locked="0"/>
    </xf>
    <xf numFmtId="0" fontId="0" fillId="2" borderId="1" xfId="0" applyFill="1" applyBorder="1"/>
    <xf numFmtId="0" fontId="18" fillId="2" borderId="1" xfId="4" applyFont="1" applyFill="1" applyBorder="1" applyAlignment="1" applyProtection="1">
      <alignment vertical="center" wrapText="1"/>
      <protection locked="0"/>
    </xf>
    <xf numFmtId="14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7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3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Border="1" applyAlignment="1">
      <alignment horizontal="left"/>
    </xf>
    <xf numFmtId="0" fontId="18" fillId="0" borderId="34" xfId="4" applyFon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0" fontId="38" fillId="0" borderId="1" xfId="0" applyFont="1" applyBorder="1"/>
    <xf numFmtId="49" fontId="38" fillId="0" borderId="1" xfId="0" applyNumberFormat="1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39" fillId="2" borderId="2" xfId="4" applyFont="1" applyFill="1" applyBorder="1" applyAlignment="1" applyProtection="1">
      <alignment vertical="center" wrapText="1"/>
      <protection locked="0"/>
    </xf>
    <xf numFmtId="0" fontId="10" fillId="0" borderId="4" xfId="0" applyFont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23" fillId="2" borderId="6" xfId="2" applyFont="1" applyFill="1" applyBorder="1" applyAlignment="1" applyProtection="1">
      <alignment horizontal="center" vertical="top" wrapText="1"/>
      <protection locked="0"/>
    </xf>
    <xf numFmtId="0" fontId="0" fillId="2" borderId="5" xfId="0" applyFill="1" applyBorder="1" applyAlignment="1">
      <alignment horizontal="left" vertical="center"/>
    </xf>
    <xf numFmtId="0" fontId="40" fillId="2" borderId="1" xfId="0" applyFont="1" applyFill="1" applyBorder="1" applyAlignment="1">
      <alignment horizontal="left"/>
    </xf>
    <xf numFmtId="0" fontId="23" fillId="2" borderId="46" xfId="2" applyFont="1" applyFill="1" applyBorder="1" applyAlignment="1" applyProtection="1">
      <alignment horizontal="left" vertical="top" wrapText="1"/>
      <protection locked="0"/>
    </xf>
    <xf numFmtId="0" fontId="23" fillId="2" borderId="31" xfId="2" applyFont="1" applyFill="1" applyBorder="1" applyAlignment="1" applyProtection="1">
      <alignment horizontal="left" vertical="top" wrapText="1"/>
      <protection locked="0"/>
    </xf>
    <xf numFmtId="0" fontId="16" fillId="2" borderId="5" xfId="0" applyFont="1" applyFill="1" applyBorder="1" applyProtection="1">
      <protection locked="0"/>
    </xf>
    <xf numFmtId="14" fontId="10" fillId="2" borderId="1" xfId="3" applyNumberFormat="1" applyFill="1" applyBorder="1" applyProtection="1">
      <protection locked="0"/>
    </xf>
    <xf numFmtId="1" fontId="23" fillId="2" borderId="3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5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47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1" fontId="23" fillId="2" borderId="3" xfId="2" applyNumberFormat="1" applyFont="1" applyFill="1" applyBorder="1" applyAlignment="1" applyProtection="1">
      <alignment horizontal="left" vertical="top" wrapText="1"/>
      <protection locked="0"/>
    </xf>
    <xf numFmtId="0" fontId="16" fillId="2" borderId="1" xfId="0" applyFont="1" applyFill="1" applyBorder="1" applyProtection="1">
      <protection locked="0"/>
    </xf>
    <xf numFmtId="0" fontId="25" fillId="2" borderId="2" xfId="2" applyFont="1" applyFill="1" applyBorder="1" applyAlignment="1" applyProtection="1">
      <alignment horizontal="left" vertical="top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9" fontId="0" fillId="0" borderId="1" xfId="0" applyNumberFormat="1" applyBorder="1"/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21" fillId="2" borderId="1" xfId="0" applyFont="1" applyFill="1" applyBorder="1" applyProtection="1">
      <protection locked="0"/>
    </xf>
    <xf numFmtId="3" fontId="21" fillId="2" borderId="1" xfId="0" applyNumberFormat="1" applyFont="1" applyFill="1" applyBorder="1" applyProtection="1"/>
    <xf numFmtId="49" fontId="10" fillId="0" borderId="1" xfId="0" applyNumberFormat="1" applyFont="1" applyBorder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2" borderId="1" xfId="0" applyNumberFormat="1" applyFont="1" applyFill="1" applyBorder="1"/>
    <xf numFmtId="0" fontId="0" fillId="0" borderId="1" xfId="0" applyBorder="1"/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31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16" fillId="7" borderId="1" xfId="1" applyFont="1" applyFill="1" applyBorder="1" applyAlignment="1" applyProtection="1">
      <alignment horizontal="left" vertical="center" wrapText="1" indent="1"/>
    </xf>
    <xf numFmtId="0" fontId="21" fillId="0" borderId="34" xfId="1" applyFont="1" applyFill="1" applyBorder="1" applyAlignment="1" applyProtection="1">
      <alignment horizontal="left" vertical="center" wrapText="1" indent="1"/>
    </xf>
    <xf numFmtId="0" fontId="16" fillId="0" borderId="34" xfId="1" applyFont="1" applyFill="1" applyBorder="1" applyAlignment="1" applyProtection="1">
      <alignment horizontal="left" vertical="center" wrapText="1" indent="1"/>
    </xf>
    <xf numFmtId="3" fontId="21" fillId="2" borderId="34" xfId="1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>
      <alignment horizontal="left"/>
    </xf>
    <xf numFmtId="0" fontId="21" fillId="8" borderId="1" xfId="1" applyFont="1" applyFill="1" applyBorder="1" applyAlignment="1" applyProtection="1">
      <alignment horizontal="left" vertical="center" wrapText="1" indent="1"/>
    </xf>
    <xf numFmtId="0" fontId="43" fillId="8" borderId="1" xfId="0" applyFont="1" applyFill="1" applyBorder="1" applyAlignment="1">
      <alignment horizontal="left"/>
    </xf>
    <xf numFmtId="0" fontId="16" fillId="8" borderId="1" xfId="1" applyFont="1" applyFill="1" applyBorder="1" applyAlignment="1" applyProtection="1">
      <alignment horizontal="left" vertical="center" wrapText="1" indent="1"/>
    </xf>
    <xf numFmtId="3" fontId="21" fillId="8" borderId="1" xfId="1" applyNumberFormat="1" applyFont="1" applyFill="1" applyBorder="1" applyAlignment="1" applyProtection="1">
      <alignment horizontal="center" vertical="center" wrapText="1"/>
      <protection locked="0"/>
    </xf>
    <xf numFmtId="4" fontId="43" fillId="8" borderId="1" xfId="0" applyNumberFormat="1" applyFont="1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4" fontId="45" fillId="0" borderId="1" xfId="0" applyNumberFormat="1" applyFont="1" applyBorder="1" applyAlignment="1">
      <alignment horizontal="right"/>
    </xf>
    <xf numFmtId="4" fontId="43" fillId="0" borderId="1" xfId="0" applyNumberFormat="1" applyFont="1" applyBorder="1" applyAlignment="1">
      <alignment horizontal="right"/>
    </xf>
    <xf numFmtId="168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6" borderId="2" xfId="1" applyNumberFormat="1" applyFont="1" applyFill="1" applyBorder="1" applyAlignment="1" applyProtection="1">
      <alignment horizontal="center" vertical="center" wrapText="1"/>
    </xf>
    <xf numFmtId="0" fontId="16" fillId="0" borderId="1" xfId="1" applyNumberFormat="1" applyFont="1" applyFill="1" applyBorder="1" applyAlignment="1" applyProtection="1">
      <alignment vertical="center" wrapText="1"/>
    </xf>
    <xf numFmtId="0" fontId="15" fillId="0" borderId="8" xfId="0" applyFont="1" applyBorder="1"/>
    <xf numFmtId="0" fontId="0" fillId="0" borderId="8" xfId="0" applyBorder="1"/>
    <xf numFmtId="49" fontId="0" fillId="0" borderId="48" xfId="0" applyNumberFormat="1" applyBorder="1"/>
    <xf numFmtId="4" fontId="21" fillId="2" borderId="1" xfId="0" applyNumberFormat="1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0" fillId="0" borderId="3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8" fillId="2" borderId="34" xfId="4" applyFont="1" applyFill="1" applyBorder="1" applyAlignment="1" applyProtection="1">
      <alignment horizontal="left" vertical="center" wrapText="1"/>
      <protection locked="0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14" fontId="18" fillId="2" borderId="34" xfId="4" applyNumberFormat="1" applyFont="1" applyFill="1" applyBorder="1" applyAlignment="1" applyProtection="1">
      <alignment horizontal="center" vertical="center" wrapText="1"/>
      <protection locked="0"/>
    </xf>
    <xf numFmtId="14" fontId="18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34" xfId="4" applyFont="1" applyFill="1" applyBorder="1" applyAlignment="1" applyProtection="1">
      <alignment horizontal="center" vertical="center" wrapText="1"/>
      <protection locked="0"/>
    </xf>
    <xf numFmtId="0" fontId="18" fillId="2" borderId="2" xfId="4" applyFont="1" applyFill="1" applyBorder="1" applyAlignment="1" applyProtection="1">
      <alignment horizontal="center" vertical="center" wrapText="1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60</xdr:row>
      <xdr:rowOff>171450</xdr:rowOff>
    </xdr:from>
    <xdr:to>
      <xdr:col>2</xdr:col>
      <xdr:colOff>1495425</xdr:colOff>
      <xdr:row>60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60</xdr:row>
      <xdr:rowOff>171450</xdr:rowOff>
    </xdr:from>
    <xdr:to>
      <xdr:col>2</xdr:col>
      <xdr:colOff>1495425</xdr:colOff>
      <xdr:row>60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156</xdr:row>
      <xdr:rowOff>171450</xdr:rowOff>
    </xdr:from>
    <xdr:to>
      <xdr:col>2</xdr:col>
      <xdr:colOff>1495425</xdr:colOff>
      <xdr:row>156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29860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290</xdr:row>
      <xdr:rowOff>171450</xdr:rowOff>
    </xdr:from>
    <xdr:to>
      <xdr:col>2</xdr:col>
      <xdr:colOff>1495425</xdr:colOff>
      <xdr:row>290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21669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08.06.16-08.10.16-QDM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cliuri_deklaraciis_formebi-1%20kvart.2016%20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 "გაერთიანებული დემოკრატიული მოძრაობა 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3"/>
  <sheetViews>
    <sheetView showGridLines="0" tabSelected="1" view="pageBreakPreview" zoomScale="80" zoomScaleSheetLayoutView="80" workbookViewId="0">
      <selection activeCell="Q8" sqref="Q8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>
      <c r="A1" s="363" t="s">
        <v>306</v>
      </c>
      <c r="B1" s="348"/>
      <c r="C1" s="348"/>
      <c r="D1" s="348"/>
      <c r="E1" s="349"/>
      <c r="F1" s="343"/>
      <c r="G1" s="349"/>
      <c r="H1" s="362"/>
      <c r="I1" s="348"/>
      <c r="J1" s="349"/>
      <c r="K1" s="349"/>
      <c r="L1" s="361" t="s">
        <v>108</v>
      </c>
    </row>
    <row r="2" spans="1:12" s="307" customFormat="1">
      <c r="A2" s="360" t="s">
        <v>139</v>
      </c>
      <c r="B2" s="348"/>
      <c r="C2" s="348"/>
      <c r="D2" s="348"/>
      <c r="E2" s="349"/>
      <c r="F2" s="343"/>
      <c r="G2" s="349"/>
      <c r="H2" s="359"/>
      <c r="I2" s="348"/>
      <c r="J2" s="349"/>
      <c r="K2" s="349" t="s">
        <v>515</v>
      </c>
      <c r="L2" s="358"/>
    </row>
    <row r="3" spans="1:12" s="307" customFormat="1">
      <c r="A3" s="357"/>
      <c r="B3" s="348"/>
      <c r="C3" s="356"/>
      <c r="D3" s="355"/>
      <c r="E3" s="349"/>
      <c r="F3" s="354"/>
      <c r="G3" s="349"/>
      <c r="H3" s="349"/>
      <c r="I3" s="343"/>
      <c r="J3" s="348"/>
      <c r="K3" s="348"/>
      <c r="L3" s="347"/>
    </row>
    <row r="4" spans="1:12" s="307" customFormat="1">
      <c r="A4" s="390" t="s">
        <v>273</v>
      </c>
      <c r="B4" s="343"/>
      <c r="C4" s="343"/>
      <c r="D4" s="392" t="s">
        <v>514</v>
      </c>
      <c r="E4" s="382"/>
      <c r="F4" s="306"/>
      <c r="G4" s="299"/>
      <c r="H4" s="383"/>
      <c r="I4" s="382"/>
      <c r="J4" s="384"/>
      <c r="K4" s="299"/>
      <c r="L4" s="385"/>
    </row>
    <row r="5" spans="1:12" s="307" customFormat="1" ht="15.75" thickBot="1">
      <c r="A5" s="353"/>
      <c r="B5" s="349"/>
      <c r="C5" s="352"/>
      <c r="D5" s="351"/>
      <c r="E5" s="349"/>
      <c r="F5" s="350"/>
      <c r="G5" s="350"/>
      <c r="H5" s="350"/>
      <c r="I5" s="349"/>
      <c r="J5" s="348"/>
      <c r="K5" s="348"/>
      <c r="L5" s="347"/>
    </row>
    <row r="6" spans="1:12" ht="15.75" thickBot="1">
      <c r="A6" s="346"/>
      <c r="B6" s="345"/>
      <c r="C6" s="344"/>
      <c r="D6" s="344"/>
      <c r="E6" s="344"/>
      <c r="F6" s="343"/>
      <c r="G6" s="343"/>
      <c r="H6" s="343"/>
      <c r="I6" s="509" t="s">
        <v>474</v>
      </c>
      <c r="J6" s="510"/>
      <c r="K6" s="511"/>
      <c r="L6" s="342"/>
    </row>
    <row r="7" spans="1:12" s="330" customFormat="1" ht="51.75" thickBot="1">
      <c r="A7" s="341" t="s">
        <v>63</v>
      </c>
      <c r="B7" s="340" t="s">
        <v>140</v>
      </c>
      <c r="C7" s="340" t="s">
        <v>473</v>
      </c>
      <c r="D7" s="339" t="s">
        <v>279</v>
      </c>
      <c r="E7" s="338" t="s">
        <v>472</v>
      </c>
      <c r="F7" s="337" t="s">
        <v>471</v>
      </c>
      <c r="G7" s="336" t="s">
        <v>227</v>
      </c>
      <c r="H7" s="335" t="s">
        <v>224</v>
      </c>
      <c r="I7" s="334" t="s">
        <v>470</v>
      </c>
      <c r="J7" s="333" t="s">
        <v>276</v>
      </c>
      <c r="K7" s="332" t="s">
        <v>228</v>
      </c>
      <c r="L7" s="331" t="s">
        <v>229</v>
      </c>
    </row>
    <row r="8" spans="1:12" s="329" customFormat="1">
      <c r="A8" s="403">
        <v>1</v>
      </c>
      <c r="B8" s="404">
        <v>2</v>
      </c>
      <c r="C8" s="405">
        <v>3</v>
      </c>
      <c r="D8" s="405">
        <v>4</v>
      </c>
      <c r="E8" s="403">
        <v>5</v>
      </c>
      <c r="F8" s="404">
        <v>6</v>
      </c>
      <c r="G8" s="405">
        <v>7</v>
      </c>
      <c r="H8" s="404">
        <v>8</v>
      </c>
      <c r="I8" s="403">
        <v>9</v>
      </c>
      <c r="J8" s="404">
        <v>10</v>
      </c>
      <c r="K8" s="406">
        <v>11</v>
      </c>
      <c r="L8" s="407">
        <v>12</v>
      </c>
    </row>
    <row r="9" spans="1:12" s="329" customFormat="1" ht="27">
      <c r="A9" s="328">
        <v>1</v>
      </c>
      <c r="B9" s="408" t="s">
        <v>516</v>
      </c>
      <c r="C9" s="326" t="s">
        <v>517</v>
      </c>
      <c r="D9" s="409">
        <v>30000</v>
      </c>
      <c r="E9" s="408" t="s">
        <v>518</v>
      </c>
      <c r="F9" s="408" t="s">
        <v>519</v>
      </c>
      <c r="G9" s="408" t="s">
        <v>520</v>
      </c>
      <c r="H9" s="408"/>
      <c r="I9" s="322"/>
      <c r="J9" s="321"/>
      <c r="K9" s="320"/>
      <c r="L9" s="319"/>
    </row>
    <row r="10" spans="1:12" s="329" customFormat="1" ht="27">
      <c r="A10" s="328">
        <v>2</v>
      </c>
      <c r="B10" s="408" t="s">
        <v>516</v>
      </c>
      <c r="C10" s="326" t="s">
        <v>517</v>
      </c>
      <c r="D10" s="409">
        <v>5000</v>
      </c>
      <c r="E10" s="408" t="s">
        <v>521</v>
      </c>
      <c r="F10" s="408" t="s">
        <v>522</v>
      </c>
      <c r="G10" s="408" t="s">
        <v>523</v>
      </c>
      <c r="H10" s="408"/>
      <c r="I10" s="322"/>
      <c r="J10" s="321"/>
      <c r="K10" s="320"/>
      <c r="L10" s="319"/>
    </row>
    <row r="11" spans="1:12" s="329" customFormat="1" ht="27">
      <c r="A11" s="328">
        <v>3</v>
      </c>
      <c r="B11" s="408" t="s">
        <v>524</v>
      </c>
      <c r="C11" s="326" t="s">
        <v>517</v>
      </c>
      <c r="D11" s="409">
        <v>10000</v>
      </c>
      <c r="E11" s="408" t="s">
        <v>525</v>
      </c>
      <c r="F11" s="408" t="s">
        <v>526</v>
      </c>
      <c r="G11" s="408" t="s">
        <v>527</v>
      </c>
      <c r="H11" s="408"/>
      <c r="I11" s="322"/>
      <c r="J11" s="321"/>
      <c r="K11" s="320"/>
      <c r="L11" s="319"/>
    </row>
    <row r="12" spans="1:12" s="329" customFormat="1" ht="27">
      <c r="A12" s="328">
        <v>4</v>
      </c>
      <c r="B12" s="408" t="s">
        <v>524</v>
      </c>
      <c r="C12" s="326" t="s">
        <v>517</v>
      </c>
      <c r="D12" s="409">
        <v>4996.5</v>
      </c>
      <c r="E12" s="408" t="s">
        <v>528</v>
      </c>
      <c r="F12" s="408" t="s">
        <v>529</v>
      </c>
      <c r="G12" s="408" t="s">
        <v>530</v>
      </c>
      <c r="H12" s="408"/>
      <c r="I12" s="322"/>
      <c r="J12" s="321"/>
      <c r="K12" s="320"/>
      <c r="L12" s="319"/>
    </row>
    <row r="13" spans="1:12" s="329" customFormat="1" ht="27">
      <c r="A13" s="328">
        <v>5</v>
      </c>
      <c r="B13" s="408" t="s">
        <v>524</v>
      </c>
      <c r="C13" s="326" t="s">
        <v>517</v>
      </c>
      <c r="D13" s="409">
        <v>5000</v>
      </c>
      <c r="E13" s="408" t="s">
        <v>531</v>
      </c>
      <c r="F13" s="408" t="s">
        <v>532</v>
      </c>
      <c r="G13" s="408" t="s">
        <v>533</v>
      </c>
      <c r="H13" s="408"/>
      <c r="I13" s="322"/>
      <c r="J13" s="321"/>
      <c r="K13" s="320"/>
      <c r="L13" s="319"/>
    </row>
    <row r="14" spans="1:12" s="329" customFormat="1" ht="27">
      <c r="A14" s="328">
        <v>6</v>
      </c>
      <c r="B14" s="408" t="s">
        <v>524</v>
      </c>
      <c r="C14" s="326" t="s">
        <v>517</v>
      </c>
      <c r="D14" s="409">
        <v>12000</v>
      </c>
      <c r="E14" s="408" t="s">
        <v>534</v>
      </c>
      <c r="F14" s="408" t="s">
        <v>535</v>
      </c>
      <c r="G14" s="408" t="s">
        <v>536</v>
      </c>
      <c r="H14" s="408"/>
      <c r="I14" s="322"/>
      <c r="J14" s="321"/>
      <c r="K14" s="320"/>
      <c r="L14" s="319"/>
    </row>
    <row r="15" spans="1:12" s="329" customFormat="1" ht="27">
      <c r="A15" s="328">
        <v>7</v>
      </c>
      <c r="B15" s="408" t="s">
        <v>537</v>
      </c>
      <c r="C15" s="326" t="s">
        <v>517</v>
      </c>
      <c r="D15" s="409">
        <v>30000</v>
      </c>
      <c r="E15" s="408" t="s">
        <v>538</v>
      </c>
      <c r="F15" s="408" t="s">
        <v>539</v>
      </c>
      <c r="G15" s="408" t="s">
        <v>540</v>
      </c>
      <c r="H15" s="408"/>
      <c r="I15" s="322"/>
      <c r="J15" s="321"/>
      <c r="K15" s="320"/>
      <c r="L15" s="319"/>
    </row>
    <row r="16" spans="1:12" s="329" customFormat="1" ht="27">
      <c r="A16" s="328">
        <v>8</v>
      </c>
      <c r="B16" s="408" t="s">
        <v>537</v>
      </c>
      <c r="C16" s="326" t="s">
        <v>517</v>
      </c>
      <c r="D16" s="409">
        <v>8000</v>
      </c>
      <c r="E16" s="408" t="s">
        <v>541</v>
      </c>
      <c r="F16" s="408" t="s">
        <v>542</v>
      </c>
      <c r="G16" s="408" t="s">
        <v>543</v>
      </c>
      <c r="H16" s="408"/>
      <c r="I16" s="322"/>
      <c r="J16" s="321"/>
      <c r="K16" s="320"/>
      <c r="L16" s="319"/>
    </row>
    <row r="17" spans="1:12" s="329" customFormat="1" ht="27">
      <c r="A17" s="328">
        <v>9</v>
      </c>
      <c r="B17" s="408" t="s">
        <v>544</v>
      </c>
      <c r="C17" s="326" t="s">
        <v>517</v>
      </c>
      <c r="D17" s="409">
        <v>3000</v>
      </c>
      <c r="E17" s="408" t="s">
        <v>545</v>
      </c>
      <c r="F17" s="408" t="s">
        <v>546</v>
      </c>
      <c r="G17" s="408" t="s">
        <v>547</v>
      </c>
      <c r="H17" s="408"/>
      <c r="I17" s="322"/>
      <c r="J17" s="321"/>
      <c r="K17" s="320"/>
      <c r="L17" s="319"/>
    </row>
    <row r="18" spans="1:12" s="329" customFormat="1">
      <c r="A18" s="328">
        <v>10</v>
      </c>
      <c r="B18" s="327"/>
      <c r="C18" s="326"/>
      <c r="D18" s="325"/>
      <c r="E18" s="324"/>
      <c r="F18" s="323"/>
      <c r="G18" s="323"/>
      <c r="H18" s="408"/>
      <c r="I18" s="322"/>
      <c r="J18" s="321"/>
      <c r="K18" s="320"/>
      <c r="L18" s="319"/>
    </row>
    <row r="19" spans="1:12" s="329" customFormat="1">
      <c r="A19" s="328"/>
      <c r="B19" s="408"/>
      <c r="C19" s="326"/>
      <c r="D19" s="409"/>
      <c r="E19" s="408"/>
      <c r="F19" s="408"/>
      <c r="G19" s="408"/>
      <c r="H19" s="408"/>
      <c r="I19" s="322"/>
      <c r="J19" s="321"/>
      <c r="K19" s="320"/>
      <c r="L19" s="319"/>
    </row>
    <row r="20" spans="1:12">
      <c r="A20" s="328">
        <v>19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 ht="15.75" thickBot="1">
      <c r="A21" s="318" t="s">
        <v>275</v>
      </c>
      <c r="B21" s="317"/>
      <c r="C21" s="316"/>
      <c r="D21" s="315">
        <f>SUM(D9:D20)</f>
        <v>107996.5</v>
      </c>
      <c r="E21" s="314"/>
      <c r="F21" s="313"/>
      <c r="G21" s="313"/>
      <c r="H21" s="313"/>
      <c r="I21" s="312"/>
      <c r="J21" s="311"/>
      <c r="K21" s="310"/>
      <c r="L21" s="309"/>
    </row>
    <row r="22" spans="1:12">
      <c r="A22" s="299"/>
      <c r="B22" s="300"/>
      <c r="C22" s="299"/>
      <c r="D22" s="300"/>
      <c r="E22" s="299"/>
      <c r="F22" s="300"/>
      <c r="G22" s="299"/>
      <c r="H22" s="300"/>
      <c r="I22" s="299"/>
      <c r="J22" s="300"/>
      <c r="K22" s="299"/>
      <c r="L22" s="300"/>
    </row>
    <row r="23" spans="1:12">
      <c r="A23" s="299"/>
      <c r="B23" s="306"/>
      <c r="C23" s="299"/>
      <c r="D23" s="306"/>
      <c r="E23" s="299"/>
      <c r="F23" s="306"/>
      <c r="G23" s="299"/>
      <c r="H23" s="306"/>
      <c r="I23" s="299"/>
      <c r="J23" s="306"/>
      <c r="K23" s="299"/>
      <c r="L23" s="306"/>
    </row>
    <row r="24" spans="1:12" s="307" customFormat="1">
      <c r="A24" s="512" t="s">
        <v>432</v>
      </c>
      <c r="B24" s="512"/>
      <c r="C24" s="512"/>
      <c r="D24" s="512"/>
      <c r="E24" s="512"/>
      <c r="F24" s="512"/>
      <c r="G24" s="512"/>
      <c r="H24" s="512"/>
      <c r="I24" s="512"/>
      <c r="J24" s="512"/>
      <c r="K24" s="512"/>
      <c r="L24" s="512"/>
    </row>
    <row r="25" spans="1:12" s="308" customFormat="1" ht="12.75">
      <c r="A25" s="512" t="s">
        <v>469</v>
      </c>
      <c r="B25" s="512"/>
      <c r="C25" s="512"/>
      <c r="D25" s="512"/>
      <c r="E25" s="512"/>
      <c r="F25" s="512"/>
      <c r="G25" s="512"/>
      <c r="H25" s="512"/>
      <c r="I25" s="512"/>
      <c r="J25" s="512"/>
      <c r="K25" s="512"/>
      <c r="L25" s="512"/>
    </row>
    <row r="26" spans="1:12" s="308" customFormat="1" ht="12.75">
      <c r="A26" s="512"/>
      <c r="B26" s="512"/>
      <c r="C26" s="512"/>
      <c r="D26" s="512"/>
      <c r="E26" s="512"/>
      <c r="F26" s="512"/>
      <c r="G26" s="512"/>
      <c r="H26" s="512"/>
      <c r="I26" s="512"/>
      <c r="J26" s="512"/>
      <c r="K26" s="512"/>
      <c r="L26" s="512"/>
    </row>
    <row r="27" spans="1:12" s="307" customFormat="1">
      <c r="A27" s="512" t="s">
        <v>468</v>
      </c>
      <c r="B27" s="512"/>
      <c r="C27" s="512"/>
      <c r="D27" s="512"/>
      <c r="E27" s="512"/>
      <c r="F27" s="512"/>
      <c r="G27" s="512"/>
      <c r="H27" s="512"/>
      <c r="I27" s="512"/>
      <c r="J27" s="512"/>
      <c r="K27" s="512"/>
      <c r="L27" s="512"/>
    </row>
    <row r="28" spans="1:12" s="307" customFormat="1">
      <c r="A28" s="512"/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</row>
    <row r="29" spans="1:12" s="307" customFormat="1">
      <c r="A29" s="512" t="s">
        <v>467</v>
      </c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</row>
    <row r="30" spans="1:12" s="307" customFormat="1">
      <c r="A30" s="299"/>
      <c r="B30" s="300"/>
      <c r="C30" s="299"/>
      <c r="D30" s="300"/>
      <c r="E30" s="299"/>
      <c r="F30" s="300"/>
      <c r="G30" s="299"/>
      <c r="H30" s="300"/>
      <c r="I30" s="299"/>
      <c r="J30" s="300"/>
      <c r="K30" s="299"/>
      <c r="L30" s="300"/>
    </row>
    <row r="31" spans="1:12" s="307" customFormat="1">
      <c r="A31" s="299"/>
      <c r="B31" s="306"/>
      <c r="C31" s="299"/>
      <c r="D31" s="306"/>
      <c r="E31" s="299"/>
      <c r="F31" s="306"/>
      <c r="G31" s="299"/>
      <c r="H31" s="306"/>
      <c r="I31" s="299"/>
      <c r="J31" s="306"/>
      <c r="K31" s="299"/>
      <c r="L31" s="306"/>
    </row>
    <row r="32" spans="1:12" s="307" customFormat="1">
      <c r="A32" s="299"/>
      <c r="B32" s="300"/>
      <c r="C32" s="299"/>
      <c r="D32" s="300"/>
      <c r="E32" s="299"/>
      <c r="F32" s="300"/>
      <c r="G32" s="299"/>
      <c r="H32" s="300"/>
      <c r="I32" s="299"/>
      <c r="J32" s="300"/>
      <c r="K32" s="299"/>
      <c r="L32" s="300"/>
    </row>
    <row r="33" spans="1:12">
      <c r="A33" s="299"/>
      <c r="B33" s="306"/>
      <c r="C33" s="299"/>
      <c r="D33" s="306"/>
      <c r="E33" s="299"/>
      <c r="F33" s="306"/>
      <c r="G33" s="299"/>
      <c r="H33" s="306"/>
      <c r="I33" s="299"/>
      <c r="J33" s="306"/>
      <c r="K33" s="299"/>
      <c r="L33" s="306"/>
    </row>
    <row r="34" spans="1:12" s="301" customFormat="1">
      <c r="A34" s="513" t="s">
        <v>106</v>
      </c>
      <c r="B34" s="513"/>
      <c r="C34" s="300"/>
      <c r="D34" s="299"/>
      <c r="E34" s="300"/>
      <c r="F34" s="300"/>
      <c r="G34" s="299"/>
      <c r="H34" s="300"/>
      <c r="I34" s="300"/>
      <c r="J34" s="299"/>
      <c r="K34" s="300"/>
      <c r="L34" s="299"/>
    </row>
    <row r="35" spans="1:12" s="301" customFormat="1">
      <c r="A35" s="300"/>
      <c r="B35" s="299"/>
      <c r="C35" s="304"/>
      <c r="D35" s="305"/>
      <c r="E35" s="304"/>
      <c r="F35" s="300"/>
      <c r="G35" s="299"/>
      <c r="H35" s="303"/>
      <c r="I35" s="300"/>
      <c r="J35" s="299"/>
      <c r="K35" s="300"/>
      <c r="L35" s="299"/>
    </row>
    <row r="36" spans="1:12" s="301" customFormat="1" ht="15" customHeight="1">
      <c r="A36" s="300"/>
      <c r="B36" s="299"/>
      <c r="C36" s="508" t="s">
        <v>267</v>
      </c>
      <c r="D36" s="508"/>
      <c r="E36" s="508"/>
      <c r="F36" s="300"/>
      <c r="G36" s="299"/>
      <c r="H36" s="514" t="s">
        <v>466</v>
      </c>
      <c r="I36" s="302"/>
      <c r="J36" s="299"/>
      <c r="K36" s="300"/>
      <c r="L36" s="299"/>
    </row>
    <row r="37" spans="1:12" s="301" customFormat="1">
      <c r="A37" s="300"/>
      <c r="B37" s="299"/>
      <c r="C37" s="300"/>
      <c r="D37" s="299"/>
      <c r="E37" s="300"/>
      <c r="F37" s="300"/>
      <c r="G37" s="299"/>
      <c r="H37" s="515"/>
      <c r="I37" s="302"/>
      <c r="J37" s="299"/>
      <c r="K37" s="300"/>
      <c r="L37" s="299"/>
    </row>
    <row r="38" spans="1:12" s="298" customFormat="1">
      <c r="A38" s="300"/>
      <c r="B38" s="299"/>
      <c r="C38" s="508" t="s">
        <v>138</v>
      </c>
      <c r="D38" s="508"/>
      <c r="E38" s="508"/>
      <c r="F38" s="300"/>
      <c r="G38" s="299"/>
      <c r="H38" s="300"/>
      <c r="I38" s="300"/>
      <c r="J38" s="299"/>
      <c r="K38" s="300"/>
      <c r="L38" s="299"/>
    </row>
    <row r="39" spans="1:12" s="298" customFormat="1">
      <c r="E39" s="296"/>
    </row>
    <row r="40" spans="1:12" s="298" customFormat="1">
      <c r="E40" s="296"/>
    </row>
    <row r="41" spans="1:12" s="298" customFormat="1">
      <c r="E41" s="296"/>
    </row>
    <row r="42" spans="1:12" s="298" customFormat="1">
      <c r="E42" s="296"/>
    </row>
    <row r="43" spans="1:12" s="298" customFormat="1"/>
  </sheetData>
  <mergeCells count="9">
    <mergeCell ref="C38:E38"/>
    <mergeCell ref="I6:K6"/>
    <mergeCell ref="A24:L24"/>
    <mergeCell ref="A25:L26"/>
    <mergeCell ref="A27:L28"/>
    <mergeCell ref="A29:L29"/>
    <mergeCell ref="A34:B34"/>
    <mergeCell ref="C36:E36"/>
    <mergeCell ref="H36:H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0:F21 F9:H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4" zoomScale="80" zoomScaleSheetLayoutView="80" workbookViewId="0">
      <selection activeCell="A10" sqref="A10:XFD1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18" t="s">
        <v>108</v>
      </c>
      <c r="D1" s="518"/>
      <c r="E1" s="155"/>
    </row>
    <row r="2" spans="1:12">
      <c r="A2" s="78" t="s">
        <v>139</v>
      </c>
      <c r="B2" s="116"/>
      <c r="C2" s="516" t="s">
        <v>515</v>
      </c>
      <c r="D2" s="517"/>
      <c r="E2" s="155"/>
    </row>
    <row r="3" spans="1:12">
      <c r="A3" s="78"/>
      <c r="B3" s="116"/>
      <c r="C3" s="400"/>
      <c r="D3" s="400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96"/>
      <c r="B7" s="396"/>
      <c r="C7" s="80"/>
      <c r="D7" s="80"/>
      <c r="E7" s="156"/>
    </row>
    <row r="8" spans="1:12" s="6" customFormat="1" ht="30">
      <c r="A8" s="108" t="s">
        <v>63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56</v>
      </c>
      <c r="C9" s="84">
        <f>SUM(C10,C13,C53,C56,C57,C58,C75)</f>
        <v>366349.99</v>
      </c>
      <c r="D9" s="84">
        <f>SUM(D10,D13,D53,D56,D57,D58,D64,D71,D72)</f>
        <v>477107.31</v>
      </c>
      <c r="E9" s="157"/>
    </row>
    <row r="10" spans="1:12" s="9" customFormat="1" ht="18">
      <c r="A10" s="14">
        <v>1.1000000000000001</v>
      </c>
      <c r="B10" s="14" t="s">
        <v>57</v>
      </c>
      <c r="C10" s="86">
        <f>SUM(C11:C12)</f>
        <v>99765.75</v>
      </c>
      <c r="D10" s="86">
        <f>SUM(D11:D12)</f>
        <v>101978</v>
      </c>
      <c r="E10" s="157"/>
    </row>
    <row r="11" spans="1:12" s="9" customFormat="1" ht="16.5" customHeight="1">
      <c r="A11" s="16" t="s">
        <v>29</v>
      </c>
      <c r="B11" s="16" t="s">
        <v>58</v>
      </c>
      <c r="C11" s="4">
        <f>26543.75-1250+36004+35125+2094-1</f>
        <v>98515.75</v>
      </c>
      <c r="D11" s="4">
        <f>21235+6200-1000+36004+35125+3414</f>
        <v>100978</v>
      </c>
      <c r="E11" s="157"/>
    </row>
    <row r="12" spans="1:12" ht="16.5" customHeight="1">
      <c r="A12" s="16" t="s">
        <v>30</v>
      </c>
      <c r="B12" s="16" t="s">
        <v>0</v>
      </c>
      <c r="C12" s="34">
        <v>1250</v>
      </c>
      <c r="D12" s="35">
        <v>1000</v>
      </c>
      <c r="E12" s="155"/>
    </row>
    <row r="13" spans="1:12">
      <c r="A13" s="14">
        <v>1.2</v>
      </c>
      <c r="B13" s="14" t="s">
        <v>59</v>
      </c>
      <c r="C13" s="86">
        <f>SUM(C14,C17,C29:C32,C35,C36,C43,C44,C45,C46,C47,C51,C52)</f>
        <v>266584.24</v>
      </c>
      <c r="D13" s="86">
        <f>SUM(D14,D17,D29:D32,D35,D36,D43,D44,D45,D46,D47,D51,D52)</f>
        <v>363591.32</v>
      </c>
      <c r="E13" s="155"/>
    </row>
    <row r="14" spans="1:12">
      <c r="A14" s="16" t="s">
        <v>31</v>
      </c>
      <c r="B14" s="16" t="s">
        <v>1</v>
      </c>
      <c r="C14" s="85">
        <f>SUM(C15:C16)</f>
        <v>41643</v>
      </c>
      <c r="D14" s="85">
        <f>SUM(D15:D16)</f>
        <v>41643</v>
      </c>
      <c r="E14" s="155"/>
    </row>
    <row r="15" spans="1:12" ht="17.25" customHeight="1">
      <c r="A15" s="17" t="s">
        <v>97</v>
      </c>
      <c r="B15" s="17" t="s">
        <v>60</v>
      </c>
      <c r="C15" s="36">
        <v>680</v>
      </c>
      <c r="D15" s="37">
        <v>680</v>
      </c>
      <c r="E15" s="155"/>
    </row>
    <row r="16" spans="1:12" ht="17.25" customHeight="1">
      <c r="A16" s="17" t="s">
        <v>98</v>
      </c>
      <c r="B16" s="17" t="s">
        <v>61</v>
      </c>
      <c r="C16" s="36">
        <f>21098+2752+17113</f>
        <v>40963</v>
      </c>
      <c r="D16" s="37">
        <f>31878+3315+5770</f>
        <v>40963</v>
      </c>
      <c r="E16" s="155"/>
    </row>
    <row r="17" spans="1:5">
      <c r="A17" s="16" t="s">
        <v>32</v>
      </c>
      <c r="B17" s="16" t="s">
        <v>2</v>
      </c>
      <c r="C17" s="85">
        <f>SUM(C18:C23,C28)</f>
        <v>8073.5999999999995</v>
      </c>
      <c r="D17" s="85">
        <f>SUM(D18:D23,D28)</f>
        <v>8965.869999999999</v>
      </c>
      <c r="E17" s="155"/>
    </row>
    <row r="18" spans="1:5" ht="30">
      <c r="A18" s="17" t="s">
        <v>12</v>
      </c>
      <c r="B18" s="17" t="s">
        <v>249</v>
      </c>
      <c r="C18" s="38"/>
      <c r="D18" s="468"/>
      <c r="E18" s="155"/>
    </row>
    <row r="19" spans="1:5">
      <c r="A19" s="17" t="s">
        <v>13</v>
      </c>
      <c r="B19" s="17" t="s">
        <v>14</v>
      </c>
      <c r="C19" s="38"/>
      <c r="D19" s="39"/>
      <c r="E19" s="155"/>
    </row>
    <row r="20" spans="1:5" ht="30">
      <c r="A20" s="17" t="s">
        <v>280</v>
      </c>
      <c r="B20" s="17" t="s">
        <v>22</v>
      </c>
      <c r="C20" s="38"/>
      <c r="D20" s="40"/>
      <c r="E20" s="155"/>
    </row>
    <row r="21" spans="1:5">
      <c r="A21" s="17" t="s">
        <v>281</v>
      </c>
      <c r="B21" s="17" t="s">
        <v>15</v>
      </c>
      <c r="C21" s="38">
        <f>261.75+1433.74+1875.3+1051.19</f>
        <v>4621.9799999999996</v>
      </c>
      <c r="D21" s="40">
        <f>500+392.11+50.57+261.75+964.14+1317.06+2028.62</f>
        <v>5514.25</v>
      </c>
      <c r="E21" s="155"/>
    </row>
    <row r="22" spans="1:5">
      <c r="A22" s="17" t="s">
        <v>282</v>
      </c>
      <c r="B22" s="17" t="s">
        <v>16</v>
      </c>
      <c r="C22" s="38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3451.62</v>
      </c>
      <c r="D23" s="119">
        <f>SUM(D24:D27)</f>
        <v>3451.62</v>
      </c>
      <c r="E23" s="155"/>
    </row>
    <row r="24" spans="1:5" ht="16.5" customHeight="1">
      <c r="A24" s="18" t="s">
        <v>284</v>
      </c>
      <c r="B24" s="18" t="s">
        <v>18</v>
      </c>
      <c r="C24" s="38">
        <f>378.7+767.36+399.88+1031.37</f>
        <v>2577.31</v>
      </c>
      <c r="D24" s="40">
        <f>378.7+767.36+399.88+1031.37</f>
        <v>2577.31</v>
      </c>
      <c r="E24" s="155"/>
    </row>
    <row r="25" spans="1:5" ht="16.5" customHeight="1">
      <c r="A25" s="18" t="s">
        <v>285</v>
      </c>
      <c r="B25" s="18" t="s">
        <v>19</v>
      </c>
      <c r="C25" s="38">
        <f>25.15+413.4+285.97+34.42</f>
        <v>758.93999999999994</v>
      </c>
      <c r="D25" s="40">
        <f>25.15+413.4+285.97+34.42</f>
        <v>758.93999999999994</v>
      </c>
      <c r="E25" s="155"/>
    </row>
    <row r="26" spans="1:5" ht="16.5" customHeight="1">
      <c r="A26" s="18" t="s">
        <v>286</v>
      </c>
      <c r="B26" s="18" t="s">
        <v>20</v>
      </c>
      <c r="C26" s="40">
        <f>59.77+6.75+1.35</f>
        <v>67.87</v>
      </c>
      <c r="D26" s="40">
        <f>59.77+6.75+1.35</f>
        <v>67.87</v>
      </c>
      <c r="E26" s="155"/>
    </row>
    <row r="27" spans="1:5" ht="16.5" customHeight="1">
      <c r="A27" s="18" t="s">
        <v>287</v>
      </c>
      <c r="B27" s="18" t="s">
        <v>23</v>
      </c>
      <c r="C27" s="38">
        <f>10+15+10+12.5</f>
        <v>47.5</v>
      </c>
      <c r="D27" s="468">
        <f>10+15+10+12.5</f>
        <v>47.5</v>
      </c>
      <c r="E27" s="155"/>
    </row>
    <row r="28" spans="1:5">
      <c r="A28" s="17" t="s">
        <v>288</v>
      </c>
      <c r="B28" s="17" t="s">
        <v>21</v>
      </c>
      <c r="C28" s="38"/>
      <c r="D28" s="41"/>
      <c r="E28" s="155"/>
    </row>
    <row r="29" spans="1:5">
      <c r="A29" s="16" t="s">
        <v>33</v>
      </c>
      <c r="B29" s="16" t="s">
        <v>3</v>
      </c>
      <c r="C29" s="34">
        <f>79+79+158+1</f>
        <v>317</v>
      </c>
      <c r="D29" s="35">
        <f>79+79+158+1</f>
        <v>317</v>
      </c>
      <c r="E29" s="155"/>
    </row>
    <row r="30" spans="1:5">
      <c r="A30" s="16" t="s">
        <v>34</v>
      </c>
      <c r="B30" s="16" t="s">
        <v>4</v>
      </c>
      <c r="C30" s="34"/>
      <c r="D30" s="35"/>
      <c r="E30" s="155"/>
    </row>
    <row r="31" spans="1:5">
      <c r="A31" s="16" t="s">
        <v>35</v>
      </c>
      <c r="B31" s="16" t="s">
        <v>5</v>
      </c>
      <c r="C31" s="34"/>
      <c r="D31" s="35"/>
      <c r="E31" s="155"/>
    </row>
    <row r="32" spans="1:5">
      <c r="A32" s="16" t="s">
        <v>36</v>
      </c>
      <c r="B32" s="16" t="s">
        <v>62</v>
      </c>
      <c r="C32" s="85">
        <f>SUM(C33:C34)</f>
        <v>22264</v>
      </c>
      <c r="D32" s="85">
        <f>SUM(D33:D34)</f>
        <v>22264</v>
      </c>
      <c r="E32" s="155"/>
    </row>
    <row r="33" spans="1:5">
      <c r="A33" s="17" t="s">
        <v>289</v>
      </c>
      <c r="B33" s="17" t="s">
        <v>55</v>
      </c>
      <c r="C33" s="34">
        <f>6278+7943+8043</f>
        <v>22264</v>
      </c>
      <c r="D33" s="35">
        <f>6278+7943+8043</f>
        <v>22264</v>
      </c>
      <c r="E33" s="155"/>
    </row>
    <row r="34" spans="1:5">
      <c r="A34" s="17" t="s">
        <v>290</v>
      </c>
      <c r="B34" s="17" t="s">
        <v>54</v>
      </c>
      <c r="C34" s="34"/>
      <c r="D34" s="35"/>
      <c r="E34" s="155"/>
    </row>
    <row r="35" spans="1:5">
      <c r="A35" s="16" t="s">
        <v>37</v>
      </c>
      <c r="B35" s="16" t="s">
        <v>48</v>
      </c>
      <c r="C35" s="34">
        <f>53.57+103+43+86</f>
        <v>285.57</v>
      </c>
      <c r="D35" s="35">
        <f>53.57+103+43+86</f>
        <v>285.57</v>
      </c>
      <c r="E35" s="155"/>
    </row>
    <row r="36" spans="1:5">
      <c r="A36" s="16" t="s">
        <v>38</v>
      </c>
      <c r="B36" s="16" t="s">
        <v>357</v>
      </c>
      <c r="C36" s="85">
        <f>SUM(C37:C42)</f>
        <v>35834</v>
      </c>
      <c r="D36" s="85">
        <f>SUM(D37:D42)</f>
        <v>124102</v>
      </c>
      <c r="E36" s="155"/>
    </row>
    <row r="37" spans="1:5">
      <c r="A37" s="17" t="s">
        <v>354</v>
      </c>
      <c r="B37" s="17" t="s">
        <v>358</v>
      </c>
      <c r="C37" s="34"/>
      <c r="D37" s="34">
        <v>1200</v>
      </c>
      <c r="E37" s="155"/>
    </row>
    <row r="38" spans="1:5">
      <c r="A38" s="17" t="s">
        <v>355</v>
      </c>
      <c r="B38" s="17" t="s">
        <v>359</v>
      </c>
      <c r="C38" s="34">
        <v>2000</v>
      </c>
      <c r="D38" s="34">
        <v>2000</v>
      </c>
      <c r="E38" s="155"/>
    </row>
    <row r="39" spans="1:5">
      <c r="A39" s="17" t="s">
        <v>356</v>
      </c>
      <c r="B39" s="17" t="s">
        <v>362</v>
      </c>
      <c r="C39" s="34"/>
      <c r="D39" s="35">
        <v>400</v>
      </c>
      <c r="E39" s="155"/>
    </row>
    <row r="40" spans="1:5">
      <c r="A40" s="17" t="s">
        <v>361</v>
      </c>
      <c r="B40" s="17" t="s">
        <v>363</v>
      </c>
      <c r="C40" s="21">
        <f>350+1125</f>
        <v>1475</v>
      </c>
      <c r="D40" s="21">
        <v>1125</v>
      </c>
      <c r="E40" s="155"/>
    </row>
    <row r="41" spans="1:5">
      <c r="A41" s="17" t="s">
        <v>364</v>
      </c>
      <c r="B41" s="17" t="s">
        <v>498</v>
      </c>
      <c r="C41" s="34"/>
      <c r="D41" s="35">
        <v>111352</v>
      </c>
      <c r="E41" s="155"/>
    </row>
    <row r="42" spans="1:5">
      <c r="A42" s="17" t="s">
        <v>499</v>
      </c>
      <c r="B42" s="17" t="s">
        <v>360</v>
      </c>
      <c r="C42" s="34">
        <v>32359</v>
      </c>
      <c r="D42" s="35">
        <v>8025</v>
      </c>
      <c r="E42" s="155"/>
    </row>
    <row r="43" spans="1:5" ht="30">
      <c r="A43" s="16" t="s">
        <v>39</v>
      </c>
      <c r="B43" s="16" t="s">
        <v>27</v>
      </c>
      <c r="C43" s="34">
        <v>1397</v>
      </c>
      <c r="D43" s="35">
        <v>1397</v>
      </c>
      <c r="E43" s="155"/>
    </row>
    <row r="44" spans="1:5">
      <c r="A44" s="16" t="s">
        <v>40</v>
      </c>
      <c r="B44" s="16" t="s">
        <v>24</v>
      </c>
      <c r="C44" s="34">
        <f>1000+1002+1885+1885+70.2</f>
        <v>5842.2</v>
      </c>
      <c r="D44" s="35">
        <f>1000+885+117+2385+8135+885</f>
        <v>13407</v>
      </c>
      <c r="E44" s="155"/>
    </row>
    <row r="45" spans="1:5">
      <c r="A45" s="16" t="s">
        <v>41</v>
      </c>
      <c r="B45" s="16" t="s">
        <v>25</v>
      </c>
      <c r="C45" s="34"/>
      <c r="D45" s="35"/>
      <c r="E45" s="155"/>
    </row>
    <row r="46" spans="1:5">
      <c r="A46" s="16" t="s">
        <v>42</v>
      </c>
      <c r="B46" s="16" t="s">
        <v>26</v>
      </c>
      <c r="C46" s="34"/>
      <c r="D46" s="35"/>
      <c r="E46" s="155"/>
    </row>
    <row r="47" spans="1:5">
      <c r="A47" s="16" t="s">
        <v>43</v>
      </c>
      <c r="B47" s="16" t="s">
        <v>295</v>
      </c>
      <c r="C47" s="85">
        <f>SUM(C48:C50)</f>
        <v>150927.87</v>
      </c>
      <c r="D47" s="85">
        <f>SUM(D48:D50)</f>
        <v>151209.88</v>
      </c>
      <c r="E47" s="155"/>
    </row>
    <row r="48" spans="1:5">
      <c r="A48" s="99" t="s">
        <v>370</v>
      </c>
      <c r="B48" s="99" t="s">
        <v>373</v>
      </c>
      <c r="C48" s="34">
        <f>37979.87+56163+9413+47372</f>
        <v>150927.87</v>
      </c>
      <c r="D48" s="35">
        <f>34447.39-40+4557.49+55287+9523+47435</f>
        <v>151209.88</v>
      </c>
      <c r="E48" s="155"/>
    </row>
    <row r="49" spans="1:5">
      <c r="A49" s="99" t="s">
        <v>371</v>
      </c>
      <c r="B49" s="99" t="s">
        <v>372</v>
      </c>
      <c r="C49" s="34"/>
      <c r="D49" s="35"/>
      <c r="E49" s="155"/>
    </row>
    <row r="50" spans="1:5">
      <c r="A50" s="99" t="s">
        <v>374</v>
      </c>
      <c r="B50" s="99" t="s">
        <v>375</v>
      </c>
      <c r="C50" s="34"/>
      <c r="D50" s="35"/>
      <c r="E50" s="155"/>
    </row>
    <row r="51" spans="1:5" ht="26.25" customHeight="1">
      <c r="A51" s="16" t="s">
        <v>44</v>
      </c>
      <c r="B51" s="16" t="s">
        <v>28</v>
      </c>
      <c r="C51" s="34"/>
      <c r="D51" s="35"/>
      <c r="E51" s="155"/>
    </row>
    <row r="52" spans="1:5">
      <c r="A52" s="16" t="s">
        <v>45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49</v>
      </c>
      <c r="B54" s="16" t="s">
        <v>47</v>
      </c>
      <c r="C54" s="34"/>
      <c r="D54" s="35"/>
      <c r="E54" s="155"/>
    </row>
    <row r="55" spans="1:5">
      <c r="A55" s="16" t="s">
        <v>50</v>
      </c>
      <c r="B55" s="16" t="s">
        <v>46</v>
      </c>
      <c r="C55" s="34"/>
      <c r="D55" s="35"/>
      <c r="E55" s="155"/>
    </row>
    <row r="56" spans="1:5">
      <c r="A56" s="14">
        <v>1.4</v>
      </c>
      <c r="B56" s="14" t="s">
        <v>416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1240</v>
      </c>
      <c r="E58" s="155"/>
    </row>
    <row r="59" spans="1:5">
      <c r="A59" s="16" t="s">
        <v>296</v>
      </c>
      <c r="B59" s="46" t="s">
        <v>51</v>
      </c>
      <c r="C59" s="38"/>
      <c r="D59" s="40"/>
      <c r="E59" s="155"/>
    </row>
    <row r="60" spans="1:5" ht="30">
      <c r="A60" s="16" t="s">
        <v>297</v>
      </c>
      <c r="B60" s="46" t="s">
        <v>53</v>
      </c>
      <c r="C60" s="38"/>
      <c r="D60" s="40"/>
      <c r="E60" s="155"/>
    </row>
    <row r="61" spans="1:5">
      <c r="A61" s="16" t="s">
        <v>298</v>
      </c>
      <c r="B61" s="46" t="s">
        <v>52</v>
      </c>
      <c r="C61" s="40"/>
      <c r="D61" s="40"/>
      <c r="E61" s="155"/>
    </row>
    <row r="62" spans="1:5">
      <c r="A62" s="16" t="s">
        <v>299</v>
      </c>
      <c r="B62" s="46" t="s">
        <v>967</v>
      </c>
      <c r="C62" s="38"/>
      <c r="D62" s="40">
        <v>1240</v>
      </c>
      <c r="E62" s="155"/>
    </row>
    <row r="63" spans="1:5">
      <c r="A63" s="16" t="s">
        <v>336</v>
      </c>
      <c r="B63" s="223" t="s">
        <v>337</v>
      </c>
      <c r="C63" s="38"/>
      <c r="D63" s="224"/>
      <c r="E63" s="155"/>
    </row>
    <row r="64" spans="1:5">
      <c r="A64" s="13">
        <v>2</v>
      </c>
      <c r="B64" s="47" t="s">
        <v>105</v>
      </c>
      <c r="C64" s="288"/>
      <c r="D64" s="120">
        <f>SUM(D65:D70)</f>
        <v>10297.99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22">
        <v>10297.99</v>
      </c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70"/>
      <c r="B76" s="370"/>
      <c r="C76" s="12"/>
      <c r="D76" s="12"/>
      <c r="E76" s="107"/>
    </row>
    <row r="77" spans="1:5" s="2" customFormat="1" ht="15" customHeight="1">
      <c r="A77" s="521" t="s">
        <v>500</v>
      </c>
      <c r="B77" s="521"/>
      <c r="C77" s="521"/>
      <c r="D77" s="521"/>
      <c r="E77" s="107"/>
    </row>
    <row r="78" spans="1:5" s="2" customFormat="1">
      <c r="A78" s="370"/>
      <c r="B78" s="370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399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29" t="s">
        <v>502</v>
      </c>
      <c r="C84" s="529"/>
      <c r="D84" s="529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29" t="s">
        <v>504</v>
      </c>
      <c r="C86" s="529"/>
      <c r="D86" s="52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41" right="0.36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18" t="s">
        <v>108</v>
      </c>
      <c r="D1" s="518"/>
      <c r="E1" s="93"/>
    </row>
    <row r="2" spans="1:5" s="6" customFormat="1">
      <c r="A2" s="76" t="s">
        <v>327</v>
      </c>
      <c r="B2" s="79"/>
      <c r="C2" s="516" t="s">
        <v>515</v>
      </c>
      <c r="D2" s="516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 t="s">
        <v>968</v>
      </c>
      <c r="C10" s="4"/>
      <c r="D10" s="4">
        <v>40</v>
      </c>
      <c r="E10" s="95"/>
    </row>
    <row r="11" spans="1:5" s="10" customFormat="1">
      <c r="A11" s="100" t="s">
        <v>328</v>
      </c>
      <c r="B11" s="100" t="s">
        <v>969</v>
      </c>
      <c r="C11" s="4"/>
      <c r="D11" s="4">
        <v>400</v>
      </c>
      <c r="E11" s="96"/>
    </row>
    <row r="12" spans="1:5" s="10" customFormat="1">
      <c r="A12" s="100" t="s">
        <v>328</v>
      </c>
      <c r="B12" s="100" t="s">
        <v>970</v>
      </c>
      <c r="C12" s="4"/>
      <c r="D12" s="4">
        <v>800</v>
      </c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1240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2" t="s">
        <v>419</v>
      </c>
    </row>
    <row r="30" spans="1:5">
      <c r="A30" s="222"/>
    </row>
    <row r="31" spans="1:5">
      <c r="A31" s="222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64"/>
  <sheetViews>
    <sheetView view="pageBreakPreview" topLeftCell="A43" zoomScale="80" zoomScaleSheetLayoutView="80" workbookViewId="0">
      <selection activeCell="C32" sqref="C3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9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400"/>
      <c r="H1" s="400"/>
      <c r="I1" s="518" t="s">
        <v>108</v>
      </c>
      <c r="J1" s="518"/>
    </row>
    <row r="2" spans="1:10" ht="15">
      <c r="A2" s="78" t="s">
        <v>139</v>
      </c>
      <c r="B2" s="76"/>
      <c r="C2" s="79"/>
      <c r="D2" s="79"/>
      <c r="E2" s="79"/>
      <c r="F2" s="79"/>
      <c r="G2" s="400"/>
      <c r="H2" s="400"/>
      <c r="I2" s="516" t="s">
        <v>515</v>
      </c>
      <c r="J2" s="516"/>
    </row>
    <row r="3" spans="1:10" ht="15">
      <c r="A3" s="78"/>
      <c r="B3" s="78"/>
      <c r="C3" s="76"/>
      <c r="D3" s="76"/>
      <c r="E3" s="76"/>
      <c r="F3" s="76"/>
      <c r="G3" s="400"/>
      <c r="H3" s="400"/>
      <c r="I3" s="400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6"/>
      <c r="B7" s="396"/>
      <c r="C7" s="396"/>
      <c r="D7" s="396"/>
      <c r="E7" s="396"/>
      <c r="F7" s="396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7" t="s">
        <v>347</v>
      </c>
    </row>
    <row r="9" spans="1:10" ht="15">
      <c r="A9" s="100">
        <v>1</v>
      </c>
      <c r="B9" s="480" t="s">
        <v>525</v>
      </c>
      <c r="C9" s="89"/>
      <c r="D9" s="481" t="s">
        <v>526</v>
      </c>
      <c r="E9" s="89"/>
      <c r="F9" s="100" t="s">
        <v>347</v>
      </c>
      <c r="G9" s="4">
        <v>2500</v>
      </c>
      <c r="H9" s="4">
        <v>2000</v>
      </c>
      <c r="I9" s="4">
        <v>500</v>
      </c>
      <c r="J9" s="237"/>
    </row>
    <row r="10" spans="1:10" ht="15">
      <c r="A10" s="100">
        <v>2</v>
      </c>
      <c r="B10" s="480" t="s">
        <v>534</v>
      </c>
      <c r="C10" s="89"/>
      <c r="D10" s="481" t="s">
        <v>535</v>
      </c>
      <c r="E10" s="89"/>
      <c r="F10" s="100" t="s">
        <v>347</v>
      </c>
      <c r="G10" s="4">
        <v>3750</v>
      </c>
      <c r="H10" s="4">
        <v>3000</v>
      </c>
      <c r="I10" s="4">
        <v>750</v>
      </c>
      <c r="J10" s="237"/>
    </row>
    <row r="11" spans="1:10" ht="15">
      <c r="A11" s="100">
        <v>3</v>
      </c>
      <c r="B11" s="480" t="s">
        <v>918</v>
      </c>
      <c r="C11" s="89"/>
      <c r="D11" s="481" t="s">
        <v>919</v>
      </c>
      <c r="E11" s="89"/>
      <c r="F11" s="100" t="s">
        <v>347</v>
      </c>
      <c r="G11" s="4">
        <v>1000</v>
      </c>
      <c r="H11" s="4">
        <v>800</v>
      </c>
      <c r="I11" s="4">
        <v>200</v>
      </c>
      <c r="J11" s="237"/>
    </row>
    <row r="12" spans="1:10" ht="15">
      <c r="A12" s="100">
        <v>4</v>
      </c>
      <c r="B12" s="480" t="s">
        <v>531</v>
      </c>
      <c r="C12" s="89"/>
      <c r="D12" s="481" t="s">
        <v>532</v>
      </c>
      <c r="E12" s="89"/>
      <c r="F12" s="100" t="s">
        <v>347</v>
      </c>
      <c r="G12" s="4">
        <v>2500</v>
      </c>
      <c r="H12" s="4">
        <v>2000</v>
      </c>
      <c r="I12" s="4">
        <v>500</v>
      </c>
      <c r="J12" s="237"/>
    </row>
    <row r="13" spans="1:10" ht="15">
      <c r="A13" s="100">
        <v>5</v>
      </c>
      <c r="B13" s="480" t="s">
        <v>914</v>
      </c>
      <c r="C13" s="89"/>
      <c r="D13" s="481" t="s">
        <v>915</v>
      </c>
      <c r="E13" s="89"/>
      <c r="F13" s="100" t="s">
        <v>347</v>
      </c>
      <c r="G13" s="4">
        <v>2500</v>
      </c>
      <c r="H13" s="4">
        <v>2000</v>
      </c>
      <c r="I13" s="4">
        <v>500</v>
      </c>
      <c r="J13" s="237"/>
    </row>
    <row r="14" spans="1:10" ht="15">
      <c r="A14" s="100">
        <v>6</v>
      </c>
      <c r="B14" s="480" t="s">
        <v>916</v>
      </c>
      <c r="C14" s="89"/>
      <c r="D14" s="481" t="s">
        <v>917</v>
      </c>
      <c r="E14" s="89"/>
      <c r="F14" s="100" t="s">
        <v>347</v>
      </c>
      <c r="G14" s="4">
        <v>2500</v>
      </c>
      <c r="H14" s="4">
        <v>2000</v>
      </c>
      <c r="I14" s="4">
        <v>500</v>
      </c>
      <c r="J14" s="237"/>
    </row>
    <row r="15" spans="1:10" ht="15">
      <c r="A15" s="100">
        <v>7</v>
      </c>
      <c r="B15" s="480" t="s">
        <v>882</v>
      </c>
      <c r="C15" s="89"/>
      <c r="D15" s="481" t="s">
        <v>883</v>
      </c>
      <c r="E15" s="89"/>
      <c r="F15" s="100" t="s">
        <v>347</v>
      </c>
      <c r="G15" s="4">
        <v>2500</v>
      </c>
      <c r="H15" s="4">
        <v>2000</v>
      </c>
      <c r="I15" s="4">
        <v>500</v>
      </c>
      <c r="J15" s="237"/>
    </row>
    <row r="16" spans="1:10" ht="15">
      <c r="A16" s="100">
        <v>8</v>
      </c>
      <c r="B16" s="480" t="s">
        <v>541</v>
      </c>
      <c r="C16" s="89"/>
      <c r="D16" s="481" t="s">
        <v>542</v>
      </c>
      <c r="E16" s="89"/>
      <c r="F16" s="100" t="s">
        <v>347</v>
      </c>
      <c r="G16" s="4">
        <v>2500</v>
      </c>
      <c r="H16" s="4">
        <v>2000</v>
      </c>
      <c r="I16" s="4">
        <v>500</v>
      </c>
      <c r="J16" s="237"/>
    </row>
    <row r="17" spans="1:10" ht="15">
      <c r="A17" s="100">
        <v>9</v>
      </c>
      <c r="B17" s="480" t="s">
        <v>534</v>
      </c>
      <c r="C17" s="89"/>
      <c r="D17" s="481" t="s">
        <v>535</v>
      </c>
      <c r="E17" s="89"/>
      <c r="F17" s="100" t="s">
        <v>347</v>
      </c>
      <c r="G17" s="4">
        <v>3750</v>
      </c>
      <c r="H17" s="4">
        <v>3000</v>
      </c>
      <c r="I17" s="4">
        <v>750</v>
      </c>
      <c r="J17" s="237"/>
    </row>
    <row r="18" spans="1:10" ht="15">
      <c r="A18" s="100">
        <v>10</v>
      </c>
      <c r="B18" s="480" t="s">
        <v>896</v>
      </c>
      <c r="C18" s="89"/>
      <c r="D18" s="481" t="s">
        <v>897</v>
      </c>
      <c r="E18" s="89"/>
      <c r="F18" s="482" t="s">
        <v>0</v>
      </c>
      <c r="G18" s="4">
        <v>1250</v>
      </c>
      <c r="H18" s="4">
        <v>1000</v>
      </c>
      <c r="I18" s="4">
        <v>250</v>
      </c>
      <c r="J18" s="237"/>
    </row>
    <row r="19" spans="1:10" ht="15">
      <c r="A19" s="100">
        <v>11</v>
      </c>
      <c r="B19" s="480" t="s">
        <v>896</v>
      </c>
      <c r="C19" s="89"/>
      <c r="D19" s="481" t="s">
        <v>897</v>
      </c>
      <c r="E19" s="89"/>
      <c r="F19" s="100" t="s">
        <v>347</v>
      </c>
      <c r="G19" s="4">
        <v>1250</v>
      </c>
      <c r="H19" s="4">
        <v>1000</v>
      </c>
      <c r="I19" s="4">
        <v>250</v>
      </c>
      <c r="J19" s="237"/>
    </row>
    <row r="20" spans="1:10" ht="15">
      <c r="A20" s="100">
        <v>12</v>
      </c>
      <c r="B20" s="480" t="s">
        <v>971</v>
      </c>
      <c r="C20" s="483"/>
      <c r="D20" s="481" t="s">
        <v>972</v>
      </c>
      <c r="E20" s="483"/>
      <c r="F20" s="484" t="s">
        <v>347</v>
      </c>
      <c r="G20" s="485">
        <v>543.75</v>
      </c>
      <c r="H20" s="485">
        <v>435</v>
      </c>
      <c r="I20" s="4">
        <v>108.75</v>
      </c>
      <c r="J20" s="237"/>
    </row>
    <row r="21" spans="1:10" ht="15">
      <c r="A21" s="100">
        <v>13</v>
      </c>
      <c r="B21" s="486" t="s">
        <v>912</v>
      </c>
      <c r="C21" s="487"/>
      <c r="D21" s="488" t="s">
        <v>913</v>
      </c>
      <c r="E21" s="487"/>
      <c r="F21" s="489" t="s">
        <v>347</v>
      </c>
      <c r="G21" s="490">
        <v>3750</v>
      </c>
      <c r="H21" s="491">
        <v>3000</v>
      </c>
      <c r="I21" s="490">
        <v>750</v>
      </c>
      <c r="J21" s="237"/>
    </row>
    <row r="22" spans="1:10" ht="15">
      <c r="A22" s="100">
        <v>14</v>
      </c>
      <c r="B22" s="486" t="s">
        <v>518</v>
      </c>
      <c r="C22" s="487"/>
      <c r="D22" s="488" t="s">
        <v>519</v>
      </c>
      <c r="E22" s="487"/>
      <c r="F22" s="489" t="s">
        <v>347</v>
      </c>
      <c r="G22" s="490">
        <v>2750</v>
      </c>
      <c r="H22" s="491">
        <v>2200</v>
      </c>
      <c r="I22" s="490">
        <v>550</v>
      </c>
      <c r="J22" s="237"/>
    </row>
    <row r="23" spans="1:10" ht="15">
      <c r="A23" s="100">
        <v>15</v>
      </c>
      <c r="B23" s="486" t="s">
        <v>927</v>
      </c>
      <c r="C23" s="487"/>
      <c r="D23" s="488" t="s">
        <v>928</v>
      </c>
      <c r="E23" s="487"/>
      <c r="F23" s="489" t="s">
        <v>347</v>
      </c>
      <c r="G23" s="490">
        <v>2500</v>
      </c>
      <c r="H23" s="491">
        <v>2000</v>
      </c>
      <c r="I23" s="490">
        <v>500</v>
      </c>
      <c r="J23" s="237"/>
    </row>
    <row r="24" spans="1:10" ht="15">
      <c r="A24" s="100">
        <v>16</v>
      </c>
      <c r="B24" s="486" t="s">
        <v>918</v>
      </c>
      <c r="C24" s="487"/>
      <c r="D24" s="488" t="s">
        <v>919</v>
      </c>
      <c r="E24" s="487"/>
      <c r="F24" s="489" t="s">
        <v>347</v>
      </c>
      <c r="G24" s="490">
        <v>1000</v>
      </c>
      <c r="H24" s="491">
        <v>800</v>
      </c>
      <c r="I24" s="490">
        <v>200</v>
      </c>
      <c r="J24" s="237"/>
    </row>
    <row r="25" spans="1:10" ht="15">
      <c r="A25" s="100">
        <v>17</v>
      </c>
      <c r="B25" s="486" t="s">
        <v>525</v>
      </c>
      <c r="C25" s="487"/>
      <c r="D25" s="488" t="s">
        <v>526</v>
      </c>
      <c r="E25" s="487"/>
      <c r="F25" s="489" t="s">
        <v>347</v>
      </c>
      <c r="G25" s="490">
        <v>2500</v>
      </c>
      <c r="H25" s="491">
        <v>2000</v>
      </c>
      <c r="I25" s="490">
        <v>500</v>
      </c>
      <c r="J25" s="237"/>
    </row>
    <row r="26" spans="1:10" ht="15">
      <c r="A26" s="100">
        <v>18</v>
      </c>
      <c r="B26" s="486" t="s">
        <v>936</v>
      </c>
      <c r="C26" s="487"/>
      <c r="D26" s="488" t="s">
        <v>937</v>
      </c>
      <c r="E26" s="487"/>
      <c r="F26" s="489" t="s">
        <v>347</v>
      </c>
      <c r="G26" s="490">
        <v>2500</v>
      </c>
      <c r="H26" s="491">
        <v>2000</v>
      </c>
      <c r="I26" s="490">
        <v>500</v>
      </c>
      <c r="J26" s="237"/>
    </row>
    <row r="27" spans="1:10" ht="15">
      <c r="A27" s="100">
        <v>19</v>
      </c>
      <c r="B27" s="486" t="s">
        <v>973</v>
      </c>
      <c r="C27" s="487"/>
      <c r="D27" s="488" t="s">
        <v>915</v>
      </c>
      <c r="E27" s="487"/>
      <c r="F27" s="489" t="s">
        <v>347</v>
      </c>
      <c r="G27" s="490">
        <v>2500</v>
      </c>
      <c r="H27" s="491">
        <v>2000</v>
      </c>
      <c r="I27" s="490">
        <v>500</v>
      </c>
      <c r="J27" s="237"/>
    </row>
    <row r="28" spans="1:10" ht="15">
      <c r="A28" s="100">
        <v>20</v>
      </c>
      <c r="B28" s="486" t="s">
        <v>531</v>
      </c>
      <c r="C28" s="487"/>
      <c r="D28" s="488" t="s">
        <v>532</v>
      </c>
      <c r="E28" s="487"/>
      <c r="F28" s="489" t="s">
        <v>347</v>
      </c>
      <c r="G28" s="490">
        <v>2500</v>
      </c>
      <c r="H28" s="491">
        <v>2000</v>
      </c>
      <c r="I28" s="490">
        <v>500</v>
      </c>
      <c r="J28" s="237"/>
    </row>
    <row r="29" spans="1:10" ht="15">
      <c r="A29" s="100">
        <v>21</v>
      </c>
      <c r="B29" s="486" t="s">
        <v>534</v>
      </c>
      <c r="C29" s="487"/>
      <c r="D29" s="488" t="s">
        <v>535</v>
      </c>
      <c r="E29" s="487"/>
      <c r="F29" s="489" t="s">
        <v>347</v>
      </c>
      <c r="G29" s="490">
        <v>3750</v>
      </c>
      <c r="H29" s="491">
        <v>3000</v>
      </c>
      <c r="I29" s="490">
        <v>750</v>
      </c>
      <c r="J29" s="237"/>
    </row>
    <row r="30" spans="1:10" ht="15">
      <c r="A30" s="100">
        <v>22</v>
      </c>
      <c r="B30" s="486" t="s">
        <v>971</v>
      </c>
      <c r="C30" s="487"/>
      <c r="D30" s="488" t="s">
        <v>972</v>
      </c>
      <c r="E30" s="487"/>
      <c r="F30" s="489" t="s">
        <v>347</v>
      </c>
      <c r="G30" s="490">
        <v>2253.75</v>
      </c>
      <c r="H30" s="491">
        <v>1803</v>
      </c>
      <c r="I30" s="490">
        <v>450.75</v>
      </c>
      <c r="J30" s="237"/>
    </row>
    <row r="31" spans="1:10" ht="15">
      <c r="A31" s="100">
        <v>23</v>
      </c>
      <c r="B31" s="486" t="s">
        <v>882</v>
      </c>
      <c r="C31" s="487"/>
      <c r="D31" s="488" t="s">
        <v>883</v>
      </c>
      <c r="E31" s="487"/>
      <c r="F31" s="489" t="s">
        <v>347</v>
      </c>
      <c r="G31" s="490">
        <v>2500</v>
      </c>
      <c r="H31" s="491">
        <v>2000</v>
      </c>
      <c r="I31" s="490">
        <v>500</v>
      </c>
      <c r="J31" s="237"/>
    </row>
    <row r="32" spans="1:10" ht="15">
      <c r="A32" s="100">
        <v>24</v>
      </c>
      <c r="B32" s="486" t="s">
        <v>541</v>
      </c>
      <c r="C32" s="487"/>
      <c r="D32" s="488" t="s">
        <v>542</v>
      </c>
      <c r="E32" s="487"/>
      <c r="F32" s="489" t="s">
        <v>347</v>
      </c>
      <c r="G32" s="490">
        <v>2500</v>
      </c>
      <c r="H32" s="491">
        <v>2000</v>
      </c>
      <c r="I32" s="490">
        <v>500</v>
      </c>
      <c r="J32" s="237"/>
    </row>
    <row r="33" spans="1:10" ht="15">
      <c r="A33" s="100">
        <v>25</v>
      </c>
      <c r="B33" s="486" t="s">
        <v>932</v>
      </c>
      <c r="C33" s="492"/>
      <c r="D33" s="488" t="s">
        <v>933</v>
      </c>
      <c r="E33" s="492"/>
      <c r="F33" s="489" t="s">
        <v>347</v>
      </c>
      <c r="G33" s="493">
        <v>2500</v>
      </c>
      <c r="H33" s="491">
        <v>2000</v>
      </c>
      <c r="I33" s="490">
        <v>500</v>
      </c>
      <c r="J33" s="237"/>
    </row>
    <row r="34" spans="1:10" ht="15">
      <c r="A34" s="100">
        <v>26</v>
      </c>
      <c r="B34" s="486" t="s">
        <v>922</v>
      </c>
      <c r="C34" s="492"/>
      <c r="D34" s="488" t="s">
        <v>522</v>
      </c>
      <c r="E34" s="492"/>
      <c r="F34" s="489" t="s">
        <v>347</v>
      </c>
      <c r="G34" s="493">
        <v>2500</v>
      </c>
      <c r="H34" s="491">
        <v>2000</v>
      </c>
      <c r="I34" s="490">
        <v>500</v>
      </c>
      <c r="J34" s="237"/>
    </row>
    <row r="35" spans="1:10" ht="15">
      <c r="A35" s="100">
        <v>27</v>
      </c>
      <c r="B35" s="494" t="s">
        <v>525</v>
      </c>
      <c r="C35" s="89"/>
      <c r="D35" s="495" t="s">
        <v>526</v>
      </c>
      <c r="E35" s="89"/>
      <c r="F35" s="100" t="s">
        <v>347</v>
      </c>
      <c r="G35" s="4">
        <v>2500</v>
      </c>
      <c r="H35" s="496">
        <v>2000</v>
      </c>
      <c r="I35" s="4">
        <v>500</v>
      </c>
      <c r="J35" s="237"/>
    </row>
    <row r="36" spans="1:10" ht="15">
      <c r="A36" s="100">
        <v>28</v>
      </c>
      <c r="B36" s="494" t="s">
        <v>948</v>
      </c>
      <c r="C36" s="89"/>
      <c r="D36" s="495" t="s">
        <v>949</v>
      </c>
      <c r="E36" s="89"/>
      <c r="F36" s="100" t="s">
        <v>347</v>
      </c>
      <c r="G36" s="4">
        <v>2500</v>
      </c>
      <c r="H36" s="496">
        <v>2000</v>
      </c>
      <c r="I36" s="4">
        <v>500</v>
      </c>
      <c r="J36" s="237"/>
    </row>
    <row r="37" spans="1:10" ht="15">
      <c r="A37" s="100">
        <v>29</v>
      </c>
      <c r="B37" s="494" t="s">
        <v>974</v>
      </c>
      <c r="C37" s="89"/>
      <c r="D37" s="495" t="s">
        <v>975</v>
      </c>
      <c r="E37" s="89"/>
      <c r="F37" s="100" t="s">
        <v>347</v>
      </c>
      <c r="G37" s="4">
        <v>2875</v>
      </c>
      <c r="H37" s="496">
        <v>2300</v>
      </c>
      <c r="I37" s="4">
        <v>575</v>
      </c>
      <c r="J37" s="237"/>
    </row>
    <row r="38" spans="1:10" ht="15">
      <c r="A38" s="100">
        <v>30</v>
      </c>
      <c r="B38" s="494" t="s">
        <v>976</v>
      </c>
      <c r="C38" s="89"/>
      <c r="D38" s="495" t="s">
        <v>977</v>
      </c>
      <c r="E38" s="89"/>
      <c r="F38" s="100" t="s">
        <v>347</v>
      </c>
      <c r="G38" s="4">
        <v>3500</v>
      </c>
      <c r="H38" s="496">
        <v>2800</v>
      </c>
      <c r="I38" s="4">
        <v>700</v>
      </c>
      <c r="J38" s="237"/>
    </row>
    <row r="39" spans="1:10" ht="15">
      <c r="A39" s="100">
        <v>31</v>
      </c>
      <c r="B39" s="494" t="s">
        <v>978</v>
      </c>
      <c r="C39" s="89"/>
      <c r="D39" s="495" t="s">
        <v>979</v>
      </c>
      <c r="E39" s="89"/>
      <c r="F39" s="100" t="s">
        <v>347</v>
      </c>
      <c r="G39" s="4">
        <v>1250</v>
      </c>
      <c r="H39" s="496">
        <v>1000</v>
      </c>
      <c r="I39" s="4">
        <v>250</v>
      </c>
      <c r="J39" s="237"/>
    </row>
    <row r="40" spans="1:10" ht="15">
      <c r="A40" s="100">
        <v>32</v>
      </c>
      <c r="B40" s="494" t="s">
        <v>923</v>
      </c>
      <c r="C40" s="89"/>
      <c r="D40" s="495" t="s">
        <v>924</v>
      </c>
      <c r="E40" s="89"/>
      <c r="F40" s="100" t="s">
        <v>347</v>
      </c>
      <c r="G40" s="4">
        <v>625</v>
      </c>
      <c r="H40" s="496">
        <v>500</v>
      </c>
      <c r="I40" s="4">
        <v>125</v>
      </c>
      <c r="J40" s="237"/>
    </row>
    <row r="41" spans="1:10" ht="15">
      <c r="A41" s="100">
        <v>33</v>
      </c>
      <c r="B41" s="494" t="s">
        <v>902</v>
      </c>
      <c r="C41" s="89"/>
      <c r="D41" s="495" t="s">
        <v>903</v>
      </c>
      <c r="E41" s="89"/>
      <c r="F41" s="100" t="s">
        <v>347</v>
      </c>
      <c r="G41" s="4">
        <v>1250</v>
      </c>
      <c r="H41" s="496">
        <v>1000</v>
      </c>
      <c r="I41" s="4">
        <v>250</v>
      </c>
      <c r="J41" s="237"/>
    </row>
    <row r="42" spans="1:10" ht="15">
      <c r="A42" s="100">
        <v>34</v>
      </c>
      <c r="B42" s="494" t="s">
        <v>936</v>
      </c>
      <c r="C42" s="89"/>
      <c r="D42" s="495" t="s">
        <v>937</v>
      </c>
      <c r="E42" s="89"/>
      <c r="F42" s="100" t="s">
        <v>347</v>
      </c>
      <c r="G42" s="4">
        <v>2500</v>
      </c>
      <c r="H42" s="496">
        <v>2000</v>
      </c>
      <c r="I42" s="4">
        <v>500</v>
      </c>
      <c r="J42" s="237"/>
    </row>
    <row r="43" spans="1:10" ht="15">
      <c r="A43" s="100">
        <v>35</v>
      </c>
      <c r="B43" s="494" t="s">
        <v>927</v>
      </c>
      <c r="C43" s="89"/>
      <c r="D43" s="495" t="s">
        <v>928</v>
      </c>
      <c r="E43" s="89"/>
      <c r="F43" s="100" t="s">
        <v>347</v>
      </c>
      <c r="G43" s="4">
        <v>2500</v>
      </c>
      <c r="H43" s="496">
        <v>2000</v>
      </c>
      <c r="I43" s="4">
        <v>500</v>
      </c>
      <c r="J43" s="237"/>
    </row>
    <row r="44" spans="1:10" ht="15">
      <c r="A44" s="100">
        <v>36</v>
      </c>
      <c r="B44" s="494" t="s">
        <v>980</v>
      </c>
      <c r="C44" s="89"/>
      <c r="D44" s="495" t="s">
        <v>981</v>
      </c>
      <c r="E44" s="89"/>
      <c r="F44" s="100" t="s">
        <v>347</v>
      </c>
      <c r="G44" s="4">
        <v>625</v>
      </c>
      <c r="H44" s="496">
        <v>500</v>
      </c>
      <c r="I44" s="4">
        <v>125</v>
      </c>
      <c r="J44" s="237"/>
    </row>
    <row r="45" spans="1:10" ht="15">
      <c r="A45" s="100">
        <v>37</v>
      </c>
      <c r="B45" s="494" t="s">
        <v>531</v>
      </c>
      <c r="C45" s="89"/>
      <c r="D45" s="495" t="s">
        <v>532</v>
      </c>
      <c r="E45" s="89"/>
      <c r="F45" s="100" t="s">
        <v>347</v>
      </c>
      <c r="G45" s="4">
        <v>2500</v>
      </c>
      <c r="H45" s="496">
        <v>2000</v>
      </c>
      <c r="I45" s="4">
        <v>500</v>
      </c>
      <c r="J45" s="237"/>
    </row>
    <row r="46" spans="1:10" ht="15">
      <c r="A46" s="100">
        <v>38</v>
      </c>
      <c r="B46" s="494" t="s">
        <v>534</v>
      </c>
      <c r="C46" s="89"/>
      <c r="D46" s="495" t="s">
        <v>535</v>
      </c>
      <c r="E46" s="89"/>
      <c r="F46" s="100" t="s">
        <v>347</v>
      </c>
      <c r="G46" s="4">
        <v>3750</v>
      </c>
      <c r="H46" s="496">
        <v>3000</v>
      </c>
      <c r="I46" s="4">
        <v>750</v>
      </c>
      <c r="J46" s="237"/>
    </row>
    <row r="47" spans="1:10" ht="15">
      <c r="A47" s="100">
        <v>39</v>
      </c>
      <c r="B47" s="494" t="s">
        <v>541</v>
      </c>
      <c r="C47" s="411"/>
      <c r="D47" s="495" t="s">
        <v>542</v>
      </c>
      <c r="E47" s="411"/>
      <c r="F47" s="100" t="s">
        <v>347</v>
      </c>
      <c r="G47" s="418">
        <v>2500</v>
      </c>
      <c r="H47" s="496">
        <v>2000</v>
      </c>
      <c r="I47" s="4">
        <v>500</v>
      </c>
      <c r="J47" s="237"/>
    </row>
    <row r="48" spans="1:10" ht="15">
      <c r="A48" s="100">
        <v>40</v>
      </c>
      <c r="B48" s="494" t="s">
        <v>912</v>
      </c>
      <c r="C48" s="411"/>
      <c r="D48" s="495" t="s">
        <v>913</v>
      </c>
      <c r="E48" s="411"/>
      <c r="F48" s="100" t="s">
        <v>347</v>
      </c>
      <c r="G48" s="418">
        <v>3750</v>
      </c>
      <c r="H48" s="496">
        <v>3000</v>
      </c>
      <c r="I48" s="4">
        <v>750</v>
      </c>
      <c r="J48" s="237"/>
    </row>
    <row r="49" spans="1:10" ht="15">
      <c r="A49" s="100">
        <v>41</v>
      </c>
      <c r="B49" s="494" t="s">
        <v>882</v>
      </c>
      <c r="C49" s="89"/>
      <c r="D49" s="495" t="s">
        <v>883</v>
      </c>
      <c r="E49" s="89"/>
      <c r="F49" s="100"/>
      <c r="G49" s="4">
        <v>2500</v>
      </c>
      <c r="H49" s="496">
        <v>2000</v>
      </c>
      <c r="I49" s="4">
        <v>500</v>
      </c>
      <c r="J49" s="237"/>
    </row>
    <row r="50" spans="1:10" ht="15">
      <c r="A50" s="100">
        <v>42</v>
      </c>
      <c r="B50" s="494" t="s">
        <v>971</v>
      </c>
      <c r="C50" s="89"/>
      <c r="D50" s="495" t="s">
        <v>972</v>
      </c>
      <c r="E50" s="89"/>
      <c r="F50" s="100" t="s">
        <v>347</v>
      </c>
      <c r="G50" s="4">
        <v>2093.75</v>
      </c>
      <c r="H50" s="497">
        <v>1675</v>
      </c>
      <c r="I50" s="4">
        <v>418.75</v>
      </c>
      <c r="J50" s="237"/>
    </row>
    <row r="51" spans="1:10" ht="15">
      <c r="A51" s="89" t="s">
        <v>275</v>
      </c>
      <c r="B51" s="89"/>
      <c r="C51" s="89"/>
      <c r="D51" s="89"/>
      <c r="E51" s="89"/>
      <c r="F51" s="100"/>
      <c r="G51" s="4"/>
      <c r="H51" s="4"/>
      <c r="I51" s="4"/>
    </row>
    <row r="52" spans="1:10" ht="15">
      <c r="A52" s="89"/>
      <c r="B52" s="101"/>
      <c r="C52" s="101"/>
      <c r="D52" s="101"/>
      <c r="E52" s="101"/>
      <c r="F52" s="89" t="s">
        <v>455</v>
      </c>
      <c r="G52" s="88">
        <f>SUM(G9:G51)</f>
        <v>99766.25</v>
      </c>
      <c r="H52" s="88">
        <f>SUM(H10:H51)</f>
        <v>77813</v>
      </c>
      <c r="I52" s="88">
        <f>SUM(I10:I51)</f>
        <v>19453.25</v>
      </c>
    </row>
    <row r="53" spans="1:10" ht="15">
      <c r="A53" s="235"/>
      <c r="B53" s="235"/>
      <c r="C53" s="235"/>
      <c r="D53" s="235"/>
      <c r="E53" s="235"/>
      <c r="F53" s="235"/>
      <c r="G53" s="235"/>
      <c r="H53" s="190"/>
      <c r="I53" s="190"/>
    </row>
    <row r="54" spans="1:10" ht="15">
      <c r="A54" s="236" t="s">
        <v>476</v>
      </c>
      <c r="B54" s="236"/>
      <c r="C54" s="235"/>
      <c r="D54" s="235"/>
      <c r="E54" s="235"/>
      <c r="F54" s="235"/>
      <c r="G54" s="235"/>
      <c r="H54" s="190"/>
      <c r="I54" s="190"/>
    </row>
    <row r="55" spans="1:10" ht="15">
      <c r="A55" s="236"/>
      <c r="B55" s="236"/>
      <c r="C55" s="235"/>
      <c r="D55" s="235"/>
      <c r="E55" s="235"/>
      <c r="F55" s="235"/>
      <c r="G55" s="235"/>
      <c r="H55" s="190"/>
      <c r="I55" s="190"/>
    </row>
    <row r="56" spans="1:10" ht="15">
      <c r="A56" s="236"/>
      <c r="B56" s="236"/>
      <c r="C56" s="190"/>
      <c r="D56" s="190"/>
      <c r="E56" s="190"/>
      <c r="F56" s="190"/>
      <c r="G56" s="190"/>
      <c r="H56" s="190"/>
      <c r="I56" s="190"/>
    </row>
    <row r="57" spans="1:10" ht="15">
      <c r="A57" s="236"/>
      <c r="B57" s="236"/>
      <c r="C57" s="190"/>
      <c r="D57" s="190"/>
      <c r="E57" s="190"/>
      <c r="F57" s="190"/>
      <c r="G57" s="190"/>
      <c r="H57" s="190"/>
      <c r="I57" s="190"/>
    </row>
    <row r="58" spans="1:10">
      <c r="A58" s="233"/>
      <c r="B58" s="233"/>
      <c r="C58" s="233"/>
      <c r="D58" s="233"/>
      <c r="E58" s="233"/>
      <c r="F58" s="233"/>
      <c r="G58" s="233"/>
      <c r="H58" s="233"/>
      <c r="I58" s="233"/>
    </row>
    <row r="59" spans="1:10" ht="15">
      <c r="A59" s="196" t="s">
        <v>106</v>
      </c>
      <c r="B59" s="196"/>
      <c r="C59" s="190"/>
      <c r="D59" s="190"/>
      <c r="E59" s="190"/>
      <c r="F59" s="190"/>
      <c r="G59" s="190"/>
      <c r="H59" s="190"/>
      <c r="I59" s="190"/>
    </row>
    <row r="60" spans="1:10" ht="15">
      <c r="A60" s="190"/>
      <c r="B60" s="190"/>
      <c r="C60" s="190"/>
      <c r="D60" s="190"/>
      <c r="E60" s="190"/>
      <c r="F60" s="190"/>
      <c r="G60" s="190"/>
      <c r="H60" s="190"/>
      <c r="I60" s="190"/>
    </row>
    <row r="61" spans="1:10" ht="15">
      <c r="A61" s="190"/>
      <c r="B61" s="190"/>
      <c r="C61" s="190"/>
      <c r="D61" s="190"/>
      <c r="E61" s="194"/>
      <c r="F61" s="194"/>
      <c r="G61" s="194"/>
      <c r="H61" s="190"/>
      <c r="I61" s="190"/>
    </row>
    <row r="62" spans="1:10" ht="15">
      <c r="A62" s="196"/>
      <c r="B62" s="196"/>
      <c r="C62" s="196" t="s">
        <v>394</v>
      </c>
      <c r="D62" s="196"/>
      <c r="E62" s="196"/>
      <c r="F62" s="196"/>
      <c r="G62" s="196"/>
      <c r="H62" s="190"/>
      <c r="I62" s="190"/>
    </row>
    <row r="63" spans="1:10" ht="15">
      <c r="A63" s="190"/>
      <c r="B63" s="190"/>
      <c r="C63" s="190" t="s">
        <v>393</v>
      </c>
      <c r="D63" s="190"/>
      <c r="E63" s="190"/>
      <c r="F63" s="190"/>
      <c r="G63" s="190"/>
      <c r="H63" s="190"/>
      <c r="I63" s="190"/>
    </row>
    <row r="64" spans="1:10">
      <c r="A64" s="198"/>
      <c r="B64" s="198"/>
      <c r="C64" s="198" t="s">
        <v>138</v>
      </c>
      <c r="D64" s="198"/>
      <c r="E64" s="198"/>
      <c r="F64" s="198"/>
      <c r="G6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B9" sqref="B9:I19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18" t="s">
        <v>108</v>
      </c>
      <c r="H1" s="518"/>
      <c r="I1" s="375"/>
    </row>
    <row r="2" spans="1:9" ht="15">
      <c r="A2" s="78" t="s">
        <v>139</v>
      </c>
      <c r="B2" s="79"/>
      <c r="C2" s="79"/>
      <c r="D2" s="79"/>
      <c r="E2" s="79"/>
      <c r="F2" s="79"/>
      <c r="G2" s="516" t="s">
        <v>515</v>
      </c>
      <c r="H2" s="516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75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75"/>
    </row>
    <row r="8" spans="1:9" ht="45">
      <c r="A8" s="371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2"/>
      <c r="B9" s="100" t="s">
        <v>646</v>
      </c>
      <c r="C9" s="100" t="s">
        <v>950</v>
      </c>
      <c r="D9" s="475" t="s">
        <v>539</v>
      </c>
      <c r="E9" s="100"/>
      <c r="F9" s="100" t="s">
        <v>952</v>
      </c>
      <c r="G9" s="15">
        <v>6</v>
      </c>
      <c r="H9" s="476">
        <v>10549.21</v>
      </c>
      <c r="I9" s="476">
        <v>21329</v>
      </c>
    </row>
    <row r="10" spans="1:9" ht="15">
      <c r="A10" s="372"/>
      <c r="B10" s="100" t="s">
        <v>953</v>
      </c>
      <c r="C10" s="100" t="s">
        <v>954</v>
      </c>
      <c r="D10" s="475" t="s">
        <v>955</v>
      </c>
      <c r="E10" s="100"/>
      <c r="F10" s="100" t="s">
        <v>952</v>
      </c>
      <c r="G10" s="15">
        <v>6</v>
      </c>
      <c r="H10" s="476">
        <v>10549.21</v>
      </c>
      <c r="I10" s="476">
        <v>10549</v>
      </c>
    </row>
    <row r="11" spans="1:9" ht="15">
      <c r="A11" s="372"/>
      <c r="B11" s="100" t="s">
        <v>646</v>
      </c>
      <c r="C11" s="100" t="s">
        <v>950</v>
      </c>
      <c r="D11" s="475" t="s">
        <v>539</v>
      </c>
      <c r="E11" s="100"/>
      <c r="F11" s="100" t="s">
        <v>952</v>
      </c>
      <c r="G11" s="15"/>
      <c r="H11" s="476">
        <v>675</v>
      </c>
      <c r="I11" s="476"/>
    </row>
    <row r="12" spans="1:9" ht="15">
      <c r="A12" s="372"/>
      <c r="B12" s="100" t="s">
        <v>953</v>
      </c>
      <c r="C12" s="100" t="s">
        <v>954</v>
      </c>
      <c r="D12" s="475" t="s">
        <v>955</v>
      </c>
      <c r="E12" s="100"/>
      <c r="F12" s="100" t="s">
        <v>952</v>
      </c>
      <c r="G12" s="15"/>
      <c r="H12" s="476">
        <v>675</v>
      </c>
      <c r="I12" s="476"/>
    </row>
    <row r="13" spans="1:9" ht="15">
      <c r="A13" s="372"/>
      <c r="B13" s="89" t="s">
        <v>747</v>
      </c>
      <c r="C13" s="89" t="s">
        <v>982</v>
      </c>
      <c r="D13" s="477" t="s">
        <v>891</v>
      </c>
      <c r="E13" s="89"/>
      <c r="F13" s="100" t="s">
        <v>952</v>
      </c>
      <c r="G13" s="14">
        <v>5</v>
      </c>
      <c r="H13" s="427">
        <f>815+587</f>
        <v>1402</v>
      </c>
      <c r="I13" s="4">
        <f>815+2500</f>
        <v>3315</v>
      </c>
    </row>
    <row r="14" spans="1:9" ht="15">
      <c r="A14" s="372"/>
      <c r="B14" s="89" t="s">
        <v>817</v>
      </c>
      <c r="C14" s="89" t="s">
        <v>965</v>
      </c>
      <c r="D14" s="477" t="s">
        <v>919</v>
      </c>
      <c r="E14" s="89"/>
      <c r="F14" s="89" t="s">
        <v>966</v>
      </c>
      <c r="G14" s="14">
        <v>2</v>
      </c>
      <c r="H14" s="427">
        <v>200</v>
      </c>
      <c r="I14" s="4">
        <v>200</v>
      </c>
    </row>
    <row r="15" spans="1:9" ht="15">
      <c r="A15" s="372"/>
      <c r="B15" s="89" t="s">
        <v>983</v>
      </c>
      <c r="C15" s="89" t="s">
        <v>984</v>
      </c>
      <c r="D15" s="89">
        <v>1011025572</v>
      </c>
      <c r="E15" s="89"/>
      <c r="F15" s="89" t="s">
        <v>958</v>
      </c>
      <c r="G15" s="89">
        <v>2</v>
      </c>
      <c r="H15" s="427">
        <v>240</v>
      </c>
      <c r="I15" s="4">
        <v>240</v>
      </c>
    </row>
    <row r="16" spans="1:9" ht="15">
      <c r="A16" s="372"/>
      <c r="B16" s="89" t="s">
        <v>817</v>
      </c>
      <c r="C16" s="89" t="s">
        <v>965</v>
      </c>
      <c r="D16" s="477" t="s">
        <v>919</v>
      </c>
      <c r="E16" s="89"/>
      <c r="F16" s="89" t="s">
        <v>958</v>
      </c>
      <c r="G16" s="89">
        <v>2</v>
      </c>
      <c r="H16" s="427">
        <v>240</v>
      </c>
      <c r="I16" s="4">
        <v>240</v>
      </c>
    </row>
    <row r="17" spans="1:9" ht="15">
      <c r="A17" s="372"/>
      <c r="B17" s="100" t="s">
        <v>646</v>
      </c>
      <c r="C17" s="100" t="s">
        <v>950</v>
      </c>
      <c r="D17" s="475" t="s">
        <v>539</v>
      </c>
      <c r="E17" s="100"/>
      <c r="F17" s="100" t="s">
        <v>952</v>
      </c>
      <c r="G17" s="15">
        <v>4</v>
      </c>
      <c r="H17" s="476">
        <v>7599.79</v>
      </c>
      <c r="I17" s="4">
        <v>5770</v>
      </c>
    </row>
    <row r="18" spans="1:9" ht="15">
      <c r="A18" s="372"/>
      <c r="B18" s="100" t="s">
        <v>953</v>
      </c>
      <c r="C18" s="100" t="s">
        <v>954</v>
      </c>
      <c r="D18" s="475" t="s">
        <v>955</v>
      </c>
      <c r="E18" s="100"/>
      <c r="F18" s="100" t="s">
        <v>952</v>
      </c>
      <c r="G18" s="15">
        <v>4</v>
      </c>
      <c r="H18" s="476">
        <v>7599.79</v>
      </c>
      <c r="I18" s="4"/>
    </row>
    <row r="19" spans="1:9" ht="15">
      <c r="A19" s="372"/>
      <c r="B19" s="89" t="s">
        <v>747</v>
      </c>
      <c r="C19" s="89" t="s">
        <v>982</v>
      </c>
      <c r="D19" s="477" t="s">
        <v>891</v>
      </c>
      <c r="E19" s="89"/>
      <c r="F19" s="100" t="s">
        <v>952</v>
      </c>
      <c r="G19" s="14">
        <v>5</v>
      </c>
      <c r="H19" s="427">
        <v>1913.25</v>
      </c>
      <c r="I19" s="4"/>
    </row>
    <row r="20" spans="1:9" ht="15">
      <c r="A20" s="372"/>
      <c r="B20" s="373"/>
      <c r="C20" s="89"/>
      <c r="D20" s="89"/>
      <c r="E20" s="89"/>
      <c r="F20" s="89"/>
      <c r="G20" s="89"/>
      <c r="H20" s="4"/>
      <c r="I20" s="4"/>
    </row>
    <row r="21" spans="1:9" ht="15">
      <c r="A21" s="372"/>
      <c r="B21" s="373"/>
      <c r="C21" s="89"/>
      <c r="D21" s="89"/>
      <c r="E21" s="89"/>
      <c r="F21" s="89"/>
      <c r="G21" s="89"/>
      <c r="H21" s="4"/>
      <c r="I21" s="4"/>
    </row>
    <row r="22" spans="1:9" ht="15">
      <c r="A22" s="372"/>
      <c r="B22" s="373"/>
      <c r="C22" s="89"/>
      <c r="D22" s="89"/>
      <c r="E22" s="89"/>
      <c r="F22" s="89"/>
      <c r="G22" s="89"/>
      <c r="H22" s="4"/>
      <c r="I22" s="4"/>
    </row>
    <row r="23" spans="1:9" ht="15">
      <c r="A23" s="372"/>
      <c r="B23" s="373"/>
      <c r="C23" s="89"/>
      <c r="D23" s="89"/>
      <c r="E23" s="89"/>
      <c r="F23" s="89"/>
      <c r="G23" s="89"/>
      <c r="H23" s="4"/>
      <c r="I23" s="4"/>
    </row>
    <row r="24" spans="1:9" ht="15">
      <c r="A24" s="372"/>
      <c r="B24" s="373"/>
      <c r="C24" s="89"/>
      <c r="D24" s="89"/>
      <c r="E24" s="89"/>
      <c r="F24" s="89"/>
      <c r="G24" s="89"/>
      <c r="H24" s="4"/>
      <c r="I24" s="4"/>
    </row>
    <row r="25" spans="1:9" ht="15">
      <c r="A25" s="372"/>
      <c r="B25" s="373"/>
      <c r="C25" s="89"/>
      <c r="D25" s="89"/>
      <c r="E25" s="89"/>
      <c r="F25" s="89"/>
      <c r="G25" s="89"/>
      <c r="H25" s="4"/>
      <c r="I25" s="4"/>
    </row>
    <row r="26" spans="1:9" ht="15">
      <c r="A26" s="372"/>
      <c r="B26" s="373"/>
      <c r="C26" s="89"/>
      <c r="D26" s="89"/>
      <c r="E26" s="89"/>
      <c r="F26" s="89"/>
      <c r="G26" s="89"/>
      <c r="H26" s="4"/>
      <c r="I26" s="4"/>
    </row>
    <row r="27" spans="1:9" ht="15">
      <c r="A27" s="372"/>
      <c r="B27" s="373"/>
      <c r="C27" s="89"/>
      <c r="D27" s="89"/>
      <c r="E27" s="89"/>
      <c r="F27" s="89"/>
      <c r="G27" s="89"/>
      <c r="H27" s="4"/>
      <c r="I27" s="4"/>
    </row>
    <row r="28" spans="1:9" ht="15">
      <c r="A28" s="372"/>
      <c r="B28" s="373"/>
      <c r="C28" s="89"/>
      <c r="D28" s="89"/>
      <c r="E28" s="89"/>
      <c r="F28" s="89"/>
      <c r="G28" s="89"/>
      <c r="H28" s="4"/>
      <c r="I28" s="4"/>
    </row>
    <row r="29" spans="1:9" ht="15">
      <c r="A29" s="372"/>
      <c r="B29" s="373"/>
      <c r="C29" s="89"/>
      <c r="D29" s="89"/>
      <c r="E29" s="89"/>
      <c r="F29" s="89"/>
      <c r="G29" s="89"/>
      <c r="H29" s="4"/>
      <c r="I29" s="4"/>
    </row>
    <row r="30" spans="1:9" ht="15">
      <c r="A30" s="372"/>
      <c r="B30" s="373"/>
      <c r="C30" s="89"/>
      <c r="D30" s="89"/>
      <c r="E30" s="89"/>
      <c r="F30" s="89"/>
      <c r="G30" s="89"/>
      <c r="H30" s="4"/>
      <c r="I30" s="4"/>
    </row>
    <row r="31" spans="1:9" ht="15">
      <c r="A31" s="372"/>
      <c r="B31" s="373"/>
      <c r="C31" s="89"/>
      <c r="D31" s="89"/>
      <c r="E31" s="89"/>
      <c r="F31" s="89"/>
      <c r="G31" s="89"/>
      <c r="H31" s="4"/>
      <c r="I31" s="4"/>
    </row>
    <row r="32" spans="1:9" ht="15">
      <c r="A32" s="372"/>
      <c r="B32" s="373"/>
      <c r="C32" s="89"/>
      <c r="D32" s="89"/>
      <c r="E32" s="89"/>
      <c r="F32" s="89"/>
      <c r="G32" s="89"/>
      <c r="H32" s="4"/>
      <c r="I32" s="4"/>
    </row>
    <row r="33" spans="1:9" ht="15">
      <c r="A33" s="372"/>
      <c r="B33" s="373"/>
      <c r="C33" s="89"/>
      <c r="D33" s="89"/>
      <c r="E33" s="89"/>
      <c r="F33" s="89"/>
      <c r="G33" s="89"/>
      <c r="H33" s="4"/>
      <c r="I33" s="4"/>
    </row>
    <row r="34" spans="1:9" ht="15">
      <c r="A34" s="372"/>
      <c r="B34" s="374"/>
      <c r="C34" s="101"/>
      <c r="D34" s="101"/>
      <c r="E34" s="101"/>
      <c r="F34" s="101"/>
      <c r="G34" s="101" t="s">
        <v>338</v>
      </c>
      <c r="H34" s="88">
        <f>SUM(H9:H33)</f>
        <v>41643.25</v>
      </c>
      <c r="I34" s="88">
        <f>SUM(I9:I33)</f>
        <v>41643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2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2"/>
      <c r="B37" s="44"/>
      <c r="C37" s="44"/>
      <c r="D37" s="44"/>
      <c r="E37" s="44"/>
      <c r="F37" s="44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18" t="s">
        <v>108</v>
      </c>
      <c r="H1" s="518"/>
    </row>
    <row r="2" spans="1:10" ht="15">
      <c r="A2" s="78" t="s">
        <v>139</v>
      </c>
      <c r="B2" s="76"/>
      <c r="C2" s="79"/>
      <c r="D2" s="79"/>
      <c r="E2" s="79"/>
      <c r="F2" s="79"/>
      <c r="G2" s="516" t="s">
        <v>515</v>
      </c>
      <c r="H2" s="516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7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7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0"/>
      <c r="I35" s="190"/>
    </row>
    <row r="36" spans="1:9" ht="15">
      <c r="A36" s="236" t="s">
        <v>480</v>
      </c>
      <c r="B36" s="236"/>
      <c r="C36" s="235"/>
      <c r="D36" s="235"/>
      <c r="E36" s="235"/>
      <c r="F36" s="235"/>
      <c r="G36" s="235"/>
      <c r="H36" s="190"/>
      <c r="I36" s="190"/>
    </row>
    <row r="37" spans="1:9" ht="15">
      <c r="A37" s="236"/>
      <c r="B37" s="236"/>
      <c r="C37" s="235"/>
      <c r="D37" s="235"/>
      <c r="E37" s="235"/>
      <c r="F37" s="235"/>
      <c r="G37" s="235"/>
      <c r="H37" s="190"/>
      <c r="I37" s="190"/>
    </row>
    <row r="38" spans="1:9" ht="15">
      <c r="A38" s="236"/>
      <c r="B38" s="236"/>
      <c r="C38" s="190"/>
      <c r="D38" s="190"/>
      <c r="E38" s="190"/>
      <c r="F38" s="190"/>
      <c r="G38" s="190"/>
      <c r="H38" s="190"/>
      <c r="I38" s="190"/>
    </row>
    <row r="39" spans="1:9" ht="15">
      <c r="A39" s="236"/>
      <c r="B39" s="236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5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55"/>
  <sheetViews>
    <sheetView view="pageBreakPreview" topLeftCell="A40" zoomScale="80" zoomScaleSheetLayoutView="80" workbookViewId="0">
      <selection activeCell="N26" sqref="N26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3" t="s">
        <v>481</v>
      </c>
      <c r="B2" s="523"/>
      <c r="C2" s="523"/>
      <c r="D2" s="523"/>
      <c r="E2" s="398"/>
      <c r="F2" s="79"/>
      <c r="G2" s="79"/>
      <c r="H2" s="79"/>
      <c r="I2" s="79"/>
      <c r="J2" s="400"/>
      <c r="K2" s="401"/>
      <c r="L2" s="401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400"/>
      <c r="K3" s="516" t="s">
        <v>515</v>
      </c>
      <c r="L3" s="51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400"/>
      <c r="K4" s="400"/>
      <c r="L4" s="400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'[1]ფორმა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6"/>
      <c r="B8" s="396"/>
      <c r="C8" s="396"/>
      <c r="D8" s="396"/>
      <c r="E8" s="396"/>
      <c r="F8" s="396"/>
      <c r="G8" s="396"/>
      <c r="H8" s="396"/>
      <c r="I8" s="396"/>
      <c r="J8" s="80"/>
      <c r="K8" s="80"/>
      <c r="L8" s="80"/>
    </row>
    <row r="9" spans="1:12" ht="45">
      <c r="A9" s="92" t="s">
        <v>63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30">
      <c r="A10" s="92">
        <v>1</v>
      </c>
      <c r="B10" s="364" t="s">
        <v>985</v>
      </c>
      <c r="C10" s="100" t="s">
        <v>986</v>
      </c>
      <c r="D10" s="100">
        <v>205186065</v>
      </c>
      <c r="E10" s="100"/>
      <c r="F10" s="100" t="s">
        <v>987</v>
      </c>
      <c r="G10" s="100"/>
      <c r="H10" s="100"/>
      <c r="I10" s="100"/>
      <c r="J10" s="498">
        <v>0.2</v>
      </c>
      <c r="K10" s="4">
        <v>2000</v>
      </c>
      <c r="L10" s="100"/>
    </row>
    <row r="11" spans="1:12" ht="45">
      <c r="A11" s="92"/>
      <c r="B11" s="364" t="s">
        <v>988</v>
      </c>
      <c r="C11" s="100" t="s">
        <v>879</v>
      </c>
      <c r="D11" s="100">
        <v>202159788</v>
      </c>
      <c r="E11" s="100"/>
      <c r="F11" s="100" t="s">
        <v>989</v>
      </c>
      <c r="G11" s="100"/>
      <c r="H11" s="100"/>
      <c r="I11" s="100"/>
      <c r="J11" s="499">
        <v>3.5000000000000003E-2</v>
      </c>
      <c r="K11" s="4">
        <v>350</v>
      </c>
      <c r="L11" s="100"/>
    </row>
    <row r="12" spans="1:12" ht="30">
      <c r="A12" s="92"/>
      <c r="B12" s="364" t="s">
        <v>990</v>
      </c>
      <c r="C12" s="100" t="s">
        <v>991</v>
      </c>
      <c r="D12" s="100">
        <v>437059415</v>
      </c>
      <c r="E12" s="100"/>
      <c r="F12" s="100"/>
      <c r="G12" s="100" t="s">
        <v>992</v>
      </c>
      <c r="H12" s="100" t="s">
        <v>538</v>
      </c>
      <c r="I12" s="100"/>
      <c r="J12" s="4"/>
      <c r="K12" s="4"/>
      <c r="L12" s="100" t="s">
        <v>993</v>
      </c>
    </row>
    <row r="13" spans="1:12" ht="30">
      <c r="A13" s="100">
        <v>1</v>
      </c>
      <c r="B13" s="364" t="s">
        <v>988</v>
      </c>
      <c r="C13" s="100" t="s">
        <v>879</v>
      </c>
      <c r="D13" s="100">
        <v>202159788</v>
      </c>
      <c r="E13" s="100"/>
      <c r="F13" s="89" t="s">
        <v>994</v>
      </c>
      <c r="G13" s="100"/>
      <c r="H13" s="100"/>
      <c r="I13" s="100"/>
      <c r="J13" s="499">
        <v>1.5</v>
      </c>
      <c r="K13" s="4">
        <v>1125</v>
      </c>
      <c r="L13" s="89"/>
    </row>
    <row r="14" spans="1:12" ht="30">
      <c r="A14" s="100">
        <v>4</v>
      </c>
      <c r="B14" s="364" t="s">
        <v>360</v>
      </c>
      <c r="C14" s="100" t="s">
        <v>879</v>
      </c>
      <c r="D14" s="100">
        <v>202159788</v>
      </c>
      <c r="E14" s="89"/>
      <c r="F14" s="89" t="s">
        <v>995</v>
      </c>
      <c r="G14" s="89"/>
      <c r="H14" s="89"/>
      <c r="I14" s="89"/>
      <c r="J14" s="500">
        <v>9.1999999999999998E-3</v>
      </c>
      <c r="K14" s="4">
        <v>2300</v>
      </c>
      <c r="L14" s="89"/>
    </row>
    <row r="15" spans="1:12" ht="15">
      <c r="A15" s="100">
        <v>5</v>
      </c>
      <c r="B15" s="364" t="s">
        <v>360</v>
      </c>
      <c r="C15" s="100" t="s">
        <v>879</v>
      </c>
      <c r="D15" s="100">
        <v>202159788</v>
      </c>
      <c r="E15" s="89"/>
      <c r="F15" s="89" t="s">
        <v>996</v>
      </c>
      <c r="G15" s="89"/>
      <c r="H15" s="89"/>
      <c r="I15" s="89" t="s">
        <v>997</v>
      </c>
      <c r="J15" s="500">
        <v>10.9998</v>
      </c>
      <c r="K15" s="4">
        <v>2207</v>
      </c>
      <c r="L15" s="89"/>
    </row>
    <row r="16" spans="1:12" ht="45">
      <c r="A16" s="100">
        <v>6</v>
      </c>
      <c r="B16" s="364" t="s">
        <v>360</v>
      </c>
      <c r="C16" s="100" t="s">
        <v>879</v>
      </c>
      <c r="D16" s="100">
        <v>202159788</v>
      </c>
      <c r="E16" s="89"/>
      <c r="F16" s="89" t="s">
        <v>998</v>
      </c>
      <c r="G16" s="89"/>
      <c r="H16" s="89"/>
      <c r="I16" s="89" t="s">
        <v>999</v>
      </c>
      <c r="J16" s="500">
        <v>30.106999999999999</v>
      </c>
      <c r="K16" s="4">
        <v>168</v>
      </c>
      <c r="L16" s="89"/>
    </row>
    <row r="17" spans="1:12" ht="30">
      <c r="A17" s="100">
        <v>7</v>
      </c>
      <c r="B17" s="364" t="s">
        <v>360</v>
      </c>
      <c r="C17" s="100" t="s">
        <v>879</v>
      </c>
      <c r="D17" s="100">
        <v>202159788</v>
      </c>
      <c r="E17" s="89"/>
      <c r="F17" s="89" t="s">
        <v>1000</v>
      </c>
      <c r="G17" s="89"/>
      <c r="H17" s="89"/>
      <c r="I17" s="89"/>
      <c r="J17" s="500">
        <v>0.02</v>
      </c>
      <c r="K17" s="4">
        <v>2000</v>
      </c>
      <c r="L17" s="89"/>
    </row>
    <row r="18" spans="1:12" ht="30">
      <c r="A18" s="100">
        <v>8</v>
      </c>
      <c r="B18" s="364" t="s">
        <v>360</v>
      </c>
      <c r="C18" s="100" t="s">
        <v>879</v>
      </c>
      <c r="D18" s="100">
        <v>202159788</v>
      </c>
      <c r="E18" s="89"/>
      <c r="F18" s="89" t="s">
        <v>1001</v>
      </c>
      <c r="G18" s="89"/>
      <c r="H18" s="89"/>
      <c r="I18" s="89"/>
      <c r="J18" s="500">
        <v>4.8000000000000001E-2</v>
      </c>
      <c r="K18" s="4">
        <v>480</v>
      </c>
      <c r="L18" s="89"/>
    </row>
    <row r="19" spans="1:12" ht="30">
      <c r="A19" s="100">
        <v>9</v>
      </c>
      <c r="B19" s="364" t="s">
        <v>360</v>
      </c>
      <c r="C19" s="100" t="s">
        <v>879</v>
      </c>
      <c r="D19" s="100">
        <v>202159788</v>
      </c>
      <c r="E19" s="89"/>
      <c r="F19" s="89" t="s">
        <v>1002</v>
      </c>
      <c r="G19" s="89"/>
      <c r="H19" s="89"/>
      <c r="I19" s="89"/>
      <c r="J19" s="500">
        <v>4.8000000000000001E-2</v>
      </c>
      <c r="K19" s="4">
        <v>2160</v>
      </c>
      <c r="L19" s="89"/>
    </row>
    <row r="20" spans="1:12" ht="30">
      <c r="A20" s="100">
        <v>10</v>
      </c>
      <c r="B20" s="364" t="s">
        <v>360</v>
      </c>
      <c r="C20" s="100" t="s">
        <v>879</v>
      </c>
      <c r="D20" s="100">
        <v>202159788</v>
      </c>
      <c r="E20" s="89"/>
      <c r="F20" s="89" t="s">
        <v>1003</v>
      </c>
      <c r="G20" s="89"/>
      <c r="H20" s="89"/>
      <c r="I20" s="89"/>
      <c r="J20" s="500">
        <v>4.8000000000000001E-2</v>
      </c>
      <c r="K20" s="4">
        <v>2256</v>
      </c>
      <c r="L20" s="89"/>
    </row>
    <row r="21" spans="1:12" ht="30">
      <c r="A21" s="100">
        <v>11</v>
      </c>
      <c r="B21" s="364" t="s">
        <v>360</v>
      </c>
      <c r="C21" s="100" t="s">
        <v>879</v>
      </c>
      <c r="D21" s="100">
        <v>202159788</v>
      </c>
      <c r="E21" s="89"/>
      <c r="F21" s="89" t="s">
        <v>1004</v>
      </c>
      <c r="G21" s="89"/>
      <c r="H21" s="89"/>
      <c r="I21" s="89"/>
      <c r="J21" s="500">
        <v>0.1125</v>
      </c>
      <c r="K21" s="4">
        <v>450</v>
      </c>
      <c r="L21" s="89"/>
    </row>
    <row r="22" spans="1:12" ht="30">
      <c r="A22" s="100">
        <v>12</v>
      </c>
      <c r="B22" s="364" t="s">
        <v>360</v>
      </c>
      <c r="C22" s="100" t="s">
        <v>879</v>
      </c>
      <c r="D22" s="100">
        <v>202159788</v>
      </c>
      <c r="E22" s="89"/>
      <c r="F22" s="89" t="s">
        <v>1005</v>
      </c>
      <c r="G22" s="89"/>
      <c r="H22" s="89"/>
      <c r="I22" s="89"/>
      <c r="J22" s="500">
        <v>4.8000000000000001E-2</v>
      </c>
      <c r="K22" s="4">
        <v>2400</v>
      </c>
      <c r="L22" s="89"/>
    </row>
    <row r="23" spans="1:12" ht="30">
      <c r="A23" s="100">
        <v>13</v>
      </c>
      <c r="B23" s="364" t="s">
        <v>360</v>
      </c>
      <c r="C23" s="100" t="s">
        <v>879</v>
      </c>
      <c r="D23" s="100">
        <v>202159788</v>
      </c>
      <c r="E23" s="89"/>
      <c r="F23" s="89" t="s">
        <v>1006</v>
      </c>
      <c r="G23" s="89"/>
      <c r="H23" s="89"/>
      <c r="I23" s="89"/>
      <c r="J23" s="500">
        <v>0.08</v>
      </c>
      <c r="K23" s="4">
        <v>400</v>
      </c>
      <c r="L23" s="89"/>
    </row>
    <row r="24" spans="1:12" ht="15">
      <c r="A24" s="100">
        <v>14</v>
      </c>
      <c r="B24" s="364" t="s">
        <v>360</v>
      </c>
      <c r="C24" s="100" t="s">
        <v>879</v>
      </c>
      <c r="D24" s="100">
        <v>202159788</v>
      </c>
      <c r="E24" s="89"/>
      <c r="F24" s="89" t="s">
        <v>996</v>
      </c>
      <c r="G24" s="89"/>
      <c r="H24" s="89"/>
      <c r="I24" s="89" t="s">
        <v>1007</v>
      </c>
      <c r="J24" s="500">
        <v>11</v>
      </c>
      <c r="K24" s="4">
        <v>220</v>
      </c>
      <c r="L24" s="89"/>
    </row>
    <row r="25" spans="1:12" ht="30">
      <c r="A25" s="100">
        <v>15</v>
      </c>
      <c r="B25" s="364" t="s">
        <v>360</v>
      </c>
      <c r="C25" s="100" t="s">
        <v>879</v>
      </c>
      <c r="D25" s="100">
        <v>202159788</v>
      </c>
      <c r="E25" s="89"/>
      <c r="F25" s="89" t="s">
        <v>1008</v>
      </c>
      <c r="G25" s="89"/>
      <c r="H25" s="89"/>
      <c r="I25" s="89"/>
      <c r="J25" s="500">
        <v>4.8000000000000001E-2</v>
      </c>
      <c r="K25" s="4">
        <v>720</v>
      </c>
      <c r="L25" s="89"/>
    </row>
    <row r="26" spans="1:12" ht="30">
      <c r="A26" s="100">
        <v>16</v>
      </c>
      <c r="B26" s="364" t="s">
        <v>360</v>
      </c>
      <c r="C26" s="100" t="s">
        <v>879</v>
      </c>
      <c r="D26" s="100">
        <v>202159788</v>
      </c>
      <c r="E26" s="89"/>
      <c r="F26" s="89" t="s">
        <v>1009</v>
      </c>
      <c r="G26" s="89"/>
      <c r="H26" s="89"/>
      <c r="I26" s="89"/>
      <c r="J26" s="500">
        <v>4.8000000000000001E-2</v>
      </c>
      <c r="K26" s="4">
        <v>2064</v>
      </c>
      <c r="L26" s="89"/>
    </row>
    <row r="27" spans="1:12" ht="30">
      <c r="A27" s="100">
        <v>17</v>
      </c>
      <c r="B27" s="364" t="s">
        <v>360</v>
      </c>
      <c r="C27" s="100" t="s">
        <v>879</v>
      </c>
      <c r="D27" s="100">
        <v>202159788</v>
      </c>
      <c r="E27" s="89"/>
      <c r="F27" s="89" t="s">
        <v>1010</v>
      </c>
      <c r="G27" s="89"/>
      <c r="H27" s="89"/>
      <c r="I27" s="89"/>
      <c r="J27" s="500">
        <v>4.8000000000000001E-2</v>
      </c>
      <c r="K27" s="4">
        <v>1920</v>
      </c>
      <c r="L27" s="89"/>
    </row>
    <row r="28" spans="1:12" ht="30">
      <c r="A28" s="100">
        <v>18</v>
      </c>
      <c r="B28" s="364" t="s">
        <v>360</v>
      </c>
      <c r="C28" s="100" t="s">
        <v>879</v>
      </c>
      <c r="D28" s="100">
        <v>202159788</v>
      </c>
      <c r="E28" s="89"/>
      <c r="F28" s="89" t="s">
        <v>1011</v>
      </c>
      <c r="G28" s="89"/>
      <c r="H28" s="89"/>
      <c r="I28" s="89"/>
      <c r="J28" s="500">
        <v>7.8E-2</v>
      </c>
      <c r="K28" s="4">
        <v>780</v>
      </c>
      <c r="L28" s="89"/>
    </row>
    <row r="29" spans="1:12" ht="30">
      <c r="A29" s="100">
        <v>19</v>
      </c>
      <c r="B29" s="364" t="s">
        <v>360</v>
      </c>
      <c r="C29" s="100" t="s">
        <v>879</v>
      </c>
      <c r="D29" s="100">
        <v>202159788</v>
      </c>
      <c r="E29" s="89"/>
      <c r="F29" s="89" t="s">
        <v>1010</v>
      </c>
      <c r="G29" s="89"/>
      <c r="H29" s="89"/>
      <c r="I29" s="89"/>
      <c r="J29" s="500">
        <v>7.2499999999999995E-2</v>
      </c>
      <c r="K29" s="4">
        <v>2900</v>
      </c>
      <c r="L29" s="89"/>
    </row>
    <row r="30" spans="1:12" ht="15">
      <c r="A30" s="100">
        <v>20</v>
      </c>
      <c r="B30" s="364" t="s">
        <v>360</v>
      </c>
      <c r="C30" s="89" t="s">
        <v>1012</v>
      </c>
      <c r="D30" s="89">
        <v>205255917</v>
      </c>
      <c r="E30" s="89"/>
      <c r="F30" s="89" t="s">
        <v>1013</v>
      </c>
      <c r="G30" s="89"/>
      <c r="H30" s="89"/>
      <c r="I30" s="89" t="s">
        <v>1014</v>
      </c>
      <c r="J30" s="501">
        <v>38</v>
      </c>
      <c r="K30" s="501">
        <v>355.68</v>
      </c>
      <c r="L30" s="89"/>
    </row>
    <row r="31" spans="1:12" ht="15">
      <c r="A31" s="100">
        <v>21</v>
      </c>
      <c r="B31" s="364" t="s">
        <v>360</v>
      </c>
      <c r="C31" s="89" t="s">
        <v>1012</v>
      </c>
      <c r="D31" s="89">
        <v>205255917</v>
      </c>
      <c r="E31" s="89"/>
      <c r="F31" s="89" t="s">
        <v>1015</v>
      </c>
      <c r="G31" s="89"/>
      <c r="H31" s="89"/>
      <c r="I31" s="89" t="s">
        <v>1016</v>
      </c>
      <c r="J31" s="501">
        <v>35.93</v>
      </c>
      <c r="K31" s="501">
        <v>1879.14</v>
      </c>
      <c r="L31" s="89"/>
    </row>
    <row r="32" spans="1:12" ht="15">
      <c r="A32" s="100">
        <v>22</v>
      </c>
      <c r="B32" s="364" t="s">
        <v>360</v>
      </c>
      <c r="C32" s="89" t="s">
        <v>1012</v>
      </c>
      <c r="D32" s="89">
        <v>205255917</v>
      </c>
      <c r="E32" s="89"/>
      <c r="F32" s="89" t="s">
        <v>1013</v>
      </c>
      <c r="G32" s="89"/>
      <c r="H32" s="89"/>
      <c r="I32" s="89" t="s">
        <v>1017</v>
      </c>
      <c r="J32" s="501">
        <v>38</v>
      </c>
      <c r="K32" s="501">
        <v>711.36</v>
      </c>
      <c r="L32" s="89"/>
    </row>
    <row r="33" spans="1:12" ht="15">
      <c r="A33" s="100">
        <v>23</v>
      </c>
      <c r="B33" s="364" t="s">
        <v>360</v>
      </c>
      <c r="C33" s="89" t="s">
        <v>1012</v>
      </c>
      <c r="D33" s="89">
        <v>205255917</v>
      </c>
      <c r="E33" s="89"/>
      <c r="F33" s="89" t="s">
        <v>1015</v>
      </c>
      <c r="G33" s="89"/>
      <c r="H33" s="89"/>
      <c r="I33" s="89" t="s">
        <v>1018</v>
      </c>
      <c r="J33" s="501">
        <v>35.93</v>
      </c>
      <c r="K33" s="501">
        <v>3758.28</v>
      </c>
      <c r="L33" s="89"/>
    </row>
    <row r="34" spans="1:12" ht="15">
      <c r="A34" s="100">
        <v>24</v>
      </c>
      <c r="B34" s="364" t="s">
        <v>360</v>
      </c>
      <c r="C34" s="89" t="s">
        <v>1012</v>
      </c>
      <c r="D34" s="89">
        <v>205255917</v>
      </c>
      <c r="E34" s="89"/>
      <c r="F34" s="89" t="s">
        <v>1013</v>
      </c>
      <c r="G34" s="89"/>
      <c r="H34" s="89"/>
      <c r="I34" s="89" t="s">
        <v>1019</v>
      </c>
      <c r="J34" s="501">
        <v>38</v>
      </c>
      <c r="K34" s="501">
        <v>357.96</v>
      </c>
      <c r="L34" s="89"/>
    </row>
    <row r="35" spans="1:12" ht="15">
      <c r="A35" s="89" t="s">
        <v>275</v>
      </c>
      <c r="B35" s="364" t="s">
        <v>360</v>
      </c>
      <c r="C35" s="89" t="s">
        <v>1012</v>
      </c>
      <c r="D35" s="89">
        <v>205255917</v>
      </c>
      <c r="E35" s="89"/>
      <c r="F35" s="89" t="s">
        <v>1015</v>
      </c>
      <c r="G35" s="89"/>
      <c r="H35" s="89"/>
      <c r="I35" s="89" t="s">
        <v>1020</v>
      </c>
      <c r="J35" s="501">
        <v>35.93</v>
      </c>
      <c r="K35" s="501">
        <v>1871.95</v>
      </c>
      <c r="L35" s="89"/>
    </row>
    <row r="36" spans="1:12" ht="15">
      <c r="A36" s="92"/>
      <c r="B36" s="502"/>
      <c r="C36" s="100"/>
      <c r="D36" s="503"/>
      <c r="E36" s="100"/>
      <c r="F36" s="504"/>
      <c r="G36" s="505"/>
      <c r="H36" s="100"/>
      <c r="I36" s="505"/>
      <c r="J36" s="505"/>
      <c r="K36" s="504"/>
      <c r="L36" s="100"/>
    </row>
    <row r="37" spans="1:12" ht="15">
      <c r="A37" s="100"/>
      <c r="B37" s="364"/>
      <c r="C37" s="89"/>
      <c r="D37" s="89"/>
      <c r="E37" s="89"/>
      <c r="F37" s="89"/>
      <c r="G37" s="89"/>
      <c r="H37" s="89"/>
      <c r="I37" s="89"/>
      <c r="J37" s="4"/>
      <c r="K37" s="4"/>
      <c r="L37" s="89"/>
    </row>
    <row r="38" spans="1:12" ht="15">
      <c r="A38" s="100"/>
      <c r="B38" s="364"/>
      <c r="C38" s="89"/>
      <c r="D38" s="89"/>
      <c r="E38" s="89"/>
      <c r="F38" s="89"/>
      <c r="G38" s="89"/>
      <c r="H38" s="89"/>
      <c r="I38" s="89"/>
      <c r="J38" s="4"/>
      <c r="K38" s="4"/>
      <c r="L38" s="89"/>
    </row>
    <row r="39" spans="1:12" ht="15">
      <c r="A39" s="100"/>
      <c r="B39" s="364"/>
      <c r="C39" s="89"/>
      <c r="D39" s="89"/>
      <c r="E39" s="89"/>
      <c r="F39" s="89"/>
      <c r="G39" s="89"/>
      <c r="H39" s="89"/>
      <c r="I39" s="89"/>
      <c r="J39" s="4"/>
      <c r="K39" s="4"/>
      <c r="L39" s="89"/>
    </row>
    <row r="40" spans="1:12" ht="15">
      <c r="A40" s="100"/>
      <c r="B40" s="364"/>
      <c r="C40" s="89"/>
      <c r="D40" s="89"/>
      <c r="E40" s="89"/>
      <c r="F40" s="89"/>
      <c r="G40" s="89"/>
      <c r="H40" s="89"/>
      <c r="I40" s="89"/>
      <c r="J40" s="4"/>
      <c r="K40" s="4"/>
      <c r="L40" s="89"/>
    </row>
    <row r="41" spans="1:12" ht="15">
      <c r="A41" s="89" t="s">
        <v>275</v>
      </c>
      <c r="B41" s="364"/>
      <c r="C41" s="89"/>
      <c r="D41" s="89"/>
      <c r="E41" s="89"/>
      <c r="F41" s="89"/>
      <c r="G41" s="89"/>
      <c r="H41" s="89"/>
      <c r="I41" s="89"/>
      <c r="J41" s="4"/>
      <c r="K41" s="4"/>
      <c r="L41" s="89"/>
    </row>
    <row r="42" spans="1:12" ht="15">
      <c r="A42" s="89"/>
      <c r="B42" s="364"/>
      <c r="C42" s="101"/>
      <c r="D42" s="101"/>
      <c r="E42" s="101"/>
      <c r="F42" s="101"/>
      <c r="G42" s="89"/>
      <c r="H42" s="89"/>
      <c r="I42" s="89"/>
      <c r="J42" s="89" t="s">
        <v>492</v>
      </c>
      <c r="K42" s="88">
        <f>SUM(K10:K36)</f>
        <v>35834.369999999995</v>
      </c>
      <c r="L42" s="89"/>
    </row>
    <row r="43" spans="1:12" ht="15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190"/>
    </row>
    <row r="44" spans="1:12" ht="15">
      <c r="A44" s="236" t="s">
        <v>493</v>
      </c>
      <c r="B44" s="236"/>
      <c r="C44" s="235"/>
      <c r="D44" s="235"/>
      <c r="E44" s="235"/>
      <c r="F44" s="235"/>
      <c r="G44" s="235"/>
      <c r="H44" s="235"/>
      <c r="I44" s="235"/>
      <c r="J44" s="235"/>
      <c r="K44" s="190"/>
    </row>
    <row r="45" spans="1:12" ht="15">
      <c r="A45" s="236" t="s">
        <v>494</v>
      </c>
      <c r="B45" s="236"/>
      <c r="C45" s="235"/>
      <c r="D45" s="235"/>
      <c r="E45" s="235"/>
      <c r="F45" s="235"/>
      <c r="G45" s="235"/>
      <c r="H45" s="235"/>
      <c r="I45" s="235"/>
      <c r="J45" s="235"/>
      <c r="K45" s="190"/>
    </row>
    <row r="46" spans="1:12" ht="15">
      <c r="A46" s="222" t="s">
        <v>495</v>
      </c>
      <c r="B46" s="236"/>
      <c r="C46" s="190"/>
      <c r="D46" s="190"/>
      <c r="E46" s="190"/>
      <c r="F46" s="190"/>
      <c r="G46" s="190"/>
      <c r="H46" s="190"/>
      <c r="I46" s="190"/>
      <c r="J46" s="190"/>
      <c r="K46" s="190"/>
    </row>
    <row r="47" spans="1:12" ht="15">
      <c r="A47" s="222" t="s">
        <v>496</v>
      </c>
      <c r="B47" s="236"/>
      <c r="C47" s="190"/>
      <c r="D47" s="190"/>
      <c r="E47" s="190"/>
      <c r="F47" s="190"/>
      <c r="G47" s="190"/>
      <c r="H47" s="190"/>
      <c r="I47" s="190"/>
      <c r="J47" s="190"/>
      <c r="K47" s="190"/>
    </row>
    <row r="48" spans="1:12" ht="15" customHeight="1">
      <c r="A48" s="528" t="s">
        <v>513</v>
      </c>
      <c r="B48" s="528"/>
      <c r="C48" s="528"/>
      <c r="D48" s="528"/>
      <c r="E48" s="528"/>
      <c r="F48" s="528"/>
      <c r="G48" s="528"/>
      <c r="H48" s="528"/>
      <c r="I48" s="528"/>
      <c r="J48" s="528"/>
      <c r="K48" s="528"/>
    </row>
    <row r="49" spans="1:11">
      <c r="A49" s="528"/>
      <c r="B49" s="528"/>
      <c r="C49" s="528"/>
      <c r="D49" s="528"/>
      <c r="E49" s="528"/>
      <c r="F49" s="528"/>
      <c r="G49" s="528"/>
      <c r="H49" s="528"/>
      <c r="I49" s="528"/>
      <c r="J49" s="528"/>
      <c r="K49" s="528"/>
    </row>
    <row r="50" spans="1:11" ht="15">
      <c r="A50" s="394"/>
      <c r="B50" s="394"/>
      <c r="C50" s="394"/>
      <c r="D50" s="394"/>
      <c r="E50" s="394"/>
      <c r="F50" s="394"/>
      <c r="G50" s="394"/>
      <c r="H50" s="394"/>
      <c r="I50" s="394"/>
      <c r="J50" s="394"/>
      <c r="K50" s="394"/>
    </row>
    <row r="51" spans="1:11" ht="15">
      <c r="A51" s="524" t="s">
        <v>106</v>
      </c>
      <c r="B51" s="524"/>
      <c r="C51" s="365"/>
      <c r="D51" s="366"/>
      <c r="E51" s="366"/>
      <c r="F51" s="365"/>
      <c r="G51" s="365"/>
      <c r="H51" s="365"/>
      <c r="I51" s="365"/>
      <c r="J51" s="365"/>
      <c r="K51" s="190"/>
    </row>
    <row r="52" spans="1:11" ht="15">
      <c r="A52" s="365"/>
      <c r="B52" s="366"/>
      <c r="C52" s="365"/>
      <c r="D52" s="366"/>
      <c r="E52" s="366"/>
      <c r="F52" s="365"/>
      <c r="G52" s="365"/>
      <c r="H52" s="365"/>
      <c r="I52" s="365"/>
      <c r="J52" s="367"/>
      <c r="K52" s="190"/>
    </row>
    <row r="53" spans="1:11" ht="15">
      <c r="A53" s="365"/>
      <c r="B53" s="366"/>
      <c r="C53" s="525" t="s">
        <v>267</v>
      </c>
      <c r="D53" s="525"/>
      <c r="E53" s="397"/>
      <c r="F53" s="368"/>
      <c r="G53" s="526" t="s">
        <v>497</v>
      </c>
      <c r="H53" s="526"/>
      <c r="I53" s="526"/>
      <c r="J53" s="369"/>
      <c r="K53" s="190"/>
    </row>
    <row r="54" spans="1:11" ht="15">
      <c r="A54" s="365"/>
      <c r="B54" s="366"/>
      <c r="C54" s="365"/>
      <c r="D54" s="366"/>
      <c r="E54" s="366"/>
      <c r="F54" s="365"/>
      <c r="G54" s="527"/>
      <c r="H54" s="527"/>
      <c r="I54" s="527"/>
      <c r="J54" s="369"/>
      <c r="K54" s="190"/>
    </row>
    <row r="55" spans="1:11" ht="15">
      <c r="A55" s="365"/>
      <c r="B55" s="366"/>
      <c r="C55" s="522" t="s">
        <v>138</v>
      </c>
      <c r="D55" s="522"/>
      <c r="E55" s="397"/>
      <c r="F55" s="368"/>
      <c r="G55" s="365"/>
      <c r="H55" s="365"/>
      <c r="I55" s="365"/>
      <c r="J55" s="365"/>
      <c r="K55" s="190"/>
    </row>
  </sheetData>
  <mergeCells count="7">
    <mergeCell ref="C55:D55"/>
    <mergeCell ref="A2:D2"/>
    <mergeCell ref="K3:L3"/>
    <mergeCell ref="A48:K49"/>
    <mergeCell ref="A51:B51"/>
    <mergeCell ref="C53:D53"/>
    <mergeCell ref="G53:I54"/>
  </mergeCells>
  <dataValidations count="1">
    <dataValidation type="list" allowBlank="1" showInputMessage="1" showErrorMessage="1" sqref="B37:B42 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A1:I32"/>
  <sheetViews>
    <sheetView showGridLines="0" view="pageBreakPreview" zoomScale="80" zoomScaleSheetLayoutView="80" workbookViewId="0">
      <selection activeCell="B23" sqref="B2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30" t="s">
        <v>108</v>
      </c>
      <c r="D1" s="530"/>
    </row>
    <row r="2" spans="1:5">
      <c r="A2" s="76" t="s">
        <v>458</v>
      </c>
      <c r="B2" s="78"/>
      <c r="C2" s="516" t="s">
        <v>515</v>
      </c>
      <c r="D2" s="517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მპგ  "გაერთიანებული დემოკრატიული მოძრაობა "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63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67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29</v>
      </c>
      <c r="B12" s="16" t="s">
        <v>69</v>
      </c>
      <c r="C12" s="34"/>
      <c r="D12" s="35"/>
    </row>
    <row r="13" spans="1:5" s="9" customFormat="1" ht="18">
      <c r="A13" s="16" t="s">
        <v>30</v>
      </c>
      <c r="B13" s="16" t="s">
        <v>70</v>
      </c>
      <c r="C13" s="34"/>
      <c r="D13" s="35"/>
    </row>
    <row r="14" spans="1:5" s="3" customFormat="1">
      <c r="A14" s="14">
        <v>1.2</v>
      </c>
      <c r="B14" s="14" t="s">
        <v>68</v>
      </c>
      <c r="C14" s="84">
        <f>SUM(C15:C16)</f>
        <v>0</v>
      </c>
      <c r="D14" s="84">
        <f>SUM(D15:D16)</f>
        <v>0</v>
      </c>
    </row>
    <row r="15" spans="1:5">
      <c r="A15" s="16" t="s">
        <v>31</v>
      </c>
      <c r="B15" s="16" t="s">
        <v>71</v>
      </c>
      <c r="C15" s="34"/>
      <c r="D15" s="35"/>
    </row>
    <row r="16" spans="1:5">
      <c r="A16" s="16" t="s">
        <v>32</v>
      </c>
      <c r="B16" s="16" t="s">
        <v>72</v>
      </c>
      <c r="C16" s="34"/>
      <c r="D16" s="35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49</v>
      </c>
      <c r="B18" s="16" t="s">
        <v>74</v>
      </c>
      <c r="C18" s="34"/>
      <c r="D18" s="35"/>
    </row>
    <row r="19" spans="1:9">
      <c r="A19" s="16" t="s">
        <v>50</v>
      </c>
      <c r="B19" s="16" t="s">
        <v>75</v>
      </c>
      <c r="C19" s="34"/>
      <c r="D19" s="35"/>
    </row>
    <row r="20" spans="1:9">
      <c r="A20" s="14">
        <v>1.4</v>
      </c>
      <c r="B20" s="14" t="s">
        <v>76</v>
      </c>
      <c r="C20" s="34"/>
      <c r="D20" s="35"/>
    </row>
    <row r="21" spans="1:9">
      <c r="A21" s="14">
        <v>1.5</v>
      </c>
      <c r="B21" s="14" t="s">
        <v>77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18" t="s">
        <v>108</v>
      </c>
      <c r="D1" s="518"/>
      <c r="E1" s="93"/>
    </row>
    <row r="2" spans="1:5" s="6" customFormat="1">
      <c r="A2" s="76" t="s">
        <v>456</v>
      </c>
      <c r="B2" s="79"/>
      <c r="C2" s="516" t="s">
        <v>515</v>
      </c>
      <c r="D2" s="516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2"/>
    </row>
    <row r="22" spans="1:9">
      <c r="A22" s="222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A28" zoomScale="80" zoomScaleSheetLayoutView="80" workbookViewId="0">
      <selection activeCell="A14" sqref="A14:XFD1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223</v>
      </c>
      <c r="B1" s="123"/>
      <c r="C1" s="531" t="s">
        <v>197</v>
      </c>
      <c r="D1" s="531"/>
      <c r="E1" s="107"/>
    </row>
    <row r="2" spans="1:5">
      <c r="A2" s="78" t="s">
        <v>139</v>
      </c>
      <c r="B2" s="123"/>
      <c r="C2" s="79"/>
      <c r="D2" s="232" t="s">
        <v>515</v>
      </c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5">
      <c r="A9" s="49"/>
      <c r="B9" s="50"/>
      <c r="C9" s="159"/>
      <c r="D9" s="159"/>
      <c r="E9" s="107"/>
    </row>
    <row r="10" spans="1:5">
      <c r="A10" s="51" t="s">
        <v>190</v>
      </c>
      <c r="B10" s="52"/>
      <c r="C10" s="127">
        <f>SUM(C11,C34)</f>
        <v>155040.29999999999</v>
      </c>
      <c r="D10" s="127">
        <f>SUM(D11,D34)</f>
        <v>173111.87</v>
      </c>
      <c r="E10" s="107"/>
    </row>
    <row r="11" spans="1:5">
      <c r="A11" s="53" t="s">
        <v>191</v>
      </c>
      <c r="B11" s="54"/>
      <c r="C11" s="87">
        <f>SUM(C14:C32)</f>
        <v>117063.86</v>
      </c>
      <c r="D11" s="87">
        <f>SUM(D12:D32)</f>
        <v>134195.53</v>
      </c>
      <c r="E11" s="107"/>
    </row>
    <row r="12" spans="1:5">
      <c r="A12" s="57">
        <v>1110</v>
      </c>
      <c r="B12" s="56" t="s">
        <v>141</v>
      </c>
      <c r="C12" s="8"/>
      <c r="D12" s="8"/>
      <c r="E12" s="107"/>
    </row>
    <row r="13" spans="1:5">
      <c r="A13" s="57">
        <v>1120</v>
      </c>
      <c r="B13" s="56" t="s">
        <v>142</v>
      </c>
      <c r="C13" s="8"/>
      <c r="D13" s="8"/>
      <c r="E13" s="107"/>
    </row>
    <row r="14" spans="1:5">
      <c r="A14" s="57">
        <v>1211</v>
      </c>
      <c r="B14" s="56" t="s">
        <v>143</v>
      </c>
      <c r="C14" s="8">
        <v>253.95</v>
      </c>
      <c r="D14" s="8">
        <v>197.65</v>
      </c>
      <c r="E14" s="107"/>
    </row>
    <row r="15" spans="1:5">
      <c r="A15" s="57">
        <v>1212</v>
      </c>
      <c r="B15" s="56" t="s">
        <v>144</v>
      </c>
      <c r="C15" s="8"/>
      <c r="D15" s="8"/>
      <c r="E15" s="107"/>
    </row>
    <row r="16" spans="1:5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1246.2</v>
      </c>
      <c r="D28" s="8">
        <v>97442.35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>
        <v>115563.71</v>
      </c>
      <c r="D31" s="8">
        <f>173111.87-136556.34</f>
        <v>36555.53</v>
      </c>
      <c r="E31" s="107"/>
    </row>
    <row r="32" spans="1:5">
      <c r="A32" s="57">
        <v>1446</v>
      </c>
      <c r="B32" s="56" t="s">
        <v>161</v>
      </c>
      <c r="C32" s="8"/>
      <c r="D32" s="8"/>
      <c r="E32" s="107"/>
    </row>
    <row r="33" spans="1:5">
      <c r="A33" s="31"/>
      <c r="E33" s="107"/>
    </row>
    <row r="34" spans="1:5">
      <c r="A34" s="58" t="s">
        <v>192</v>
      </c>
      <c r="B34" s="56"/>
      <c r="C34" s="87">
        <f>SUM(C35:C42)</f>
        <v>37976.44</v>
      </c>
      <c r="D34" s="87">
        <f>SUM(D35:D42)</f>
        <v>38916.339999999997</v>
      </c>
      <c r="E34" s="107"/>
    </row>
    <row r="35" spans="1:5">
      <c r="A35" s="57">
        <v>2110</v>
      </c>
      <c r="B35" s="56" t="s">
        <v>99</v>
      </c>
      <c r="C35" s="8"/>
      <c r="D35" s="8"/>
      <c r="E35" s="107"/>
    </row>
    <row r="36" spans="1:5">
      <c r="A36" s="57">
        <v>2120</v>
      </c>
      <c r="B36" s="56" t="s">
        <v>162</v>
      </c>
      <c r="C36" s="8">
        <v>27287.360000000001</v>
      </c>
      <c r="D36" s="8">
        <v>30068.28</v>
      </c>
      <c r="E36" s="107"/>
    </row>
    <row r="37" spans="1:5">
      <c r="A37" s="57">
        <v>2130</v>
      </c>
      <c r="B37" s="56" t="s">
        <v>100</v>
      </c>
      <c r="C37" s="8">
        <v>10689.08</v>
      </c>
      <c r="D37" s="8">
        <v>8848.06</v>
      </c>
      <c r="E37" s="107"/>
    </row>
    <row r="38" spans="1:5">
      <c r="A38" s="57">
        <v>2140</v>
      </c>
      <c r="B38" s="56" t="s">
        <v>411</v>
      </c>
      <c r="C38" s="8"/>
      <c r="D38" s="8"/>
      <c r="E38" s="107"/>
    </row>
    <row r="39" spans="1:5">
      <c r="A39" s="57">
        <v>2150</v>
      </c>
      <c r="B39" s="56" t="s">
        <v>415</v>
      </c>
      <c r="C39" s="8"/>
      <c r="D39" s="8"/>
      <c r="E39" s="107"/>
    </row>
    <row r="40" spans="1:5">
      <c r="A40" s="57">
        <v>2220</v>
      </c>
      <c r="B40" s="56" t="s">
        <v>101</v>
      </c>
      <c r="C40" s="8"/>
      <c r="D40" s="8"/>
      <c r="E40" s="107"/>
    </row>
    <row r="41" spans="1:5">
      <c r="A41" s="57">
        <v>2300</v>
      </c>
      <c r="B41" s="56" t="s">
        <v>163</v>
      </c>
      <c r="C41" s="8"/>
      <c r="D41" s="8"/>
      <c r="E41" s="107"/>
    </row>
    <row r="42" spans="1:5">
      <c r="A42" s="57">
        <v>2400</v>
      </c>
      <c r="B42" s="56" t="s">
        <v>164</v>
      </c>
      <c r="C42" s="8"/>
      <c r="D42" s="8"/>
      <c r="E42" s="107"/>
    </row>
    <row r="43" spans="1:5">
      <c r="A43" s="32"/>
      <c r="E43" s="107"/>
    </row>
    <row r="44" spans="1:5">
      <c r="A44" s="55" t="s">
        <v>196</v>
      </c>
      <c r="B44" s="56"/>
      <c r="C44" s="87">
        <f>SUM(C45,C64)</f>
        <v>155040.29999999999</v>
      </c>
      <c r="D44" s="87">
        <f>SUM(D45,D64)</f>
        <v>173111.87</v>
      </c>
      <c r="E44" s="107"/>
    </row>
    <row r="45" spans="1:5">
      <c r="A45" s="58" t="s">
        <v>193</v>
      </c>
      <c r="B45" s="56"/>
      <c r="C45" s="87">
        <f>SUM(C46:C61)</f>
        <v>155040.29999999999</v>
      </c>
      <c r="D45" s="87">
        <f>SUM(D46:D61)</f>
        <v>173111.87</v>
      </c>
      <c r="E45" s="107"/>
    </row>
    <row r="46" spans="1:5">
      <c r="A46" s="57">
        <v>3100</v>
      </c>
      <c r="B46" s="56" t="s">
        <v>165</v>
      </c>
      <c r="C46" s="8"/>
      <c r="D46" s="8"/>
      <c r="E46" s="107"/>
    </row>
    <row r="47" spans="1:5">
      <c r="A47" s="57">
        <v>3210</v>
      </c>
      <c r="B47" s="56" t="s">
        <v>166</v>
      </c>
      <c r="C47" s="8">
        <v>151835.21</v>
      </c>
      <c r="D47" s="8">
        <v>150836.57</v>
      </c>
      <c r="E47" s="107"/>
    </row>
    <row r="48" spans="1:5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>
        <v>3205.09</v>
      </c>
      <c r="D49" s="8">
        <v>22275.3</v>
      </c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/>
      <c r="D53" s="8"/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8" t="s">
        <v>194</v>
      </c>
      <c r="B64" s="56"/>
      <c r="C64" s="87">
        <f>SUM(C65:C67)</f>
        <v>0</v>
      </c>
      <c r="D64" s="87">
        <f>SUM(D65:D67)</f>
        <v>0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18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W44" sqref="W4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18" t="s">
        <v>108</v>
      </c>
      <c r="J1" s="518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16" t="s">
        <v>515</v>
      </c>
      <c r="J2" s="517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9" t="str">
        <f>'ფორმა N1'!D4</f>
        <v>მპგ  "გაერთიანებული დემოკრატიული მოძრაობა "</v>
      </c>
      <c r="B5" s="388"/>
      <c r="C5" s="388"/>
      <c r="D5" s="388"/>
      <c r="E5" s="388"/>
      <c r="F5" s="389"/>
      <c r="G5" s="388"/>
      <c r="H5" s="388"/>
      <c r="I5" s="388"/>
      <c r="J5" s="388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63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>
      <c r="A10" s="160">
        <v>1</v>
      </c>
      <c r="B10" s="63" t="s">
        <v>551</v>
      </c>
      <c r="C10" s="161" t="s">
        <v>552</v>
      </c>
      <c r="D10" s="162" t="s">
        <v>553</v>
      </c>
      <c r="E10" s="158">
        <v>39836</v>
      </c>
      <c r="F10" s="28">
        <v>253.95</v>
      </c>
      <c r="G10" s="28">
        <v>1242564.5</v>
      </c>
      <c r="H10" s="28">
        <v>1242620.8</v>
      </c>
      <c r="I10" s="28">
        <f>F10+G10-H10</f>
        <v>197.64999999990687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40" t="s">
        <v>106</v>
      </c>
      <c r="C15" s="106"/>
      <c r="D15" s="106"/>
      <c r="E15" s="106"/>
      <c r="F15" s="241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>
      <c r="A18" s="103"/>
      <c r="B18" s="106"/>
      <c r="C18" s="242" t="s">
        <v>267</v>
      </c>
      <c r="D18" s="242"/>
      <c r="E18" s="106"/>
      <c r="F18" s="106" t="s">
        <v>272</v>
      </c>
      <c r="G18" s="103"/>
      <c r="H18" s="103"/>
      <c r="I18" s="103"/>
      <c r="J18" s="103"/>
    </row>
    <row r="19" spans="1:10">
      <c r="A19" s="103"/>
      <c r="B19" s="106"/>
      <c r="C19" s="243" t="s">
        <v>138</v>
      </c>
      <c r="D19" s="106"/>
      <c r="E19" s="106"/>
      <c r="F19" s="106" t="s">
        <v>268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3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C23" sqref="C2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18" t="s">
        <v>108</v>
      </c>
      <c r="D1" s="518"/>
      <c r="E1" s="110"/>
    </row>
    <row r="2" spans="1:7">
      <c r="A2" s="78" t="s">
        <v>139</v>
      </c>
      <c r="B2" s="78"/>
      <c r="C2" s="516" t="s">
        <v>515</v>
      </c>
      <c r="D2" s="517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391" t="str">
        <f>'ფორმა N1'!D4</f>
        <v>მპგ  "გაერთიანებული დემოკრატიული მოძრაობა 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63</v>
      </c>
      <c r="B8" s="81" t="s">
        <v>248</v>
      </c>
      <c r="C8" s="81" t="s">
        <v>65</v>
      </c>
      <c r="D8" s="81" t="s">
        <v>66</v>
      </c>
      <c r="E8" s="110"/>
    </row>
    <row r="9" spans="1:7" s="7" customFormat="1" ht="16.5" customHeight="1">
      <c r="A9" s="247">
        <v>1</v>
      </c>
      <c r="B9" s="247" t="s">
        <v>64</v>
      </c>
      <c r="C9" s="87">
        <f>SUM(C10,C26)</f>
        <v>765707</v>
      </c>
      <c r="D9" s="87">
        <f>SUM(D10,D26)</f>
        <v>765707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765707</v>
      </c>
      <c r="D10" s="87">
        <f>SUM(D11,D12,D16,D19,D24,D25)</f>
        <v>765707</v>
      </c>
      <c r="E10" s="110"/>
    </row>
    <row r="11" spans="1:7" s="9" customFormat="1" ht="16.5" customHeight="1">
      <c r="A11" s="90" t="s">
        <v>29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30</v>
      </c>
      <c r="B12" s="90" t="s">
        <v>307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/>
      <c r="D13" s="8"/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765707</v>
      </c>
      <c r="D16" s="109">
        <f>SUM(D17:D18)</f>
        <v>765707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f>249258+166172+30465+83086</f>
        <v>528981</v>
      </c>
      <c r="D17" s="8">
        <f>249258+166172+30465+83086</f>
        <v>528981</v>
      </c>
      <c r="E17" s="110"/>
    </row>
    <row r="18" spans="1:5" s="3" customFormat="1" ht="30">
      <c r="A18" s="99" t="s">
        <v>84</v>
      </c>
      <c r="B18" s="99" t="s">
        <v>109</v>
      </c>
      <c r="C18" s="8">
        <f>118363+118363</f>
        <v>236726</v>
      </c>
      <c r="D18" s="8">
        <f>118363+118363</f>
        <v>236726</v>
      </c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452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5" t="s">
        <v>97</v>
      </c>
      <c r="B28" s="255" t="s">
        <v>308</v>
      </c>
      <c r="C28" s="8"/>
      <c r="D28" s="8"/>
      <c r="E28" s="110"/>
    </row>
    <row r="29" spans="1:5">
      <c r="A29" s="255" t="s">
        <v>98</v>
      </c>
      <c r="B29" s="255" t="s">
        <v>311</v>
      </c>
      <c r="C29" s="8"/>
      <c r="D29" s="8"/>
      <c r="E29" s="110"/>
    </row>
    <row r="30" spans="1:5">
      <c r="A30" s="255" t="s">
        <v>454</v>
      </c>
      <c r="B30" s="255" t="s">
        <v>309</v>
      </c>
      <c r="C30" s="8"/>
      <c r="D30" s="8"/>
      <c r="E30" s="110"/>
    </row>
    <row r="31" spans="1:5">
      <c r="A31" s="90" t="s">
        <v>32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5" t="s">
        <v>12</v>
      </c>
      <c r="B32" s="255" t="s">
        <v>508</v>
      </c>
      <c r="C32" s="8"/>
      <c r="D32" s="8"/>
      <c r="E32" s="110"/>
    </row>
    <row r="33" spans="1:9">
      <c r="A33" s="255" t="s">
        <v>13</v>
      </c>
      <c r="B33" s="255" t="s">
        <v>509</v>
      </c>
      <c r="C33" s="8"/>
      <c r="D33" s="8"/>
      <c r="E33" s="110"/>
    </row>
    <row r="34" spans="1:9">
      <c r="A34" s="255" t="s">
        <v>280</v>
      </c>
      <c r="B34" s="255" t="s">
        <v>510</v>
      </c>
      <c r="C34" s="8"/>
      <c r="D34" s="8"/>
      <c r="E34" s="110"/>
    </row>
    <row r="35" spans="1:9">
      <c r="A35" s="90" t="s">
        <v>33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topLeftCell="A25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69" t="s">
        <v>108</v>
      </c>
      <c r="H1" s="170"/>
    </row>
    <row r="2" spans="1:8">
      <c r="A2" s="78" t="s">
        <v>139</v>
      </c>
      <c r="B2" s="78"/>
      <c r="C2" s="78"/>
      <c r="D2" s="78"/>
      <c r="E2" s="78"/>
      <c r="F2" s="78"/>
      <c r="G2" s="171" t="s">
        <v>515</v>
      </c>
      <c r="H2" s="170"/>
    </row>
    <row r="3" spans="1:8">
      <c r="A3" s="78"/>
      <c r="B3" s="78"/>
      <c r="C3" s="78"/>
      <c r="D3" s="78"/>
      <c r="E3" s="78"/>
      <c r="F3" s="78"/>
      <c r="G3" s="104"/>
      <c r="H3" s="170"/>
    </row>
    <row r="4" spans="1:8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9" t="str">
        <f>'ფორმა N1'!D4</f>
        <v>მპგ  "გაერთიანებული დემოკრატიული მოძრაობა "</v>
      </c>
      <c r="B5" s="229"/>
      <c r="C5" s="229"/>
      <c r="D5" s="229"/>
      <c r="E5" s="229"/>
      <c r="F5" s="229"/>
      <c r="G5" s="229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8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8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8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8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8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8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8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8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8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8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8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8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8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8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8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8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8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8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8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8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8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8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8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8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8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8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8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8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8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277</v>
      </c>
      <c r="B39" s="158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315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267</v>
      </c>
      <c r="F47" s="197" t="s">
        <v>272</v>
      </c>
      <c r="G47" s="195"/>
      <c r="H47" s="191"/>
      <c r="I47" s="191"/>
      <c r="J47" s="191"/>
    </row>
    <row r="48" spans="1:10">
      <c r="A48" s="191"/>
      <c r="C48" s="198" t="s">
        <v>138</v>
      </c>
      <c r="F48" s="190" t="s">
        <v>268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zoomScale="80" zoomScaleSheetLayoutView="80" workbookViewId="0">
      <selection activeCell="J17" sqref="J1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30" t="s">
        <v>108</v>
      </c>
      <c r="J1" s="530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16" t="s">
        <v>515</v>
      </c>
      <c r="J2" s="517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400"/>
      <c r="K3" s="146"/>
    </row>
    <row r="4" spans="1:12" s="2" customFormat="1" ht="15">
      <c r="A4" s="78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'[1]ფორმა N1'!D4</f>
        <v>მპგ  "გაერთიანებული დემოკრატიული მოძრაობა 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32" t="s">
        <v>219</v>
      </c>
      <c r="C7" s="532"/>
      <c r="D7" s="532" t="s">
        <v>291</v>
      </c>
      <c r="E7" s="532"/>
      <c r="F7" s="532" t="s">
        <v>292</v>
      </c>
      <c r="G7" s="532"/>
      <c r="H7" s="402" t="s">
        <v>278</v>
      </c>
      <c r="I7" s="532" t="s">
        <v>222</v>
      </c>
      <c r="J7" s="532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388</v>
      </c>
      <c r="C9" s="84">
        <f>SUM(C10,C14,C17)</f>
        <v>37976.44</v>
      </c>
      <c r="D9" s="84">
        <f t="shared" ref="D9:J9" si="0">SUM(D10,D14,D17)</f>
        <v>17</v>
      </c>
      <c r="E9" s="84">
        <f>SUM(E10,E14,E17)</f>
        <v>10297.99</v>
      </c>
      <c r="F9" s="84">
        <f t="shared" si="0"/>
        <v>0</v>
      </c>
      <c r="G9" s="84">
        <f>SUM(G10,G14,G17)</f>
        <v>9358.094000000001</v>
      </c>
      <c r="H9" s="84">
        <f>SUM(H10,H14,H17)</f>
        <v>0</v>
      </c>
      <c r="I9" s="84">
        <f>SUM(I10,I14,I17)</f>
        <v>405</v>
      </c>
      <c r="J9" s="84">
        <f t="shared" si="0"/>
        <v>38916.335999999996</v>
      </c>
      <c r="K9" s="147"/>
    </row>
    <row r="10" spans="1:12" ht="15">
      <c r="A10" s="61" t="s">
        <v>116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1" t="s">
        <v>117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118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119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120</v>
      </c>
      <c r="B14" s="135">
        <f>SUM(B15:B16)</f>
        <v>231</v>
      </c>
      <c r="C14" s="135">
        <f>SUM(C15:C16)</f>
        <v>27287.360000000001</v>
      </c>
      <c r="D14" s="135">
        <f t="shared" ref="D14:J14" si="2">SUM(D15:D16)</f>
        <v>17</v>
      </c>
      <c r="E14" s="135">
        <f>SUM(E15:E16)</f>
        <v>10297.99</v>
      </c>
      <c r="F14" s="135">
        <f t="shared" si="2"/>
        <v>0</v>
      </c>
      <c r="G14" s="135">
        <f>SUM(G15:G16)</f>
        <v>7517.0700000000006</v>
      </c>
      <c r="H14" s="135">
        <f>SUM(H15:H16)</f>
        <v>0</v>
      </c>
      <c r="I14" s="135">
        <f>SUM(I15:I16)</f>
        <v>248</v>
      </c>
      <c r="J14" s="135">
        <f t="shared" si="2"/>
        <v>30068.28</v>
      </c>
      <c r="K14" s="147"/>
    </row>
    <row r="15" spans="1:12" ht="15">
      <c r="A15" s="61" t="s">
        <v>121</v>
      </c>
      <c r="B15" s="26">
        <v>1</v>
      </c>
      <c r="C15" s="26">
        <v>4177.92</v>
      </c>
      <c r="D15" s="26"/>
      <c r="E15" s="26"/>
      <c r="F15" s="26"/>
      <c r="G15" s="26">
        <f>C15*0.2</f>
        <v>835.58400000000006</v>
      </c>
      <c r="H15" s="26"/>
      <c r="I15" s="26">
        <f>B15</f>
        <v>1</v>
      </c>
      <c r="J15" s="26">
        <f>C15+E15-G15</f>
        <v>3342.3360000000002</v>
      </c>
      <c r="K15" s="147"/>
    </row>
    <row r="16" spans="1:12" ht="15">
      <c r="A16" s="61" t="s">
        <v>122</v>
      </c>
      <c r="B16" s="26">
        <v>230</v>
      </c>
      <c r="C16" s="26">
        <v>23109.439999999999</v>
      </c>
      <c r="D16" s="26">
        <v>17</v>
      </c>
      <c r="E16" s="26">
        <v>10297.99</v>
      </c>
      <c r="F16" s="26"/>
      <c r="G16" s="26">
        <f>(C16+E16)*0.2</f>
        <v>6681.4860000000008</v>
      </c>
      <c r="H16" s="26"/>
      <c r="I16" s="26">
        <f>B16+D16</f>
        <v>247</v>
      </c>
      <c r="J16" s="26">
        <f>C16+E16-G16</f>
        <v>26725.944</v>
      </c>
      <c r="K16" s="147"/>
    </row>
    <row r="17" spans="1:11" ht="15">
      <c r="A17" s="61" t="s">
        <v>123</v>
      </c>
      <c r="B17" s="135">
        <f>SUM(B18:B19,B22,B23)</f>
        <v>157</v>
      </c>
      <c r="C17" s="135">
        <f>SUM(C18:C19,C22,C23)</f>
        <v>10689.080000000002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 t="shared" si="3"/>
        <v>1841.0240000000003</v>
      </c>
      <c r="H17" s="135">
        <f>SUM(H18:H19,H22,H23)</f>
        <v>0</v>
      </c>
      <c r="I17" s="135">
        <f>SUM(I18:I19,I22,I23)</f>
        <v>157</v>
      </c>
      <c r="J17" s="135">
        <f t="shared" si="3"/>
        <v>8848.0560000000005</v>
      </c>
      <c r="K17" s="147"/>
    </row>
    <row r="18" spans="1:11" ht="15">
      <c r="A18" s="61" t="s">
        <v>124</v>
      </c>
      <c r="B18" s="26"/>
      <c r="C18" s="26"/>
      <c r="D18" s="26"/>
      <c r="E18" s="26"/>
      <c r="F18" s="26"/>
      <c r="G18" s="26">
        <f t="shared" ref="G18:G23" si="4">C18*0.2</f>
        <v>0</v>
      </c>
      <c r="H18" s="26"/>
      <c r="I18" s="26"/>
      <c r="J18" s="26"/>
      <c r="K18" s="147"/>
    </row>
    <row r="19" spans="1:11" ht="15">
      <c r="A19" s="61" t="s">
        <v>125</v>
      </c>
      <c r="B19" s="135">
        <f>SUM(B20:B21)</f>
        <v>3</v>
      </c>
      <c r="C19" s="135">
        <f>SUM(C20:C21)</f>
        <v>1483.96</v>
      </c>
      <c r="D19" s="135">
        <f t="shared" ref="D19:J19" si="5">SUM(D20:D21)</f>
        <v>0</v>
      </c>
      <c r="E19" s="135">
        <f>SUM(E20:E21)</f>
        <v>0</v>
      </c>
      <c r="F19" s="135">
        <f t="shared" si="5"/>
        <v>0</v>
      </c>
      <c r="G19" s="135">
        <f t="shared" si="5"/>
        <v>0</v>
      </c>
      <c r="H19" s="135">
        <f>SUM(H20:H21)</f>
        <v>0</v>
      </c>
      <c r="I19" s="135">
        <f>SUM(I20:I21)</f>
        <v>3</v>
      </c>
      <c r="J19" s="135">
        <f t="shared" si="5"/>
        <v>1483.96</v>
      </c>
      <c r="K19" s="147"/>
    </row>
    <row r="20" spans="1:11" ht="15">
      <c r="A20" s="61" t="s">
        <v>126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7"/>
    </row>
    <row r="21" spans="1:11" ht="15">
      <c r="A21" s="61" t="s">
        <v>127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7"/>
    </row>
    <row r="22" spans="1:11" ht="15">
      <c r="A22" s="61" t="s">
        <v>128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7"/>
    </row>
    <row r="23" spans="1:11" ht="15">
      <c r="A23" s="61" t="s">
        <v>129</v>
      </c>
      <c r="B23" s="26">
        <v>154</v>
      </c>
      <c r="C23" s="26">
        <v>9205.1200000000008</v>
      </c>
      <c r="D23" s="26"/>
      <c r="E23" s="26"/>
      <c r="F23" s="26"/>
      <c r="G23" s="26">
        <f t="shared" si="4"/>
        <v>1841.0240000000003</v>
      </c>
      <c r="H23" s="26"/>
      <c r="I23" s="26">
        <f>B23+D23-H23</f>
        <v>154</v>
      </c>
      <c r="J23" s="26">
        <f>C23+E23-G23</f>
        <v>7364.0960000000005</v>
      </c>
      <c r="K23" s="147"/>
    </row>
    <row r="24" spans="1:11" ht="15">
      <c r="A24" s="60" t="s">
        <v>130</v>
      </c>
      <c r="B24" s="84">
        <f>SUM(B25:B31)</f>
        <v>0</v>
      </c>
      <c r="C24" s="84">
        <f t="shared" ref="C24:J24" si="6">SUM(C25:C31)</f>
        <v>0</v>
      </c>
      <c r="D24" s="84">
        <f t="shared" si="6"/>
        <v>0</v>
      </c>
      <c r="E24" s="84">
        <f t="shared" si="6"/>
        <v>0</v>
      </c>
      <c r="F24" s="84">
        <f t="shared" si="6"/>
        <v>0</v>
      </c>
      <c r="G24" s="84">
        <f t="shared" si="6"/>
        <v>0</v>
      </c>
      <c r="H24" s="84">
        <f t="shared" si="6"/>
        <v>0</v>
      </c>
      <c r="I24" s="84">
        <f t="shared" si="6"/>
        <v>0</v>
      </c>
      <c r="J24" s="84">
        <f t="shared" si="6"/>
        <v>0</v>
      </c>
      <c r="K24" s="147"/>
    </row>
    <row r="25" spans="1:11" ht="15">
      <c r="A25" s="61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263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J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7"/>
        <v>0</v>
      </c>
      <c r="K32" s="147"/>
    </row>
    <row r="33" spans="1:11" ht="15">
      <c r="A33" s="61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132</v>
      </c>
      <c r="B36" s="84">
        <f t="shared" ref="B36:J36" si="8">SUM(B37:B39,B42)</f>
        <v>0</v>
      </c>
      <c r="C36" s="84">
        <f t="shared" si="8"/>
        <v>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0</v>
      </c>
      <c r="K36" s="147"/>
    </row>
    <row r="37" spans="1:11" ht="15">
      <c r="A37" s="61" t="s">
        <v>133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134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135</v>
      </c>
      <c r="B39" s="135">
        <f t="shared" ref="B39:J39" si="9">SUM(B40:B41)</f>
        <v>0</v>
      </c>
      <c r="C39" s="135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135">
        <f t="shared" si="9"/>
        <v>0</v>
      </c>
      <c r="K39" s="147"/>
    </row>
    <row r="40" spans="1:11" ht="30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136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137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399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zoomScale="80" zoomScaleSheetLayoutView="80" workbookViewId="0">
      <selection activeCell="L51" sqref="L51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395" t="s">
        <v>515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63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8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8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8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8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8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8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8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8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8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8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8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8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8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L44" sqref="L44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76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95" t="s">
        <v>515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26" t="s">
        <v>554</v>
      </c>
      <c r="C9" s="26" t="s">
        <v>555</v>
      </c>
      <c r="D9" s="26" t="s">
        <v>556</v>
      </c>
      <c r="E9" s="26">
        <v>1998</v>
      </c>
      <c r="F9" s="26" t="s">
        <v>557</v>
      </c>
      <c r="G9" s="26">
        <v>3342.34</v>
      </c>
      <c r="H9" s="410">
        <v>40673</v>
      </c>
      <c r="I9" s="26" t="s">
        <v>558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4"/>
    </row>
    <row r="2" spans="1:8" s="203" customFormat="1">
      <c r="A2" s="204" t="s">
        <v>316</v>
      </c>
      <c r="B2" s="200"/>
      <c r="C2" s="200"/>
      <c r="D2" s="200"/>
      <c r="E2" s="201"/>
      <c r="F2" s="201"/>
      <c r="G2" s="202" t="s">
        <v>515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6" t="s">
        <v>273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მპგ  "გაერთიანებული დემოკრატიული მოძრაობა 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63</v>
      </c>
      <c r="B7" s="211" t="s">
        <v>320</v>
      </c>
      <c r="C7" s="211" t="s">
        <v>321</v>
      </c>
      <c r="D7" s="211" t="s">
        <v>322</v>
      </c>
      <c r="E7" s="211" t="s">
        <v>323</v>
      </c>
      <c r="F7" s="211" t="s">
        <v>324</v>
      </c>
      <c r="G7" s="211" t="s">
        <v>317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275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267</v>
      </c>
      <c r="F27" s="214" t="s">
        <v>318</v>
      </c>
      <c r="J27" s="215"/>
      <c r="K27" s="215"/>
    </row>
    <row r="28" spans="1:11" s="21" customFormat="1" ht="15">
      <c r="C28" s="217" t="s">
        <v>138</v>
      </c>
      <c r="F28" s="218" t="s">
        <v>268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93"/>
  <sheetViews>
    <sheetView view="pageBreakPreview" topLeftCell="A40" zoomScale="80" zoomScaleNormal="80" zoomScaleSheetLayoutView="80" workbookViewId="0">
      <selection activeCell="K27" sqref="K2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1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395" t="s">
        <v>515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'[1]ფორმა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1" customFormat="1" ht="15">
      <c r="A5" s="229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230"/>
      <c r="F5" s="231"/>
      <c r="G5" s="231"/>
      <c r="H5" s="231"/>
      <c r="I5" s="231"/>
      <c r="J5" s="231"/>
      <c r="K5" s="230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63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30">
      <c r="A9" s="69">
        <v>1</v>
      </c>
      <c r="B9" s="411" t="s">
        <v>559</v>
      </c>
      <c r="C9" s="412" t="s">
        <v>560</v>
      </c>
      <c r="D9" s="413">
        <v>42735</v>
      </c>
      <c r="E9" s="414">
        <v>318</v>
      </c>
      <c r="F9" s="412" t="s">
        <v>561</v>
      </c>
      <c r="G9" s="415">
        <v>65002001337</v>
      </c>
      <c r="H9" s="416" t="s">
        <v>562</v>
      </c>
      <c r="I9" s="416" t="s">
        <v>563</v>
      </c>
      <c r="J9" s="416"/>
      <c r="K9" s="412"/>
    </row>
    <row r="10" spans="1:11" ht="15">
      <c r="A10" s="69">
        <f>A9+1</f>
        <v>2</v>
      </c>
      <c r="B10" s="417" t="s">
        <v>564</v>
      </c>
      <c r="C10" s="412" t="s">
        <v>560</v>
      </c>
      <c r="D10" s="418" t="s">
        <v>565</v>
      </c>
      <c r="E10" s="412"/>
      <c r="F10" s="414">
        <v>900</v>
      </c>
      <c r="G10" s="419" t="s">
        <v>566</v>
      </c>
      <c r="H10" s="417" t="s">
        <v>567</v>
      </c>
      <c r="I10" s="417" t="s">
        <v>568</v>
      </c>
      <c r="J10" s="416"/>
      <c r="K10" s="412"/>
    </row>
    <row r="11" spans="1:11" ht="15">
      <c r="A11" s="69">
        <f t="shared" ref="A11:A74" si="0">A10+1</f>
        <v>3</v>
      </c>
      <c r="B11" s="411" t="s">
        <v>569</v>
      </c>
      <c r="C11" s="412" t="s">
        <v>560</v>
      </c>
      <c r="D11" s="418" t="s">
        <v>570</v>
      </c>
      <c r="E11" s="412"/>
      <c r="F11" s="415" t="s">
        <v>571</v>
      </c>
      <c r="G11" s="420" t="s">
        <v>572</v>
      </c>
      <c r="H11" s="415" t="s">
        <v>573</v>
      </c>
      <c r="I11" s="415" t="s">
        <v>574</v>
      </c>
      <c r="J11" s="416"/>
      <c r="K11" s="412"/>
    </row>
    <row r="12" spans="1:11" ht="15">
      <c r="A12" s="69">
        <f t="shared" si="0"/>
        <v>4</v>
      </c>
      <c r="B12" s="421" t="s">
        <v>575</v>
      </c>
      <c r="C12" s="412" t="s">
        <v>560</v>
      </c>
      <c r="D12" s="418" t="s">
        <v>576</v>
      </c>
      <c r="E12" s="412"/>
      <c r="F12" s="417" t="s">
        <v>577</v>
      </c>
      <c r="G12" s="419" t="s">
        <v>578</v>
      </c>
      <c r="H12" s="417" t="s">
        <v>579</v>
      </c>
      <c r="I12" s="417" t="s">
        <v>580</v>
      </c>
      <c r="J12" s="416"/>
      <c r="K12" s="412"/>
    </row>
    <row r="13" spans="1:11" ht="15">
      <c r="A13" s="69">
        <f t="shared" si="0"/>
        <v>5</v>
      </c>
      <c r="B13" s="422" t="s">
        <v>581</v>
      </c>
      <c r="C13" s="412" t="s">
        <v>560</v>
      </c>
      <c r="D13" s="418" t="s">
        <v>582</v>
      </c>
      <c r="E13" s="412"/>
      <c r="F13" s="417" t="s">
        <v>583</v>
      </c>
      <c r="G13" s="419" t="s">
        <v>584</v>
      </c>
      <c r="H13" s="417" t="s">
        <v>585</v>
      </c>
      <c r="I13" s="417" t="s">
        <v>586</v>
      </c>
      <c r="J13" s="416"/>
      <c r="K13" s="412"/>
    </row>
    <row r="14" spans="1:11" ht="15">
      <c r="A14" s="69">
        <f t="shared" si="0"/>
        <v>6</v>
      </c>
      <c r="B14" s="423" t="s">
        <v>587</v>
      </c>
      <c r="C14" s="412" t="s">
        <v>560</v>
      </c>
      <c r="D14" s="418" t="s">
        <v>576</v>
      </c>
      <c r="E14" s="412"/>
      <c r="F14" s="415" t="s">
        <v>588</v>
      </c>
      <c r="G14" s="424" t="s">
        <v>589</v>
      </c>
      <c r="H14" s="415" t="s">
        <v>573</v>
      </c>
      <c r="I14" s="415" t="s">
        <v>590</v>
      </c>
      <c r="J14" s="416"/>
      <c r="K14" s="412"/>
    </row>
    <row r="15" spans="1:11" ht="15">
      <c r="A15" s="69">
        <f t="shared" si="0"/>
        <v>7</v>
      </c>
      <c r="B15" s="423" t="s">
        <v>591</v>
      </c>
      <c r="C15" s="412" t="s">
        <v>560</v>
      </c>
      <c r="D15" s="418" t="s">
        <v>592</v>
      </c>
      <c r="E15" s="412"/>
      <c r="F15" s="415" t="s">
        <v>593</v>
      </c>
      <c r="G15" s="424" t="s">
        <v>594</v>
      </c>
      <c r="H15" s="415" t="s">
        <v>595</v>
      </c>
      <c r="I15" s="415" t="s">
        <v>596</v>
      </c>
      <c r="J15" s="416"/>
      <c r="K15" s="412"/>
    </row>
    <row r="16" spans="1:11" ht="15">
      <c r="A16" s="69">
        <f t="shared" si="0"/>
        <v>8</v>
      </c>
      <c r="B16" s="423" t="s">
        <v>597</v>
      </c>
      <c r="C16" s="412" t="s">
        <v>560</v>
      </c>
      <c r="D16" s="418" t="s">
        <v>598</v>
      </c>
      <c r="E16" s="412"/>
      <c r="F16" s="415" t="s">
        <v>593</v>
      </c>
      <c r="G16" s="424" t="s">
        <v>599</v>
      </c>
      <c r="H16" s="415" t="s">
        <v>600</v>
      </c>
      <c r="I16" s="415" t="s">
        <v>601</v>
      </c>
      <c r="J16" s="416"/>
      <c r="K16" s="412"/>
    </row>
    <row r="17" spans="1:11" ht="15">
      <c r="A17" s="69">
        <f t="shared" si="0"/>
        <v>9</v>
      </c>
      <c r="B17" s="423" t="s">
        <v>602</v>
      </c>
      <c r="C17" s="412" t="s">
        <v>560</v>
      </c>
      <c r="D17" s="418" t="s">
        <v>582</v>
      </c>
      <c r="E17" s="412"/>
      <c r="F17" s="414">
        <v>750</v>
      </c>
      <c r="G17" s="424" t="s">
        <v>603</v>
      </c>
      <c r="H17" s="415" t="s">
        <v>604</v>
      </c>
      <c r="I17" s="415" t="s">
        <v>605</v>
      </c>
      <c r="J17" s="416"/>
      <c r="K17" s="412"/>
    </row>
    <row r="18" spans="1:11" ht="15">
      <c r="A18" s="69">
        <f t="shared" si="0"/>
        <v>10</v>
      </c>
      <c r="B18" s="423" t="s">
        <v>606</v>
      </c>
      <c r="C18" s="412" t="s">
        <v>560</v>
      </c>
      <c r="D18" s="425">
        <v>42689</v>
      </c>
      <c r="E18" s="412"/>
      <c r="F18" s="418">
        <v>1000</v>
      </c>
      <c r="G18" s="424" t="s">
        <v>607</v>
      </c>
      <c r="H18" s="415" t="s">
        <v>608</v>
      </c>
      <c r="I18" s="415" t="s">
        <v>609</v>
      </c>
      <c r="J18" s="416"/>
      <c r="K18" s="412"/>
    </row>
    <row r="19" spans="1:11" ht="15">
      <c r="A19" s="69">
        <f t="shared" si="0"/>
        <v>11</v>
      </c>
      <c r="B19" s="426" t="s">
        <v>610</v>
      </c>
      <c r="C19" s="412" t="s">
        <v>560</v>
      </c>
      <c r="D19" s="414" t="s">
        <v>611</v>
      </c>
      <c r="E19" s="412"/>
      <c r="F19" s="427">
        <v>500</v>
      </c>
      <c r="G19" s="428" t="s">
        <v>612</v>
      </c>
      <c r="H19" s="416" t="s">
        <v>613</v>
      </c>
      <c r="I19" s="416" t="s">
        <v>614</v>
      </c>
      <c r="J19" s="416"/>
      <c r="K19" s="412"/>
    </row>
    <row r="20" spans="1:11" ht="15">
      <c r="A20" s="69">
        <f t="shared" si="0"/>
        <v>12</v>
      </c>
      <c r="B20" s="426" t="s">
        <v>615</v>
      </c>
      <c r="C20" s="412" t="s">
        <v>560</v>
      </c>
      <c r="D20" s="414" t="s">
        <v>565</v>
      </c>
      <c r="E20" s="412"/>
      <c r="F20" s="427">
        <v>437.5</v>
      </c>
      <c r="G20" s="428" t="s">
        <v>616</v>
      </c>
      <c r="H20" s="429" t="s">
        <v>617</v>
      </c>
      <c r="I20" s="429" t="s">
        <v>618</v>
      </c>
      <c r="J20" s="416"/>
      <c r="K20" s="412"/>
    </row>
    <row r="21" spans="1:11" ht="15">
      <c r="A21" s="69">
        <f t="shared" si="0"/>
        <v>13</v>
      </c>
      <c r="B21" s="426" t="s">
        <v>619</v>
      </c>
      <c r="C21" s="412" t="s">
        <v>560</v>
      </c>
      <c r="D21" s="414" t="s">
        <v>565</v>
      </c>
      <c r="E21" s="412"/>
      <c r="F21" s="427">
        <v>500</v>
      </c>
      <c r="G21" s="428" t="s">
        <v>620</v>
      </c>
      <c r="H21" s="429" t="s">
        <v>621</v>
      </c>
      <c r="I21" s="429" t="s">
        <v>622</v>
      </c>
      <c r="J21" s="416"/>
      <c r="K21" s="412"/>
    </row>
    <row r="22" spans="1:11" ht="15">
      <c r="A22" s="69">
        <f t="shared" si="0"/>
        <v>14</v>
      </c>
      <c r="B22" s="426" t="s">
        <v>623</v>
      </c>
      <c r="C22" s="412" t="s">
        <v>560</v>
      </c>
      <c r="D22" s="414" t="s">
        <v>624</v>
      </c>
      <c r="E22" s="412"/>
      <c r="F22" s="427">
        <v>500</v>
      </c>
      <c r="G22" s="428" t="s">
        <v>625</v>
      </c>
      <c r="H22" s="429" t="s">
        <v>626</v>
      </c>
      <c r="I22" s="429" t="s">
        <v>627</v>
      </c>
      <c r="J22" s="416"/>
      <c r="K22" s="412"/>
    </row>
    <row r="23" spans="1:11" ht="15">
      <c r="A23" s="69">
        <f t="shared" si="0"/>
        <v>15</v>
      </c>
      <c r="B23" s="426" t="s">
        <v>628</v>
      </c>
      <c r="C23" s="412" t="s">
        <v>560</v>
      </c>
      <c r="D23" s="414" t="s">
        <v>565</v>
      </c>
      <c r="E23" s="414">
        <v>74</v>
      </c>
      <c r="F23" s="427">
        <v>600</v>
      </c>
      <c r="G23" s="428" t="s">
        <v>629</v>
      </c>
      <c r="H23" s="429" t="s">
        <v>630</v>
      </c>
      <c r="I23" s="429" t="s">
        <v>631</v>
      </c>
      <c r="J23" s="416"/>
      <c r="K23" s="412"/>
    </row>
    <row r="24" spans="1:11" ht="15">
      <c r="A24" s="69">
        <f t="shared" si="0"/>
        <v>16</v>
      </c>
      <c r="B24" s="426" t="s">
        <v>632</v>
      </c>
      <c r="C24" s="412" t="s">
        <v>560</v>
      </c>
      <c r="D24" s="414" t="s">
        <v>565</v>
      </c>
      <c r="E24" s="430">
        <v>180</v>
      </c>
      <c r="F24" s="427">
        <v>1125</v>
      </c>
      <c r="G24" s="428" t="s">
        <v>633</v>
      </c>
      <c r="H24" s="429" t="s">
        <v>634</v>
      </c>
      <c r="I24" s="429" t="s">
        <v>635</v>
      </c>
      <c r="J24" s="416"/>
      <c r="K24" s="412"/>
    </row>
    <row r="25" spans="1:11" ht="15">
      <c r="A25" s="69">
        <f t="shared" si="0"/>
        <v>17</v>
      </c>
      <c r="B25" s="426" t="s">
        <v>636</v>
      </c>
      <c r="C25" s="412" t="s">
        <v>560</v>
      </c>
      <c r="D25" s="414" t="s">
        <v>565</v>
      </c>
      <c r="E25" s="430">
        <v>55</v>
      </c>
      <c r="F25" s="427">
        <v>600</v>
      </c>
      <c r="G25" s="428" t="s">
        <v>637</v>
      </c>
      <c r="H25" s="429" t="s">
        <v>638</v>
      </c>
      <c r="I25" s="429" t="s">
        <v>639</v>
      </c>
      <c r="J25" s="416"/>
      <c r="K25" s="412"/>
    </row>
    <row r="26" spans="1:11" ht="15">
      <c r="A26" s="69">
        <f t="shared" si="0"/>
        <v>18</v>
      </c>
      <c r="B26" s="426" t="s">
        <v>640</v>
      </c>
      <c r="C26" s="412" t="s">
        <v>560</v>
      </c>
      <c r="D26" s="414" t="s">
        <v>565</v>
      </c>
      <c r="E26" s="430">
        <v>60</v>
      </c>
      <c r="F26" s="427">
        <v>400</v>
      </c>
      <c r="G26" s="428" t="s">
        <v>641</v>
      </c>
      <c r="H26" s="429" t="s">
        <v>642</v>
      </c>
      <c r="I26" s="429" t="s">
        <v>643</v>
      </c>
      <c r="J26" s="416"/>
      <c r="K26" s="412"/>
    </row>
    <row r="27" spans="1:11" ht="15">
      <c r="A27" s="69">
        <f t="shared" si="0"/>
        <v>19</v>
      </c>
      <c r="B27" s="426" t="s">
        <v>644</v>
      </c>
      <c r="C27" s="412" t="s">
        <v>560</v>
      </c>
      <c r="D27" s="414" t="s">
        <v>565</v>
      </c>
      <c r="E27" s="431">
        <v>80</v>
      </c>
      <c r="F27" s="427">
        <v>1250</v>
      </c>
      <c r="G27" s="428" t="s">
        <v>645</v>
      </c>
      <c r="H27" s="416" t="s">
        <v>646</v>
      </c>
      <c r="I27" s="416" t="s">
        <v>647</v>
      </c>
      <c r="J27" s="416"/>
      <c r="K27" s="412"/>
    </row>
    <row r="28" spans="1:11" ht="15">
      <c r="A28" s="69">
        <f t="shared" si="0"/>
        <v>20</v>
      </c>
      <c r="B28" s="426" t="s">
        <v>648</v>
      </c>
      <c r="C28" s="412" t="s">
        <v>560</v>
      </c>
      <c r="D28" s="414" t="s">
        <v>565</v>
      </c>
      <c r="E28" s="431">
        <v>42</v>
      </c>
      <c r="F28" s="427">
        <v>250</v>
      </c>
      <c r="G28" s="428" t="s">
        <v>649</v>
      </c>
      <c r="H28" s="429" t="s">
        <v>650</v>
      </c>
      <c r="I28" s="429" t="s">
        <v>651</v>
      </c>
      <c r="J28" s="416"/>
      <c r="K28" s="412"/>
    </row>
    <row r="29" spans="1:11" ht="15">
      <c r="A29" s="69">
        <f t="shared" si="0"/>
        <v>21</v>
      </c>
      <c r="B29" s="426" t="s">
        <v>652</v>
      </c>
      <c r="C29" s="412" t="s">
        <v>560</v>
      </c>
      <c r="D29" s="414" t="s">
        <v>565</v>
      </c>
      <c r="E29" s="430">
        <v>80</v>
      </c>
      <c r="F29" s="427">
        <v>750</v>
      </c>
      <c r="G29" s="428" t="s">
        <v>653</v>
      </c>
      <c r="H29" s="429" t="s">
        <v>654</v>
      </c>
      <c r="I29" s="429" t="s">
        <v>655</v>
      </c>
      <c r="J29" s="416"/>
      <c r="K29" s="412"/>
    </row>
    <row r="30" spans="1:11" ht="15">
      <c r="A30" s="69">
        <f t="shared" si="0"/>
        <v>22</v>
      </c>
      <c r="B30" s="432" t="s">
        <v>656</v>
      </c>
      <c r="C30" s="412" t="s">
        <v>560</v>
      </c>
      <c r="D30" s="414" t="s">
        <v>565</v>
      </c>
      <c r="E30" s="412"/>
      <c r="F30" s="427">
        <v>275</v>
      </c>
      <c r="G30" s="428" t="s">
        <v>657</v>
      </c>
      <c r="H30" s="429" t="s">
        <v>658</v>
      </c>
      <c r="I30" s="429" t="s">
        <v>659</v>
      </c>
      <c r="J30" s="416"/>
      <c r="K30" s="412"/>
    </row>
    <row r="31" spans="1:11" ht="15">
      <c r="A31" s="69">
        <f t="shared" si="0"/>
        <v>23</v>
      </c>
      <c r="B31" s="433" t="s">
        <v>660</v>
      </c>
      <c r="C31" s="412" t="s">
        <v>560</v>
      </c>
      <c r="D31" s="414" t="s">
        <v>565</v>
      </c>
      <c r="E31" s="412"/>
      <c r="F31" s="430">
        <v>500</v>
      </c>
      <c r="G31" s="420" t="s">
        <v>661</v>
      </c>
      <c r="H31" s="416" t="s">
        <v>662</v>
      </c>
      <c r="I31" s="416" t="s">
        <v>663</v>
      </c>
      <c r="J31" s="416"/>
      <c r="K31" s="412"/>
    </row>
    <row r="32" spans="1:11" ht="15">
      <c r="A32" s="69">
        <f t="shared" si="0"/>
        <v>24</v>
      </c>
      <c r="B32" s="433" t="s">
        <v>664</v>
      </c>
      <c r="C32" s="412" t="s">
        <v>560</v>
      </c>
      <c r="D32" s="414" t="s">
        <v>565</v>
      </c>
      <c r="E32" s="412"/>
      <c r="F32" s="430">
        <v>500</v>
      </c>
      <c r="G32" s="420" t="s">
        <v>665</v>
      </c>
      <c r="H32" s="416" t="s">
        <v>666</v>
      </c>
      <c r="I32" s="416" t="s">
        <v>667</v>
      </c>
      <c r="J32" s="416"/>
      <c r="K32" s="412"/>
    </row>
    <row r="33" spans="1:11" ht="15">
      <c r="A33" s="69">
        <f t="shared" si="0"/>
        <v>25</v>
      </c>
      <c r="B33" s="433" t="s">
        <v>668</v>
      </c>
      <c r="C33" s="412" t="s">
        <v>560</v>
      </c>
      <c r="D33" s="414" t="s">
        <v>565</v>
      </c>
      <c r="E33" s="412"/>
      <c r="F33" s="434">
        <v>500</v>
      </c>
      <c r="G33" s="420" t="s">
        <v>669</v>
      </c>
      <c r="H33" s="435" t="s">
        <v>670</v>
      </c>
      <c r="I33" s="435" t="s">
        <v>671</v>
      </c>
      <c r="J33" s="416"/>
      <c r="K33" s="412"/>
    </row>
    <row r="34" spans="1:11" ht="15">
      <c r="A34" s="69">
        <f t="shared" si="0"/>
        <v>26</v>
      </c>
      <c r="B34" s="433" t="s">
        <v>672</v>
      </c>
      <c r="C34" s="412" t="s">
        <v>560</v>
      </c>
      <c r="D34" s="414" t="s">
        <v>565</v>
      </c>
      <c r="E34" s="412"/>
      <c r="F34" s="434">
        <v>400</v>
      </c>
      <c r="G34" s="420" t="s">
        <v>673</v>
      </c>
      <c r="H34" s="416" t="s">
        <v>674</v>
      </c>
      <c r="I34" s="416" t="s">
        <v>675</v>
      </c>
      <c r="J34" s="416"/>
      <c r="K34" s="412"/>
    </row>
    <row r="35" spans="1:11" ht="15">
      <c r="A35" s="69">
        <f t="shared" si="0"/>
        <v>27</v>
      </c>
      <c r="B35" s="433" t="s">
        <v>676</v>
      </c>
      <c r="C35" s="412" t="s">
        <v>560</v>
      </c>
      <c r="D35" s="414" t="s">
        <v>565</v>
      </c>
      <c r="E35" s="412"/>
      <c r="F35" s="434">
        <v>440</v>
      </c>
      <c r="G35" s="435">
        <v>35001088312</v>
      </c>
      <c r="H35" s="435" t="s">
        <v>677</v>
      </c>
      <c r="I35" s="435" t="s">
        <v>678</v>
      </c>
      <c r="J35" s="416"/>
      <c r="K35" s="412"/>
    </row>
    <row r="36" spans="1:11" ht="15">
      <c r="A36" s="69">
        <f t="shared" si="0"/>
        <v>28</v>
      </c>
      <c r="B36" s="433" t="s">
        <v>679</v>
      </c>
      <c r="C36" s="412" t="s">
        <v>560</v>
      </c>
      <c r="D36" s="414" t="s">
        <v>565</v>
      </c>
      <c r="E36" s="412"/>
      <c r="F36" s="434">
        <v>500</v>
      </c>
      <c r="G36" s="420" t="s">
        <v>680</v>
      </c>
      <c r="H36" s="435" t="s">
        <v>681</v>
      </c>
      <c r="I36" s="435" t="s">
        <v>682</v>
      </c>
      <c r="J36" s="416"/>
      <c r="K36" s="412"/>
    </row>
    <row r="37" spans="1:11" ht="15">
      <c r="A37" s="69">
        <f t="shared" si="0"/>
        <v>29</v>
      </c>
      <c r="B37" s="433" t="s">
        <v>683</v>
      </c>
      <c r="C37" s="412" t="s">
        <v>560</v>
      </c>
      <c r="D37" s="414" t="s">
        <v>582</v>
      </c>
      <c r="E37" s="412"/>
      <c r="F37" s="434">
        <v>500</v>
      </c>
      <c r="G37" s="435">
        <v>47001001593</v>
      </c>
      <c r="H37" s="435" t="s">
        <v>684</v>
      </c>
      <c r="I37" s="435" t="s">
        <v>685</v>
      </c>
      <c r="J37" s="416"/>
      <c r="K37" s="412"/>
    </row>
    <row r="38" spans="1:11" ht="15">
      <c r="A38" s="69">
        <f t="shared" si="0"/>
        <v>30</v>
      </c>
      <c r="B38" s="436" t="s">
        <v>686</v>
      </c>
      <c r="C38" s="412" t="s">
        <v>560</v>
      </c>
      <c r="D38" s="414" t="s">
        <v>582</v>
      </c>
      <c r="E38" s="414">
        <v>15</v>
      </c>
      <c r="F38" s="434">
        <v>153</v>
      </c>
      <c r="G38" s="417"/>
      <c r="H38" s="417"/>
      <c r="I38" s="417"/>
      <c r="J38" s="437">
        <v>404907730</v>
      </c>
      <c r="K38" s="417" t="s">
        <v>687</v>
      </c>
    </row>
    <row r="39" spans="1:11" ht="15">
      <c r="A39" s="69">
        <f t="shared" si="0"/>
        <v>31</v>
      </c>
      <c r="B39" s="436" t="s">
        <v>688</v>
      </c>
      <c r="C39" s="412" t="s">
        <v>560</v>
      </c>
      <c r="D39" s="414" t="s">
        <v>582</v>
      </c>
      <c r="E39" s="412"/>
      <c r="F39" s="434">
        <v>1000</v>
      </c>
      <c r="G39" s="419" t="s">
        <v>689</v>
      </c>
      <c r="H39" s="417" t="s">
        <v>690</v>
      </c>
      <c r="I39" s="417" t="s">
        <v>691</v>
      </c>
      <c r="J39" s="416"/>
      <c r="K39" s="412"/>
    </row>
    <row r="40" spans="1:11" ht="30">
      <c r="A40" s="69">
        <f t="shared" si="0"/>
        <v>32</v>
      </c>
      <c r="B40" s="412" t="s">
        <v>692</v>
      </c>
      <c r="C40" s="412" t="s">
        <v>560</v>
      </c>
      <c r="D40" s="413">
        <v>42660</v>
      </c>
      <c r="E40" s="412"/>
      <c r="F40" s="414">
        <v>500</v>
      </c>
      <c r="G40" s="438">
        <v>43001014473</v>
      </c>
      <c r="H40" s="416" t="s">
        <v>693</v>
      </c>
      <c r="I40" s="416" t="s">
        <v>694</v>
      </c>
      <c r="J40" s="416"/>
      <c r="K40" s="412"/>
    </row>
    <row r="41" spans="1:11" ht="15">
      <c r="A41" s="69">
        <f t="shared" si="0"/>
        <v>33</v>
      </c>
      <c r="B41" s="412" t="s">
        <v>695</v>
      </c>
      <c r="C41" s="412" t="s">
        <v>560</v>
      </c>
      <c r="D41" s="413">
        <v>42670</v>
      </c>
      <c r="E41" s="412"/>
      <c r="F41" s="414">
        <v>625</v>
      </c>
      <c r="G41" s="428" t="s">
        <v>696</v>
      </c>
      <c r="H41" s="416" t="s">
        <v>697</v>
      </c>
      <c r="I41" s="416" t="s">
        <v>698</v>
      </c>
      <c r="J41" s="416"/>
      <c r="K41" s="412"/>
    </row>
    <row r="42" spans="1:11" ht="15">
      <c r="A42" s="69">
        <f t="shared" si="0"/>
        <v>34</v>
      </c>
      <c r="B42" s="426" t="s">
        <v>699</v>
      </c>
      <c r="C42" s="412" t="s">
        <v>560</v>
      </c>
      <c r="D42" s="413">
        <v>42691</v>
      </c>
      <c r="E42" s="412"/>
      <c r="F42" s="414">
        <v>312.5</v>
      </c>
      <c r="G42" s="428" t="s">
        <v>700</v>
      </c>
      <c r="H42" s="416" t="s">
        <v>701</v>
      </c>
      <c r="I42" s="416" t="s">
        <v>702</v>
      </c>
      <c r="J42" s="416"/>
      <c r="K42" s="412"/>
    </row>
    <row r="43" spans="1:11" ht="30">
      <c r="A43" s="69">
        <f t="shared" si="0"/>
        <v>35</v>
      </c>
      <c r="B43" s="433" t="s">
        <v>703</v>
      </c>
      <c r="C43" s="412" t="s">
        <v>560</v>
      </c>
      <c r="D43" s="413">
        <v>42691</v>
      </c>
      <c r="E43" s="412"/>
      <c r="F43" s="414">
        <v>625</v>
      </c>
      <c r="G43" s="428" t="s">
        <v>704</v>
      </c>
      <c r="H43" s="416" t="s">
        <v>705</v>
      </c>
      <c r="I43" s="416" t="s">
        <v>706</v>
      </c>
      <c r="J43" s="416"/>
      <c r="K43" s="412"/>
    </row>
    <row r="44" spans="1:11" ht="15">
      <c r="A44" s="69">
        <f t="shared" si="0"/>
        <v>36</v>
      </c>
      <c r="B44" s="433" t="s">
        <v>707</v>
      </c>
      <c r="C44" s="412" t="s">
        <v>560</v>
      </c>
      <c r="D44" s="413">
        <v>42658</v>
      </c>
      <c r="E44" s="412"/>
      <c r="F44" s="414">
        <v>250</v>
      </c>
      <c r="G44" s="420" t="s">
        <v>708</v>
      </c>
      <c r="H44" s="416" t="s">
        <v>709</v>
      </c>
      <c r="I44" s="416" t="s">
        <v>710</v>
      </c>
      <c r="J44" s="416"/>
      <c r="K44" s="412"/>
    </row>
    <row r="45" spans="1:11" ht="15">
      <c r="A45" s="69">
        <f t="shared" si="0"/>
        <v>37</v>
      </c>
      <c r="B45" s="433" t="s">
        <v>711</v>
      </c>
      <c r="C45" s="412" t="s">
        <v>560</v>
      </c>
      <c r="D45" s="413">
        <v>42684</v>
      </c>
      <c r="E45" s="412"/>
      <c r="F45" s="414">
        <v>400</v>
      </c>
      <c r="G45" s="428" t="s">
        <v>712</v>
      </c>
      <c r="H45" s="416" t="s">
        <v>713</v>
      </c>
      <c r="I45" s="416" t="s">
        <v>714</v>
      </c>
      <c r="J45" s="416"/>
      <c r="K45" s="412"/>
    </row>
    <row r="46" spans="1:11" ht="15">
      <c r="A46" s="69">
        <f t="shared" si="0"/>
        <v>38</v>
      </c>
      <c r="B46" s="433" t="s">
        <v>715</v>
      </c>
      <c r="C46" s="412" t="s">
        <v>560</v>
      </c>
      <c r="D46" s="413">
        <v>42684</v>
      </c>
      <c r="E46" s="412"/>
      <c r="F46" s="414">
        <v>750</v>
      </c>
      <c r="G46" s="428" t="s">
        <v>716</v>
      </c>
      <c r="H46" s="416" t="s">
        <v>717</v>
      </c>
      <c r="I46" s="416" t="s">
        <v>718</v>
      </c>
      <c r="J46" s="416"/>
      <c r="K46" s="412"/>
    </row>
    <row r="47" spans="1:11" ht="15">
      <c r="A47" s="69">
        <f t="shared" si="0"/>
        <v>39</v>
      </c>
      <c r="B47" s="433" t="s">
        <v>719</v>
      </c>
      <c r="C47" s="412" t="s">
        <v>560</v>
      </c>
      <c r="D47" s="413">
        <v>42682</v>
      </c>
      <c r="E47" s="412"/>
      <c r="F47" s="414">
        <v>600</v>
      </c>
      <c r="G47" s="420" t="s">
        <v>720</v>
      </c>
      <c r="H47" s="416" t="s">
        <v>721</v>
      </c>
      <c r="I47" s="416" t="s">
        <v>722</v>
      </c>
      <c r="J47" s="416"/>
      <c r="K47" s="412"/>
    </row>
    <row r="48" spans="1:11" ht="15">
      <c r="A48" s="69">
        <f t="shared" si="0"/>
        <v>40</v>
      </c>
      <c r="B48" s="426" t="s">
        <v>723</v>
      </c>
      <c r="C48" s="412" t="s">
        <v>560</v>
      </c>
      <c r="D48" s="413">
        <v>42694</v>
      </c>
      <c r="E48" s="412"/>
      <c r="F48" s="414">
        <v>500</v>
      </c>
      <c r="G48" s="420" t="s">
        <v>724</v>
      </c>
      <c r="H48" s="416" t="s">
        <v>725</v>
      </c>
      <c r="I48" s="416" t="s">
        <v>726</v>
      </c>
      <c r="J48" s="416"/>
      <c r="K48" s="412"/>
    </row>
    <row r="49" spans="1:11" ht="15">
      <c r="A49" s="69">
        <f t="shared" si="0"/>
        <v>41</v>
      </c>
      <c r="B49" s="426" t="s">
        <v>727</v>
      </c>
      <c r="C49" s="412" t="s">
        <v>560</v>
      </c>
      <c r="D49" s="413">
        <v>42674</v>
      </c>
      <c r="E49" s="412"/>
      <c r="F49" s="427">
        <v>625</v>
      </c>
      <c r="G49" s="428" t="s">
        <v>728</v>
      </c>
      <c r="H49" s="439" t="s">
        <v>729</v>
      </c>
      <c r="I49" s="416" t="s">
        <v>730</v>
      </c>
      <c r="J49" s="416"/>
      <c r="K49" s="412"/>
    </row>
    <row r="50" spans="1:11" ht="15">
      <c r="A50" s="69">
        <f t="shared" si="0"/>
        <v>42</v>
      </c>
      <c r="B50" s="426" t="s">
        <v>731</v>
      </c>
      <c r="C50" s="412" t="s">
        <v>560</v>
      </c>
      <c r="D50" s="413">
        <v>42653</v>
      </c>
      <c r="E50" s="412"/>
      <c r="F50" s="427">
        <v>500</v>
      </c>
      <c r="G50" s="428" t="s">
        <v>732</v>
      </c>
      <c r="H50" s="439" t="s">
        <v>733</v>
      </c>
      <c r="I50" s="416" t="s">
        <v>734</v>
      </c>
      <c r="J50" s="416"/>
      <c r="K50" s="412"/>
    </row>
    <row r="51" spans="1:11" ht="15">
      <c r="A51" s="69">
        <f t="shared" si="0"/>
        <v>43</v>
      </c>
      <c r="B51" s="426" t="s">
        <v>735</v>
      </c>
      <c r="C51" s="412" t="s">
        <v>560</v>
      </c>
      <c r="D51" s="413">
        <v>42694</v>
      </c>
      <c r="E51" s="412"/>
      <c r="F51" s="427">
        <v>750</v>
      </c>
      <c r="G51" s="428" t="s">
        <v>736</v>
      </c>
      <c r="H51" s="439" t="s">
        <v>733</v>
      </c>
      <c r="I51" s="416" t="s">
        <v>737</v>
      </c>
      <c r="J51" s="416"/>
      <c r="K51" s="412"/>
    </row>
    <row r="52" spans="1:11" ht="15">
      <c r="A52" s="69">
        <f t="shared" si="0"/>
        <v>44</v>
      </c>
      <c r="B52" s="426" t="s">
        <v>738</v>
      </c>
      <c r="C52" s="412" t="s">
        <v>560</v>
      </c>
      <c r="D52" s="413">
        <v>42675</v>
      </c>
      <c r="E52" s="412"/>
      <c r="F52" s="427">
        <v>500</v>
      </c>
      <c r="G52" s="428" t="s">
        <v>739</v>
      </c>
      <c r="H52" s="439" t="s">
        <v>740</v>
      </c>
      <c r="I52" s="416" t="s">
        <v>741</v>
      </c>
      <c r="J52" s="416"/>
      <c r="K52" s="412"/>
    </row>
    <row r="53" spans="1:11" ht="15">
      <c r="A53" s="69">
        <f t="shared" si="0"/>
        <v>45</v>
      </c>
      <c r="B53" s="426" t="s">
        <v>742</v>
      </c>
      <c r="C53" s="412" t="s">
        <v>560</v>
      </c>
      <c r="D53" s="413">
        <v>42663</v>
      </c>
      <c r="E53" s="412"/>
      <c r="F53" s="427">
        <v>437.5</v>
      </c>
      <c r="G53" s="428" t="s">
        <v>743</v>
      </c>
      <c r="H53" s="439" t="s">
        <v>744</v>
      </c>
      <c r="I53" s="416" t="s">
        <v>745</v>
      </c>
      <c r="J53" s="416"/>
      <c r="K53" s="412"/>
    </row>
    <row r="54" spans="1:11" ht="15">
      <c r="A54" s="69">
        <f t="shared" si="0"/>
        <v>46</v>
      </c>
      <c r="B54" s="440" t="s">
        <v>746</v>
      </c>
      <c r="C54" s="412" t="s">
        <v>560</v>
      </c>
      <c r="D54" s="413">
        <v>42663</v>
      </c>
      <c r="E54" s="412"/>
      <c r="F54" s="434">
        <v>500</v>
      </c>
      <c r="G54" s="435">
        <v>49001012385</v>
      </c>
      <c r="H54" s="441" t="s">
        <v>747</v>
      </c>
      <c r="I54" s="416" t="s">
        <v>748</v>
      </c>
      <c r="J54" s="416"/>
      <c r="K54" s="412"/>
    </row>
    <row r="55" spans="1:11" ht="15">
      <c r="A55" s="69">
        <f t="shared" si="0"/>
        <v>47</v>
      </c>
      <c r="B55" s="426" t="s">
        <v>749</v>
      </c>
      <c r="C55" s="412" t="s">
        <v>560</v>
      </c>
      <c r="D55" s="413">
        <v>42675</v>
      </c>
      <c r="E55" s="414">
        <v>70</v>
      </c>
      <c r="F55" s="427">
        <v>625</v>
      </c>
      <c r="G55" s="428" t="s">
        <v>750</v>
      </c>
      <c r="H55" s="429" t="s">
        <v>751</v>
      </c>
      <c r="I55" s="429" t="s">
        <v>752</v>
      </c>
      <c r="J55" s="416"/>
      <c r="K55" s="412"/>
    </row>
    <row r="56" spans="1:11" ht="15">
      <c r="A56" s="69">
        <f t="shared" si="0"/>
        <v>48</v>
      </c>
      <c r="B56" s="426" t="s">
        <v>753</v>
      </c>
      <c r="C56" s="412" t="s">
        <v>560</v>
      </c>
      <c r="D56" s="413">
        <v>42684</v>
      </c>
      <c r="E56" s="412"/>
      <c r="F56" s="434">
        <v>500</v>
      </c>
      <c r="G56" s="428" t="s">
        <v>754</v>
      </c>
      <c r="H56" s="429" t="s">
        <v>755</v>
      </c>
      <c r="I56" s="429" t="s">
        <v>756</v>
      </c>
      <c r="J56" s="416"/>
      <c r="K56" s="412"/>
    </row>
    <row r="57" spans="1:11" ht="15">
      <c r="A57" s="442">
        <f t="shared" si="0"/>
        <v>49</v>
      </c>
      <c r="B57" s="536" t="s">
        <v>757</v>
      </c>
      <c r="C57" s="538" t="s">
        <v>560</v>
      </c>
      <c r="D57" s="540">
        <v>42684</v>
      </c>
      <c r="E57" s="542">
        <v>80</v>
      </c>
      <c r="F57" s="533">
        <v>500</v>
      </c>
      <c r="G57" s="428" t="s">
        <v>758</v>
      </c>
      <c r="H57" s="429" t="s">
        <v>759</v>
      </c>
      <c r="I57" s="429" t="s">
        <v>760</v>
      </c>
      <c r="J57" s="416"/>
      <c r="K57" s="412"/>
    </row>
    <row r="58" spans="1:11" ht="15">
      <c r="A58" s="443"/>
      <c r="B58" s="537"/>
      <c r="C58" s="539"/>
      <c r="D58" s="541"/>
      <c r="E58" s="543"/>
      <c r="F58" s="534"/>
      <c r="G58" s="428" t="s">
        <v>761</v>
      </c>
      <c r="H58" s="429" t="s">
        <v>762</v>
      </c>
      <c r="I58" s="429" t="s">
        <v>763</v>
      </c>
      <c r="J58" s="416"/>
      <c r="K58" s="412"/>
    </row>
    <row r="59" spans="1:11" ht="15">
      <c r="A59" s="69">
        <f>A57+1</f>
        <v>50</v>
      </c>
      <c r="B59" s="426" t="s">
        <v>764</v>
      </c>
      <c r="C59" s="412" t="s">
        <v>560</v>
      </c>
      <c r="D59" s="413">
        <v>42684</v>
      </c>
      <c r="E59" s="414">
        <v>44</v>
      </c>
      <c r="F59" s="434">
        <v>625</v>
      </c>
      <c r="G59" s="428" t="s">
        <v>765</v>
      </c>
      <c r="H59" s="429" t="s">
        <v>766</v>
      </c>
      <c r="I59" s="429" t="s">
        <v>767</v>
      </c>
      <c r="J59" s="416"/>
      <c r="K59" s="412"/>
    </row>
    <row r="60" spans="1:11" ht="15">
      <c r="A60" s="69">
        <f t="shared" si="0"/>
        <v>51</v>
      </c>
      <c r="B60" s="426" t="s">
        <v>768</v>
      </c>
      <c r="C60" s="412" t="s">
        <v>560</v>
      </c>
      <c r="D60" s="413">
        <v>42658</v>
      </c>
      <c r="E60" s="430"/>
      <c r="F60" s="427">
        <v>300</v>
      </c>
      <c r="G60" s="428" t="s">
        <v>769</v>
      </c>
      <c r="H60" s="429" t="s">
        <v>770</v>
      </c>
      <c r="I60" s="429" t="s">
        <v>771</v>
      </c>
      <c r="J60" s="416"/>
      <c r="K60" s="412"/>
    </row>
    <row r="61" spans="1:11" ht="15">
      <c r="A61" s="69">
        <f t="shared" si="0"/>
        <v>52</v>
      </c>
      <c r="B61" s="426" t="s">
        <v>772</v>
      </c>
      <c r="C61" s="412" t="s">
        <v>560</v>
      </c>
      <c r="D61" s="413">
        <v>42689</v>
      </c>
      <c r="E61" s="430">
        <v>44</v>
      </c>
      <c r="F61" s="434">
        <v>500</v>
      </c>
      <c r="G61" s="435"/>
      <c r="H61" s="441"/>
      <c r="I61" s="416"/>
      <c r="J61" s="428" t="s">
        <v>773</v>
      </c>
      <c r="K61" s="429" t="s">
        <v>774</v>
      </c>
    </row>
    <row r="62" spans="1:11" ht="15">
      <c r="A62" s="69">
        <f t="shared" si="0"/>
        <v>53</v>
      </c>
      <c r="B62" s="426" t="s">
        <v>775</v>
      </c>
      <c r="C62" s="412" t="s">
        <v>560</v>
      </c>
      <c r="D62" s="413">
        <v>42663</v>
      </c>
      <c r="E62" s="430"/>
      <c r="F62" s="427">
        <v>625</v>
      </c>
      <c r="G62" s="428" t="s">
        <v>776</v>
      </c>
      <c r="H62" s="429" t="s">
        <v>777</v>
      </c>
      <c r="I62" s="429" t="s">
        <v>778</v>
      </c>
      <c r="J62" s="416"/>
      <c r="K62" s="412"/>
    </row>
    <row r="63" spans="1:11" ht="15">
      <c r="A63" s="69">
        <f t="shared" si="0"/>
        <v>54</v>
      </c>
      <c r="B63" s="426" t="s">
        <v>779</v>
      </c>
      <c r="C63" s="412" t="s">
        <v>560</v>
      </c>
      <c r="D63" s="413">
        <v>42675</v>
      </c>
      <c r="E63" s="430">
        <v>48</v>
      </c>
      <c r="F63" s="427">
        <v>360</v>
      </c>
      <c r="G63" s="428" t="s">
        <v>780</v>
      </c>
      <c r="H63" s="429" t="s">
        <v>781</v>
      </c>
      <c r="I63" s="429" t="s">
        <v>782</v>
      </c>
      <c r="J63" s="416"/>
      <c r="K63" s="412"/>
    </row>
    <row r="64" spans="1:11" ht="15">
      <c r="A64" s="69">
        <f t="shared" si="0"/>
        <v>55</v>
      </c>
      <c r="B64" s="426" t="s">
        <v>783</v>
      </c>
      <c r="C64" s="412" t="s">
        <v>560</v>
      </c>
      <c r="D64" s="413">
        <v>42657</v>
      </c>
      <c r="E64" s="430">
        <v>180</v>
      </c>
      <c r="F64" s="435" t="s">
        <v>784</v>
      </c>
      <c r="G64" s="428" t="s">
        <v>785</v>
      </c>
      <c r="H64" s="429" t="s">
        <v>786</v>
      </c>
      <c r="I64" s="429" t="s">
        <v>787</v>
      </c>
      <c r="J64" s="416"/>
      <c r="K64" s="412"/>
    </row>
    <row r="65" spans="1:11" ht="15">
      <c r="A65" s="69">
        <f t="shared" si="0"/>
        <v>56</v>
      </c>
      <c r="B65" s="426" t="s">
        <v>788</v>
      </c>
      <c r="C65" s="412" t="s">
        <v>560</v>
      </c>
      <c r="D65" s="413">
        <v>42674</v>
      </c>
      <c r="E65" s="430">
        <v>70</v>
      </c>
      <c r="F65" s="427">
        <v>625</v>
      </c>
      <c r="G65" s="428" t="s">
        <v>789</v>
      </c>
      <c r="H65" s="429" t="s">
        <v>790</v>
      </c>
      <c r="I65" s="429" t="s">
        <v>791</v>
      </c>
      <c r="J65" s="416"/>
      <c r="K65" s="412"/>
    </row>
    <row r="66" spans="1:11" ht="15">
      <c r="A66" s="69">
        <f t="shared" si="0"/>
        <v>57</v>
      </c>
      <c r="B66" s="426" t="s">
        <v>792</v>
      </c>
      <c r="C66" s="412" t="s">
        <v>560</v>
      </c>
      <c r="D66" s="413">
        <v>42675</v>
      </c>
      <c r="E66" s="430">
        <v>25</v>
      </c>
      <c r="F66" s="427">
        <v>500</v>
      </c>
      <c r="G66" s="428" t="s">
        <v>793</v>
      </c>
      <c r="H66" s="429" t="s">
        <v>794</v>
      </c>
      <c r="I66" s="429" t="s">
        <v>795</v>
      </c>
      <c r="J66" s="416"/>
      <c r="K66" s="412"/>
    </row>
    <row r="67" spans="1:11" ht="15">
      <c r="A67" s="69">
        <f t="shared" si="0"/>
        <v>58</v>
      </c>
      <c r="B67" s="426" t="s">
        <v>796</v>
      </c>
      <c r="C67" s="412" t="s">
        <v>560</v>
      </c>
      <c r="D67" s="413">
        <v>42675</v>
      </c>
      <c r="E67" s="430">
        <v>25</v>
      </c>
      <c r="F67" s="427">
        <v>375</v>
      </c>
      <c r="G67" s="428" t="s">
        <v>797</v>
      </c>
      <c r="H67" s="429" t="s">
        <v>634</v>
      </c>
      <c r="I67" s="429" t="s">
        <v>798</v>
      </c>
      <c r="J67" s="416"/>
      <c r="K67" s="412"/>
    </row>
    <row r="68" spans="1:11" ht="15">
      <c r="A68" s="69">
        <f t="shared" si="0"/>
        <v>59</v>
      </c>
      <c r="B68" s="444" t="s">
        <v>799</v>
      </c>
      <c r="C68" s="412" t="s">
        <v>560</v>
      </c>
      <c r="D68" s="413">
        <v>42672</v>
      </c>
      <c r="E68" s="430">
        <v>62</v>
      </c>
      <c r="F68" s="427">
        <v>600</v>
      </c>
      <c r="G68" s="428" t="s">
        <v>800</v>
      </c>
      <c r="H68" s="429" t="s">
        <v>801</v>
      </c>
      <c r="I68" s="429" t="s">
        <v>802</v>
      </c>
      <c r="J68" s="416"/>
      <c r="K68" s="412"/>
    </row>
    <row r="69" spans="1:11" ht="15">
      <c r="A69" s="69">
        <f t="shared" si="0"/>
        <v>60</v>
      </c>
      <c r="B69" s="426" t="s">
        <v>803</v>
      </c>
      <c r="C69" s="412" t="s">
        <v>560</v>
      </c>
      <c r="D69" s="413">
        <v>42653</v>
      </c>
      <c r="E69" s="430">
        <v>50</v>
      </c>
      <c r="F69" s="427">
        <v>500</v>
      </c>
      <c r="G69" s="428" t="s">
        <v>804</v>
      </c>
      <c r="H69" s="429" t="s">
        <v>805</v>
      </c>
      <c r="I69" s="429" t="s">
        <v>806</v>
      </c>
      <c r="J69" s="416"/>
      <c r="K69" s="412"/>
    </row>
    <row r="70" spans="1:11" ht="15">
      <c r="A70" s="69">
        <f t="shared" si="0"/>
        <v>61</v>
      </c>
      <c r="B70" s="433" t="s">
        <v>807</v>
      </c>
      <c r="C70" s="412" t="s">
        <v>560</v>
      </c>
      <c r="D70" s="413">
        <v>42916</v>
      </c>
      <c r="E70" s="445">
        <v>70</v>
      </c>
      <c r="F70" s="430">
        <v>800</v>
      </c>
      <c r="G70" s="420" t="s">
        <v>808</v>
      </c>
      <c r="H70" s="435" t="s">
        <v>809</v>
      </c>
      <c r="I70" s="435" t="s">
        <v>810</v>
      </c>
      <c r="J70" s="416"/>
      <c r="K70" s="412"/>
    </row>
    <row r="71" spans="1:11" ht="15">
      <c r="A71" s="69">
        <f t="shared" si="0"/>
        <v>62</v>
      </c>
      <c r="B71" s="433" t="s">
        <v>811</v>
      </c>
      <c r="C71" s="412" t="s">
        <v>560</v>
      </c>
      <c r="D71" s="413">
        <v>42658</v>
      </c>
      <c r="E71" s="445">
        <v>42</v>
      </c>
      <c r="F71" s="430">
        <v>312.5</v>
      </c>
      <c r="G71" s="420" t="s">
        <v>812</v>
      </c>
      <c r="H71" s="435" t="s">
        <v>813</v>
      </c>
      <c r="I71" s="435" t="s">
        <v>814</v>
      </c>
      <c r="J71" s="416"/>
      <c r="K71" s="412"/>
    </row>
    <row r="72" spans="1:11" ht="15">
      <c r="A72" s="69">
        <f t="shared" si="0"/>
        <v>63</v>
      </c>
      <c r="B72" s="433" t="s">
        <v>815</v>
      </c>
      <c r="C72" s="412" t="s">
        <v>560</v>
      </c>
      <c r="D72" s="413">
        <v>42675</v>
      </c>
      <c r="E72" s="430"/>
      <c r="F72" s="430">
        <v>500</v>
      </c>
      <c r="G72" s="420" t="s">
        <v>816</v>
      </c>
      <c r="H72" s="435" t="s">
        <v>817</v>
      </c>
      <c r="I72" s="435" t="s">
        <v>818</v>
      </c>
      <c r="J72" s="416"/>
      <c r="K72" s="412"/>
    </row>
    <row r="73" spans="1:11" ht="15">
      <c r="A73" s="69">
        <f t="shared" si="0"/>
        <v>64</v>
      </c>
      <c r="B73" s="426" t="s">
        <v>819</v>
      </c>
      <c r="C73" s="412" t="s">
        <v>560</v>
      </c>
      <c r="D73" s="413">
        <v>42672</v>
      </c>
      <c r="E73" s="430">
        <v>40</v>
      </c>
      <c r="F73" s="427">
        <v>250</v>
      </c>
      <c r="G73" s="428" t="s">
        <v>820</v>
      </c>
      <c r="H73" s="429" t="s">
        <v>821</v>
      </c>
      <c r="I73" s="429" t="s">
        <v>822</v>
      </c>
      <c r="J73" s="416"/>
      <c r="K73" s="412"/>
    </row>
    <row r="74" spans="1:11" ht="15">
      <c r="A74" s="69">
        <f t="shared" si="0"/>
        <v>65</v>
      </c>
      <c r="B74" s="436" t="s">
        <v>823</v>
      </c>
      <c r="C74" s="412" t="s">
        <v>560</v>
      </c>
      <c r="D74" s="413">
        <v>42653</v>
      </c>
      <c r="E74" s="430">
        <v>44</v>
      </c>
      <c r="F74" s="427">
        <v>400</v>
      </c>
      <c r="G74" s="419" t="s">
        <v>824</v>
      </c>
      <c r="H74" s="417" t="s">
        <v>825</v>
      </c>
      <c r="I74" s="417" t="s">
        <v>826</v>
      </c>
      <c r="J74" s="416"/>
      <c r="K74" s="412"/>
    </row>
    <row r="75" spans="1:11" ht="15">
      <c r="A75" s="69">
        <f t="shared" ref="A75:A84" si="1">A74+1</f>
        <v>66</v>
      </c>
      <c r="B75" s="446" t="s">
        <v>827</v>
      </c>
      <c r="C75" s="412" t="s">
        <v>560</v>
      </c>
      <c r="D75" s="413">
        <v>42674</v>
      </c>
      <c r="E75" s="412"/>
      <c r="F75" s="434">
        <v>500</v>
      </c>
      <c r="G75" s="447">
        <v>61008014341</v>
      </c>
      <c r="H75" s="441" t="s">
        <v>828</v>
      </c>
      <c r="I75" s="416" t="s">
        <v>829</v>
      </c>
      <c r="J75" s="416"/>
      <c r="K75" s="412"/>
    </row>
    <row r="76" spans="1:11" ht="15">
      <c r="A76" s="69">
        <f t="shared" si="1"/>
        <v>67</v>
      </c>
      <c r="B76" s="433" t="s">
        <v>830</v>
      </c>
      <c r="C76" s="412" t="s">
        <v>560</v>
      </c>
      <c r="D76" s="413">
        <v>42658</v>
      </c>
      <c r="E76" s="412"/>
      <c r="F76" s="448" t="s">
        <v>831</v>
      </c>
      <c r="G76" s="420" t="s">
        <v>832</v>
      </c>
      <c r="H76" s="435" t="s">
        <v>817</v>
      </c>
      <c r="I76" s="449" t="s">
        <v>833</v>
      </c>
      <c r="J76" s="416"/>
      <c r="K76" s="412"/>
    </row>
    <row r="77" spans="1:11" ht="15">
      <c r="A77" s="69">
        <f t="shared" si="1"/>
        <v>68</v>
      </c>
      <c r="B77" s="433" t="s">
        <v>834</v>
      </c>
      <c r="C77" s="412" t="s">
        <v>560</v>
      </c>
      <c r="D77" s="413">
        <v>42699</v>
      </c>
      <c r="E77" s="412"/>
      <c r="F77" s="448">
        <v>1250</v>
      </c>
      <c r="G77" s="420" t="s">
        <v>835</v>
      </c>
      <c r="H77" s="450" t="s">
        <v>836</v>
      </c>
      <c r="I77" s="416" t="s">
        <v>837</v>
      </c>
      <c r="J77" s="416"/>
      <c r="K77" s="412"/>
    </row>
    <row r="78" spans="1:11" ht="15">
      <c r="A78" s="69">
        <f t="shared" si="1"/>
        <v>69</v>
      </c>
      <c r="B78" s="426" t="s">
        <v>838</v>
      </c>
      <c r="C78" s="412" t="s">
        <v>560</v>
      </c>
      <c r="D78" s="413">
        <v>42658</v>
      </c>
      <c r="E78" s="412"/>
      <c r="F78" s="448">
        <v>100</v>
      </c>
      <c r="G78" s="428" t="s">
        <v>839</v>
      </c>
      <c r="H78" s="450" t="s">
        <v>840</v>
      </c>
      <c r="I78" s="416" t="s">
        <v>841</v>
      </c>
      <c r="J78" s="416"/>
      <c r="K78" s="412"/>
    </row>
    <row r="79" spans="1:11" ht="15">
      <c r="A79" s="69">
        <f t="shared" si="1"/>
        <v>70</v>
      </c>
      <c r="B79" s="451" t="s">
        <v>842</v>
      </c>
      <c r="C79" s="412" t="s">
        <v>560</v>
      </c>
      <c r="D79" s="413">
        <v>42658</v>
      </c>
      <c r="E79" s="412"/>
      <c r="F79" s="448">
        <v>400</v>
      </c>
      <c r="G79" s="428" t="s">
        <v>843</v>
      </c>
      <c r="H79" s="450" t="s">
        <v>844</v>
      </c>
      <c r="I79" s="416" t="s">
        <v>845</v>
      </c>
      <c r="J79" s="416"/>
      <c r="K79" s="412"/>
    </row>
    <row r="80" spans="1:11" ht="15">
      <c r="A80" s="69">
        <f t="shared" si="1"/>
        <v>71</v>
      </c>
      <c r="B80" s="426" t="s">
        <v>846</v>
      </c>
      <c r="C80" s="412" t="s">
        <v>560</v>
      </c>
      <c r="D80" s="413">
        <v>42658</v>
      </c>
      <c r="E80" s="412"/>
      <c r="F80" s="448">
        <v>200</v>
      </c>
      <c r="G80" s="428" t="s">
        <v>847</v>
      </c>
      <c r="H80" s="450" t="s">
        <v>634</v>
      </c>
      <c r="I80" s="416" t="s">
        <v>848</v>
      </c>
      <c r="J80" s="416"/>
      <c r="K80" s="412"/>
    </row>
    <row r="81" spans="1:11" ht="15">
      <c r="A81" s="69">
        <f t="shared" si="1"/>
        <v>72</v>
      </c>
      <c r="B81" s="426" t="s">
        <v>849</v>
      </c>
      <c r="C81" s="412" t="s">
        <v>560</v>
      </c>
      <c r="D81" s="413">
        <v>42673</v>
      </c>
      <c r="E81" s="412"/>
      <c r="F81" s="448">
        <v>700</v>
      </c>
      <c r="G81" s="428" t="s">
        <v>850</v>
      </c>
      <c r="H81" s="450" t="s">
        <v>851</v>
      </c>
      <c r="I81" s="416" t="s">
        <v>852</v>
      </c>
      <c r="J81" s="416"/>
      <c r="K81" s="412"/>
    </row>
    <row r="82" spans="1:11" ht="15">
      <c r="A82" s="69">
        <f t="shared" si="1"/>
        <v>73</v>
      </c>
      <c r="B82" s="426" t="s">
        <v>853</v>
      </c>
      <c r="C82" s="412" t="s">
        <v>560</v>
      </c>
      <c r="D82" s="413">
        <v>42673</v>
      </c>
      <c r="E82" s="412"/>
      <c r="F82" s="448">
        <v>750</v>
      </c>
      <c r="G82" s="428" t="s">
        <v>854</v>
      </c>
      <c r="H82" s="450" t="s">
        <v>855</v>
      </c>
      <c r="I82" s="416" t="s">
        <v>856</v>
      </c>
      <c r="J82" s="416"/>
      <c r="K82" s="412"/>
    </row>
    <row r="83" spans="1:11" ht="15">
      <c r="A83" s="69">
        <f t="shared" si="1"/>
        <v>74</v>
      </c>
      <c r="B83" s="426" t="s">
        <v>857</v>
      </c>
      <c r="C83" s="412" t="s">
        <v>560</v>
      </c>
      <c r="D83" s="413">
        <v>42673</v>
      </c>
      <c r="E83" s="412"/>
      <c r="F83" s="448">
        <v>400</v>
      </c>
      <c r="G83" s="428" t="s">
        <v>858</v>
      </c>
      <c r="H83" s="450" t="s">
        <v>859</v>
      </c>
      <c r="I83" s="416" t="s">
        <v>860</v>
      </c>
      <c r="J83" s="416"/>
      <c r="K83" s="412"/>
    </row>
    <row r="84" spans="1:11" ht="15">
      <c r="A84" s="69">
        <f t="shared" si="1"/>
        <v>75</v>
      </c>
      <c r="B84" s="436" t="s">
        <v>861</v>
      </c>
      <c r="C84" s="412" t="s">
        <v>560</v>
      </c>
      <c r="D84" s="413">
        <v>42663</v>
      </c>
      <c r="E84" s="412"/>
      <c r="F84" s="448">
        <v>500</v>
      </c>
      <c r="G84" s="419" t="s">
        <v>862</v>
      </c>
      <c r="H84" s="450" t="s">
        <v>863</v>
      </c>
      <c r="I84" s="416" t="s">
        <v>864</v>
      </c>
      <c r="J84" s="416"/>
      <c r="K84" s="412"/>
    </row>
    <row r="85" spans="1:11" ht="15">
      <c r="A85" s="69" t="s">
        <v>277</v>
      </c>
      <c r="B85" s="26"/>
      <c r="C85" s="26"/>
      <c r="D85" s="26"/>
      <c r="E85" s="26"/>
      <c r="F85" s="26"/>
      <c r="G85" s="26"/>
      <c r="H85" s="227"/>
      <c r="I85" s="227"/>
      <c r="J85" s="227"/>
      <c r="K85" s="26"/>
    </row>
    <row r="86" spans="1:1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>
      <c r="A88" s="25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5">
      <c r="A89" s="2"/>
      <c r="B89" s="73" t="s">
        <v>106</v>
      </c>
      <c r="C89" s="2"/>
      <c r="D89" s="2"/>
      <c r="E89" s="399"/>
      <c r="F89" s="2"/>
      <c r="G89" s="2"/>
      <c r="H89" s="2"/>
      <c r="I89" s="2"/>
      <c r="J89" s="2"/>
      <c r="K89" s="2"/>
    </row>
    <row r="90" spans="1:11" ht="15">
      <c r="A90" s="2"/>
      <c r="B90" s="2"/>
      <c r="C90" s="535"/>
      <c r="D90" s="535"/>
      <c r="F90" s="72"/>
      <c r="G90" s="75"/>
    </row>
    <row r="91" spans="1:11" ht="15">
      <c r="B91" s="2"/>
      <c r="C91" s="71" t="s">
        <v>267</v>
      </c>
      <c r="D91" s="2"/>
      <c r="F91" s="12" t="s">
        <v>272</v>
      </c>
    </row>
    <row r="92" spans="1:11" ht="15">
      <c r="B92" s="2"/>
      <c r="C92" s="2"/>
      <c r="D92" s="2"/>
      <c r="F92" s="2" t="s">
        <v>268</v>
      </c>
    </row>
    <row r="93" spans="1:11" ht="15">
      <c r="B93" s="2"/>
      <c r="C93" s="67" t="s">
        <v>138</v>
      </c>
    </row>
  </sheetData>
  <mergeCells count="6">
    <mergeCell ref="F57:F58"/>
    <mergeCell ref="C90:D90"/>
    <mergeCell ref="B57:B58"/>
    <mergeCell ref="C57:C58"/>
    <mergeCell ref="D57:D58"/>
    <mergeCell ref="E57:E58"/>
  </mergeCells>
  <pageMargins left="0.7" right="0.7" top="0.75" bottom="0.75" header="0.3" footer="0.3"/>
  <pageSetup scale="57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95" t="s">
        <v>515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9" t="str">
        <f>'ფორმა N1'!D4</f>
        <v>მპგ  "გაერთიანებული დემოკრატიული მოძრაობა "</v>
      </c>
      <c r="B5" s="229"/>
      <c r="C5" s="82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0"/>
      <c r="B31" s="190"/>
      <c r="C31" s="192" t="s">
        <v>106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8"/>
    </row>
    <row r="33" spans="3:7" ht="15">
      <c r="C33" s="190"/>
      <c r="D33" s="196" t="s">
        <v>267</v>
      </c>
      <c r="E33" s="190"/>
      <c r="G33" s="197" t="s">
        <v>272</v>
      </c>
    </row>
    <row r="34" spans="3:7" ht="15">
      <c r="C34" s="190"/>
      <c r="D34" s="198" t="s">
        <v>138</v>
      </c>
      <c r="E34" s="190"/>
      <c r="G34" s="190" t="s">
        <v>268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45"/>
  <sheetViews>
    <sheetView view="pageBreakPreview" zoomScale="80" zoomScaleSheetLayoutView="80" workbookViewId="0">
      <selection activeCell="F3" sqref="F3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95" t="s">
        <v>515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9" t="str">
        <f>'ფორმა N1'!D4</f>
        <v>მპგ  "გაერთიანებული დემოკრატიული მოძრაობა "</v>
      </c>
      <c r="B5" s="82"/>
      <c r="C5" s="82"/>
      <c r="D5" s="231"/>
      <c r="E5" s="231"/>
      <c r="F5" s="231"/>
      <c r="G5" s="231"/>
      <c r="H5" s="231"/>
      <c r="I5" s="230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63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9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9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9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9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9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9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9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9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9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9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9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9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9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9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9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9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9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0"/>
      <c r="B31" s="192" t="s">
        <v>106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8"/>
    </row>
    <row r="33" spans="2:10" ht="15">
      <c r="B33" s="190"/>
      <c r="C33" s="196" t="s">
        <v>267</v>
      </c>
      <c r="D33" s="190"/>
      <c r="F33" s="197" t="s">
        <v>272</v>
      </c>
    </row>
    <row r="34" spans="2:10" ht="15">
      <c r="B34" s="190"/>
      <c r="C34" s="198" t="s">
        <v>138</v>
      </c>
      <c r="D34" s="190"/>
      <c r="F34" s="190" t="s">
        <v>268</v>
      </c>
    </row>
    <row r="35" spans="2:10" ht="15">
      <c r="B35" s="190"/>
      <c r="C35" s="198"/>
    </row>
    <row r="45" spans="2:10">
      <c r="J45" s="191" t="s">
        <v>515</v>
      </c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51"/>
  <sheetViews>
    <sheetView view="pageBreakPreview" topLeftCell="A16" zoomScale="80" zoomScaleSheetLayoutView="80" workbookViewId="0">
      <selection activeCell="I17" sqref="I17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69" t="s">
        <v>197</v>
      </c>
      <c r="J1" s="170"/>
    </row>
    <row r="2" spans="1:10">
      <c r="A2" s="78" t="s">
        <v>139</v>
      </c>
      <c r="B2" s="78"/>
      <c r="C2" s="78"/>
      <c r="D2" s="78"/>
      <c r="E2" s="78"/>
      <c r="F2" s="78"/>
      <c r="G2" s="78"/>
      <c r="H2" s="78"/>
      <c r="I2" s="171" t="s">
        <v>515</v>
      </c>
      <c r="J2" s="170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9" t="str">
        <f>'ფორმა N1'!D4</f>
        <v>მპგ  "გაერთიანებული დემოკრატიული მოძრაობა "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63</v>
      </c>
      <c r="B8" s="386" t="s">
        <v>376</v>
      </c>
      <c r="C8" s="387" t="s">
        <v>438</v>
      </c>
      <c r="D8" s="387" t="s">
        <v>439</v>
      </c>
      <c r="E8" s="387" t="s">
        <v>377</v>
      </c>
      <c r="F8" s="387" t="s">
        <v>396</v>
      </c>
      <c r="G8" s="387" t="s">
        <v>397</v>
      </c>
      <c r="H8" s="387" t="s">
        <v>443</v>
      </c>
      <c r="I8" s="173" t="s">
        <v>398</v>
      </c>
      <c r="J8" s="107"/>
    </row>
    <row r="9" spans="1:10">
      <c r="A9" s="175">
        <v>1</v>
      </c>
      <c r="B9" s="452"/>
      <c r="C9" s="453" t="s">
        <v>865</v>
      </c>
      <c r="D9" s="454">
        <v>204876606</v>
      </c>
      <c r="E9" s="455" t="s">
        <v>866</v>
      </c>
      <c r="F9" s="456"/>
      <c r="G9" s="457"/>
      <c r="H9" s="417"/>
      <c r="I9" s="417">
        <v>894.57</v>
      </c>
      <c r="J9" s="107"/>
    </row>
    <row r="10" spans="1:10">
      <c r="A10" s="175">
        <v>2</v>
      </c>
      <c r="B10" s="458"/>
      <c r="C10" s="459" t="s">
        <v>867</v>
      </c>
      <c r="D10" s="454">
        <v>204566978</v>
      </c>
      <c r="E10" s="455" t="s">
        <v>866</v>
      </c>
      <c r="F10" s="456"/>
      <c r="G10" s="457"/>
      <c r="H10" s="460"/>
      <c r="I10" s="460">
        <v>0</v>
      </c>
      <c r="J10" s="107"/>
    </row>
    <row r="11" spans="1:10">
      <c r="A11" s="175">
        <v>3</v>
      </c>
      <c r="B11" s="458"/>
      <c r="C11" s="459" t="s">
        <v>868</v>
      </c>
      <c r="D11" s="454">
        <v>211380833</v>
      </c>
      <c r="E11" s="455" t="s">
        <v>869</v>
      </c>
      <c r="F11" s="456"/>
      <c r="G11" s="457"/>
      <c r="H11" s="460"/>
      <c r="I11" s="460">
        <v>0</v>
      </c>
      <c r="J11" s="107"/>
    </row>
    <row r="12" spans="1:10">
      <c r="A12" s="175">
        <v>4</v>
      </c>
      <c r="B12" s="458">
        <v>41518</v>
      </c>
      <c r="C12" s="461" t="s">
        <v>870</v>
      </c>
      <c r="D12" s="462">
        <v>404932748</v>
      </c>
      <c r="E12" s="463" t="s">
        <v>871</v>
      </c>
      <c r="F12" s="456"/>
      <c r="G12" s="457"/>
      <c r="H12" s="460"/>
      <c r="I12" s="460">
        <v>149342</v>
      </c>
      <c r="J12" s="107"/>
    </row>
    <row r="13" spans="1:10" ht="30">
      <c r="A13" s="175">
        <v>5</v>
      </c>
      <c r="B13" s="458"/>
      <c r="C13" s="459" t="s">
        <v>872</v>
      </c>
      <c r="D13" s="454">
        <v>205208559</v>
      </c>
      <c r="E13" s="455" t="s">
        <v>873</v>
      </c>
      <c r="F13" s="456"/>
      <c r="G13" s="457"/>
      <c r="H13" s="460"/>
      <c r="I13" s="460">
        <v>600</v>
      </c>
      <c r="J13" s="107"/>
    </row>
    <row r="14" spans="1:10">
      <c r="A14" s="175">
        <v>6</v>
      </c>
      <c r="B14" s="458"/>
      <c r="C14" s="459" t="s">
        <v>874</v>
      </c>
      <c r="D14" s="454">
        <v>202943182</v>
      </c>
      <c r="E14" s="455" t="s">
        <v>866</v>
      </c>
      <c r="F14" s="456"/>
      <c r="G14" s="457"/>
      <c r="H14" s="460"/>
      <c r="I14" s="460"/>
      <c r="J14" s="107"/>
    </row>
    <row r="15" spans="1:10">
      <c r="A15" s="175">
        <v>7</v>
      </c>
      <c r="B15" s="458"/>
      <c r="C15" s="459" t="s">
        <v>875</v>
      </c>
      <c r="D15" s="464">
        <v>205075014</v>
      </c>
      <c r="E15" s="455" t="s">
        <v>876</v>
      </c>
      <c r="F15" s="456"/>
      <c r="G15" s="457"/>
      <c r="H15" s="460"/>
      <c r="I15" s="460">
        <v>0</v>
      </c>
      <c r="J15" s="107"/>
    </row>
    <row r="16" spans="1:10">
      <c r="A16" s="175">
        <v>8</v>
      </c>
      <c r="B16" s="458"/>
      <c r="C16" s="459" t="s">
        <v>877</v>
      </c>
      <c r="D16" s="465">
        <v>211380691</v>
      </c>
      <c r="E16" s="455" t="s">
        <v>878</v>
      </c>
      <c r="F16" s="456"/>
      <c r="G16" s="466"/>
      <c r="H16" s="460"/>
      <c r="I16" s="460"/>
      <c r="J16" s="107"/>
    </row>
    <row r="17" spans="1:10">
      <c r="A17" s="175">
        <v>9</v>
      </c>
      <c r="B17" s="213"/>
      <c r="C17" s="180" t="s">
        <v>879</v>
      </c>
      <c r="D17" s="180">
        <v>202159788</v>
      </c>
      <c r="E17" s="179"/>
      <c r="F17" s="179"/>
      <c r="G17" s="179"/>
      <c r="H17" s="467"/>
      <c r="I17" s="460"/>
      <c r="J17" s="107"/>
    </row>
    <row r="18" spans="1:10">
      <c r="A18" s="175"/>
      <c r="B18" s="213"/>
      <c r="C18" s="180"/>
      <c r="D18" s="180"/>
      <c r="E18" s="179"/>
      <c r="F18" s="179"/>
      <c r="G18" s="179"/>
      <c r="H18" s="179"/>
      <c r="I18" s="179"/>
      <c r="J18" s="107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7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7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7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7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7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7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7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7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7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7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81"/>
      <c r="I29" s="179"/>
      <c r="J29" s="107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81"/>
      <c r="I30" s="179"/>
      <c r="J30" s="107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81"/>
      <c r="I31" s="179"/>
      <c r="J31" s="107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81"/>
      <c r="I32" s="179"/>
      <c r="J32" s="107"/>
    </row>
    <row r="33" spans="1:17">
      <c r="A33" s="175">
        <v>25</v>
      </c>
      <c r="B33" s="213"/>
      <c r="C33" s="183"/>
      <c r="D33" s="183"/>
      <c r="E33" s="182"/>
      <c r="F33" s="182"/>
      <c r="G33" s="182"/>
      <c r="H33" s="281"/>
      <c r="I33" s="179"/>
      <c r="J33" s="107"/>
    </row>
    <row r="34" spans="1:17">
      <c r="A34" s="175">
        <v>26</v>
      </c>
      <c r="B34" s="213"/>
      <c r="C34" s="183"/>
      <c r="D34" s="183"/>
      <c r="E34" s="182"/>
      <c r="F34" s="182"/>
      <c r="G34" s="182"/>
      <c r="H34" s="281"/>
      <c r="I34" s="179"/>
      <c r="J34" s="107"/>
    </row>
    <row r="35" spans="1:17">
      <c r="A35" s="175">
        <v>27</v>
      </c>
      <c r="B35" s="213"/>
      <c r="C35" s="183"/>
      <c r="D35" s="183"/>
      <c r="E35" s="182"/>
      <c r="F35" s="182"/>
      <c r="G35" s="182"/>
      <c r="H35" s="281"/>
      <c r="I35" s="179"/>
      <c r="J35" s="107"/>
    </row>
    <row r="36" spans="1:17">
      <c r="A36" s="175">
        <v>28</v>
      </c>
      <c r="B36" s="213"/>
      <c r="C36" s="183"/>
      <c r="D36" s="183"/>
      <c r="E36" s="182"/>
      <c r="F36" s="182"/>
      <c r="G36" s="182"/>
      <c r="H36" s="281"/>
      <c r="I36" s="179"/>
      <c r="J36" s="107"/>
    </row>
    <row r="37" spans="1:17">
      <c r="A37" s="175">
        <v>29</v>
      </c>
      <c r="B37" s="213"/>
      <c r="C37" s="183"/>
      <c r="D37" s="183"/>
      <c r="E37" s="182"/>
      <c r="F37" s="182"/>
      <c r="G37" s="182"/>
      <c r="H37" s="281"/>
      <c r="I37" s="179"/>
      <c r="J37" s="107"/>
    </row>
    <row r="38" spans="1:17">
      <c r="A38" s="175" t="s">
        <v>277</v>
      </c>
      <c r="B38" s="213"/>
      <c r="C38" s="183"/>
      <c r="D38" s="183"/>
      <c r="E38" s="182"/>
      <c r="F38" s="182"/>
      <c r="G38" s="282"/>
      <c r="H38" s="291" t="s">
        <v>431</v>
      </c>
      <c r="I38" s="393">
        <f>SUM(I9:I37)</f>
        <v>150836.57</v>
      </c>
      <c r="J38" s="107"/>
    </row>
    <row r="40" spans="1:17">
      <c r="A40" s="190" t="s">
        <v>463</v>
      </c>
    </row>
    <row r="42" spans="1:17">
      <c r="B42" s="192" t="s">
        <v>106</v>
      </c>
      <c r="F42" s="193"/>
    </row>
    <row r="43" spans="1:17">
      <c r="F43" s="191"/>
      <c r="I43" s="191"/>
      <c r="J43" s="191"/>
      <c r="K43" s="191"/>
      <c r="L43" s="191"/>
    </row>
    <row r="44" spans="1:17">
      <c r="C44" s="194"/>
      <c r="F44" s="194"/>
      <c r="G44" s="194"/>
      <c r="H44" s="197"/>
      <c r="I44" s="195"/>
      <c r="J44" s="191"/>
      <c r="K44" s="191"/>
      <c r="L44" s="191"/>
    </row>
    <row r="45" spans="1:17">
      <c r="A45" s="191"/>
      <c r="C45" s="196" t="s">
        <v>267</v>
      </c>
      <c r="F45" s="197" t="s">
        <v>272</v>
      </c>
      <c r="G45" s="196"/>
      <c r="H45" s="196"/>
      <c r="I45" s="195"/>
      <c r="J45" s="191"/>
      <c r="K45" s="191"/>
      <c r="L45" s="191"/>
    </row>
    <row r="46" spans="1:17">
      <c r="A46" s="191"/>
      <c r="C46" s="198" t="s">
        <v>138</v>
      </c>
      <c r="F46" s="190" t="s">
        <v>268</v>
      </c>
      <c r="I46" s="191"/>
      <c r="J46" s="191"/>
      <c r="K46" s="191"/>
      <c r="L46" s="191"/>
      <c r="Q46" s="190" t="s">
        <v>515</v>
      </c>
    </row>
    <row r="47" spans="1:17" s="191" customFormat="1">
      <c r="B47" s="190"/>
      <c r="C47" s="198"/>
      <c r="G47" s="198"/>
      <c r="H47" s="198"/>
    </row>
    <row r="48" spans="1:17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3"/>
  <sheetViews>
    <sheetView showGridLines="0" view="pageBreakPreview" zoomScale="80" zoomScaleSheetLayoutView="80" workbookViewId="0">
      <selection activeCell="W43" sqref="W43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4"/>
      <c r="J1" s="269"/>
      <c r="K1" s="269"/>
      <c r="L1" s="269"/>
      <c r="M1" s="269" t="s">
        <v>420</v>
      </c>
      <c r="N1" s="204"/>
    </row>
    <row r="2" spans="1:14">
      <c r="A2" s="204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6" t="s">
        <v>273</v>
      </c>
      <c r="B4" s="200"/>
      <c r="C4" s="200"/>
      <c r="D4" s="205"/>
      <c r="E4" s="270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">
        <v>514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4"/>
    </row>
    <row r="7" spans="1:14" ht="51">
      <c r="A7" s="272" t="s">
        <v>63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7"/>
      <c r="D9" s="212"/>
      <c r="E9" s="212"/>
      <c r="F9" s="212"/>
      <c r="G9" s="212"/>
      <c r="H9" s="212"/>
      <c r="I9" s="212"/>
      <c r="J9" s="212"/>
      <c r="K9" s="212"/>
      <c r="L9" s="212"/>
      <c r="M9" s="278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7"/>
      <c r="D10" s="212"/>
      <c r="E10" s="212"/>
      <c r="F10" s="212"/>
      <c r="G10" s="212"/>
      <c r="H10" s="212"/>
      <c r="I10" s="212"/>
      <c r="J10" s="212"/>
      <c r="K10" s="212"/>
      <c r="L10" s="212"/>
      <c r="M10" s="278" t="str">
        <f t="shared" si="0"/>
        <v/>
      </c>
      <c r="N10" s="204"/>
    </row>
    <row r="11" spans="1:14" ht="15">
      <c r="A11" s="212">
        <v>3</v>
      </c>
      <c r="B11" s="213"/>
      <c r="C11" s="277"/>
      <c r="D11" s="212"/>
      <c r="E11" s="212"/>
      <c r="F11" s="212"/>
      <c r="G11" s="212"/>
      <c r="H11" s="212"/>
      <c r="I11" s="212"/>
      <c r="J11" s="212"/>
      <c r="K11" s="212"/>
      <c r="L11" s="212"/>
      <c r="M11" s="278" t="str">
        <f t="shared" si="0"/>
        <v/>
      </c>
      <c r="N11" s="204"/>
    </row>
    <row r="12" spans="1:14" ht="15">
      <c r="A12" s="212">
        <v>4</v>
      </c>
      <c r="B12" s="213"/>
      <c r="C12" s="277"/>
      <c r="D12" s="212"/>
      <c r="E12" s="212"/>
      <c r="F12" s="212"/>
      <c r="G12" s="212"/>
      <c r="H12" s="212"/>
      <c r="I12" s="212"/>
      <c r="J12" s="212"/>
      <c r="K12" s="212"/>
      <c r="L12" s="212"/>
      <c r="M12" s="278" t="str">
        <f t="shared" si="0"/>
        <v/>
      </c>
      <c r="N12" s="204"/>
    </row>
    <row r="13" spans="1:14" ht="15">
      <c r="A13" s="212">
        <v>5</v>
      </c>
      <c r="B13" s="213"/>
      <c r="C13" s="277"/>
      <c r="D13" s="212"/>
      <c r="E13" s="212"/>
      <c r="F13" s="212"/>
      <c r="G13" s="212"/>
      <c r="H13" s="212"/>
      <c r="I13" s="212"/>
      <c r="J13" s="212"/>
      <c r="K13" s="212"/>
      <c r="L13" s="212"/>
      <c r="M13" s="278" t="str">
        <f t="shared" si="0"/>
        <v/>
      </c>
      <c r="N13" s="204"/>
    </row>
    <row r="14" spans="1:14" ht="15">
      <c r="A14" s="212">
        <v>6</v>
      </c>
      <c r="B14" s="213"/>
      <c r="C14" s="277"/>
      <c r="D14" s="212"/>
      <c r="E14" s="212"/>
      <c r="F14" s="212"/>
      <c r="G14" s="212"/>
      <c r="H14" s="212"/>
      <c r="I14" s="212"/>
      <c r="J14" s="212"/>
      <c r="K14" s="212"/>
      <c r="L14" s="212"/>
      <c r="M14" s="278" t="str">
        <f t="shared" si="0"/>
        <v/>
      </c>
      <c r="N14" s="204"/>
    </row>
    <row r="15" spans="1:14" ht="15">
      <c r="A15" s="212">
        <v>7</v>
      </c>
      <c r="B15" s="213"/>
      <c r="C15" s="277"/>
      <c r="D15" s="212"/>
      <c r="E15" s="212"/>
      <c r="F15" s="212"/>
      <c r="G15" s="212"/>
      <c r="H15" s="212"/>
      <c r="I15" s="212"/>
      <c r="J15" s="212"/>
      <c r="K15" s="212"/>
      <c r="L15" s="212"/>
      <c r="M15" s="278" t="str">
        <f t="shared" si="0"/>
        <v/>
      </c>
      <c r="N15" s="204"/>
    </row>
    <row r="16" spans="1:14" ht="15">
      <c r="A16" s="212">
        <v>8</v>
      </c>
      <c r="B16" s="213"/>
      <c r="C16" s="277"/>
      <c r="D16" s="212"/>
      <c r="E16" s="212"/>
      <c r="F16" s="212"/>
      <c r="G16" s="212"/>
      <c r="H16" s="212"/>
      <c r="I16" s="212"/>
      <c r="J16" s="212"/>
      <c r="K16" s="212"/>
      <c r="L16" s="212"/>
      <c r="M16" s="278" t="str">
        <f t="shared" si="0"/>
        <v/>
      </c>
      <c r="N16" s="204"/>
    </row>
    <row r="17" spans="1:14" ht="15">
      <c r="A17" s="212">
        <v>9</v>
      </c>
      <c r="B17" s="213"/>
      <c r="C17" s="277"/>
      <c r="D17" s="212"/>
      <c r="E17" s="212"/>
      <c r="F17" s="212"/>
      <c r="G17" s="212"/>
      <c r="H17" s="212"/>
      <c r="I17" s="212"/>
      <c r="J17" s="212"/>
      <c r="K17" s="212"/>
      <c r="L17" s="212"/>
      <c r="M17" s="278" t="str">
        <f t="shared" si="0"/>
        <v/>
      </c>
      <c r="N17" s="204"/>
    </row>
    <row r="18" spans="1:14" ht="15">
      <c r="A18" s="212">
        <v>10</v>
      </c>
      <c r="B18" s="213"/>
      <c r="C18" s="277"/>
      <c r="D18" s="212"/>
      <c r="E18" s="212"/>
      <c r="F18" s="212"/>
      <c r="G18" s="212"/>
      <c r="H18" s="212"/>
      <c r="I18" s="212"/>
      <c r="J18" s="212"/>
      <c r="K18" s="212"/>
      <c r="L18" s="212"/>
      <c r="M18" s="278" t="str">
        <f t="shared" si="0"/>
        <v/>
      </c>
      <c r="N18" s="204"/>
    </row>
    <row r="19" spans="1:14" ht="15">
      <c r="A19" s="212">
        <v>11</v>
      </c>
      <c r="B19" s="213"/>
      <c r="C19" s="277"/>
      <c r="D19" s="212"/>
      <c r="E19" s="212"/>
      <c r="F19" s="212"/>
      <c r="G19" s="212"/>
      <c r="H19" s="212"/>
      <c r="I19" s="212"/>
      <c r="J19" s="212"/>
      <c r="K19" s="212"/>
      <c r="L19" s="212"/>
      <c r="M19" s="278" t="str">
        <f t="shared" si="0"/>
        <v/>
      </c>
      <c r="N19" s="204"/>
    </row>
    <row r="20" spans="1:14" ht="15">
      <c r="A20" s="212">
        <v>12</v>
      </c>
      <c r="B20" s="213"/>
      <c r="C20" s="277"/>
      <c r="D20" s="212"/>
      <c r="E20" s="212"/>
      <c r="F20" s="212"/>
      <c r="G20" s="212"/>
      <c r="H20" s="212"/>
      <c r="I20" s="212"/>
      <c r="J20" s="212"/>
      <c r="K20" s="212"/>
      <c r="L20" s="212"/>
      <c r="M20" s="278" t="str">
        <f t="shared" si="0"/>
        <v/>
      </c>
      <c r="N20" s="204"/>
    </row>
    <row r="21" spans="1:14" ht="15">
      <c r="A21" s="212">
        <v>13</v>
      </c>
      <c r="B21" s="213"/>
      <c r="C21" s="277"/>
      <c r="D21" s="212"/>
      <c r="E21" s="212"/>
      <c r="F21" s="212"/>
      <c r="G21" s="212"/>
      <c r="H21" s="212"/>
      <c r="I21" s="212"/>
      <c r="J21" s="212"/>
      <c r="K21" s="212"/>
      <c r="L21" s="212"/>
      <c r="M21" s="278" t="str">
        <f t="shared" si="0"/>
        <v/>
      </c>
      <c r="N21" s="204"/>
    </row>
    <row r="22" spans="1:14" ht="15">
      <c r="A22" s="212">
        <v>14</v>
      </c>
      <c r="B22" s="213"/>
      <c r="C22" s="277"/>
      <c r="D22" s="212"/>
      <c r="E22" s="212"/>
      <c r="F22" s="212"/>
      <c r="G22" s="212"/>
      <c r="H22" s="212"/>
      <c r="I22" s="212"/>
      <c r="J22" s="212"/>
      <c r="K22" s="212"/>
      <c r="L22" s="212"/>
      <c r="M22" s="278" t="str">
        <f t="shared" si="0"/>
        <v/>
      </c>
      <c r="N22" s="204"/>
    </row>
    <row r="23" spans="1:14" ht="15">
      <c r="A23" s="212">
        <v>15</v>
      </c>
      <c r="B23" s="213"/>
      <c r="C23" s="277"/>
      <c r="D23" s="212"/>
      <c r="E23" s="212"/>
      <c r="F23" s="212"/>
      <c r="G23" s="212"/>
      <c r="H23" s="212"/>
      <c r="I23" s="212"/>
      <c r="J23" s="212"/>
      <c r="K23" s="212"/>
      <c r="L23" s="212"/>
      <c r="M23" s="278" t="str">
        <f t="shared" si="0"/>
        <v/>
      </c>
      <c r="N23" s="204"/>
    </row>
    <row r="24" spans="1:14" ht="15">
      <c r="A24" s="212">
        <v>16</v>
      </c>
      <c r="B24" s="213"/>
      <c r="C24" s="277"/>
      <c r="D24" s="212"/>
      <c r="E24" s="212"/>
      <c r="F24" s="212"/>
      <c r="G24" s="212"/>
      <c r="H24" s="212"/>
      <c r="I24" s="212"/>
      <c r="J24" s="212"/>
      <c r="K24" s="212"/>
      <c r="L24" s="212"/>
      <c r="M24" s="278" t="str">
        <f t="shared" si="0"/>
        <v/>
      </c>
      <c r="N24" s="204"/>
    </row>
    <row r="25" spans="1:14" ht="15">
      <c r="A25" s="212">
        <v>17</v>
      </c>
      <c r="B25" s="213"/>
      <c r="C25" s="277"/>
      <c r="D25" s="212"/>
      <c r="E25" s="212"/>
      <c r="F25" s="212"/>
      <c r="G25" s="212"/>
      <c r="H25" s="212"/>
      <c r="I25" s="212"/>
      <c r="J25" s="212"/>
      <c r="K25" s="212"/>
      <c r="L25" s="212"/>
      <c r="M25" s="278" t="str">
        <f t="shared" si="0"/>
        <v/>
      </c>
      <c r="N25" s="204"/>
    </row>
    <row r="26" spans="1:14" ht="15">
      <c r="A26" s="212">
        <v>18</v>
      </c>
      <c r="B26" s="213"/>
      <c r="C26" s="277"/>
      <c r="D26" s="212"/>
      <c r="E26" s="212"/>
      <c r="F26" s="212"/>
      <c r="G26" s="212"/>
      <c r="H26" s="212"/>
      <c r="I26" s="212"/>
      <c r="J26" s="212"/>
      <c r="K26" s="212"/>
      <c r="L26" s="212"/>
      <c r="M26" s="278" t="str">
        <f t="shared" si="0"/>
        <v/>
      </c>
      <c r="N26" s="204"/>
    </row>
    <row r="27" spans="1:14" ht="15">
      <c r="A27" s="212">
        <v>19</v>
      </c>
      <c r="B27" s="213"/>
      <c r="C27" s="277"/>
      <c r="D27" s="212"/>
      <c r="E27" s="212"/>
      <c r="F27" s="212"/>
      <c r="G27" s="212"/>
      <c r="H27" s="212"/>
      <c r="I27" s="212"/>
      <c r="J27" s="212"/>
      <c r="K27" s="212"/>
      <c r="L27" s="212"/>
      <c r="M27" s="278" t="str">
        <f t="shared" si="0"/>
        <v/>
      </c>
      <c r="N27" s="204"/>
    </row>
    <row r="28" spans="1:14" ht="15">
      <c r="A28" s="212">
        <v>20</v>
      </c>
      <c r="B28" s="213"/>
      <c r="C28" s="277"/>
      <c r="D28" s="212"/>
      <c r="E28" s="212"/>
      <c r="F28" s="212"/>
      <c r="G28" s="212"/>
      <c r="H28" s="212"/>
      <c r="I28" s="212"/>
      <c r="J28" s="212"/>
      <c r="K28" s="212"/>
      <c r="L28" s="212"/>
      <c r="M28" s="278" t="str">
        <f t="shared" si="0"/>
        <v/>
      </c>
      <c r="N28" s="204"/>
    </row>
    <row r="29" spans="1:14" ht="15">
      <c r="A29" s="212">
        <v>21</v>
      </c>
      <c r="B29" s="213"/>
      <c r="C29" s="277"/>
      <c r="D29" s="212"/>
      <c r="E29" s="212"/>
      <c r="F29" s="212"/>
      <c r="G29" s="212"/>
      <c r="H29" s="212"/>
      <c r="I29" s="212"/>
      <c r="J29" s="212"/>
      <c r="K29" s="212"/>
      <c r="L29" s="212"/>
      <c r="M29" s="278" t="str">
        <f t="shared" si="0"/>
        <v/>
      </c>
      <c r="N29" s="204"/>
    </row>
    <row r="30" spans="1:14" ht="15">
      <c r="A30" s="212">
        <v>22</v>
      </c>
      <c r="B30" s="213"/>
      <c r="C30" s="277"/>
      <c r="D30" s="212"/>
      <c r="E30" s="212"/>
      <c r="F30" s="212"/>
      <c r="G30" s="212"/>
      <c r="H30" s="212"/>
      <c r="I30" s="212"/>
      <c r="J30" s="212"/>
      <c r="K30" s="212"/>
      <c r="L30" s="212"/>
      <c r="M30" s="278" t="str">
        <f t="shared" si="0"/>
        <v/>
      </c>
      <c r="N30" s="204"/>
    </row>
    <row r="31" spans="1:14" ht="15">
      <c r="A31" s="212">
        <v>23</v>
      </c>
      <c r="B31" s="213"/>
      <c r="C31" s="277"/>
      <c r="D31" s="212"/>
      <c r="E31" s="212"/>
      <c r="F31" s="212"/>
      <c r="G31" s="212"/>
      <c r="H31" s="212"/>
      <c r="I31" s="212"/>
      <c r="J31" s="212"/>
      <c r="K31" s="212"/>
      <c r="L31" s="212"/>
      <c r="M31" s="278" t="str">
        <f t="shared" si="0"/>
        <v/>
      </c>
      <c r="N31" s="204"/>
    </row>
    <row r="32" spans="1:14" ht="15">
      <c r="A32" s="212">
        <v>24</v>
      </c>
      <c r="B32" s="213"/>
      <c r="C32" s="277"/>
      <c r="D32" s="212"/>
      <c r="E32" s="212"/>
      <c r="F32" s="212"/>
      <c r="G32" s="212"/>
      <c r="H32" s="212"/>
      <c r="I32" s="212"/>
      <c r="J32" s="212"/>
      <c r="K32" s="212"/>
      <c r="L32" s="212"/>
      <c r="M32" s="278" t="str">
        <f t="shared" si="0"/>
        <v/>
      </c>
      <c r="N32" s="204"/>
    </row>
    <row r="33" spans="1:14" ht="15">
      <c r="A33" s="279" t="s">
        <v>277</v>
      </c>
      <c r="B33" s="213"/>
      <c r="C33" s="277"/>
      <c r="D33" s="212"/>
      <c r="E33" s="212"/>
      <c r="F33" s="212"/>
      <c r="G33" s="212"/>
      <c r="H33" s="212"/>
      <c r="I33" s="212"/>
      <c r="J33" s="212"/>
      <c r="K33" s="212"/>
      <c r="L33" s="212"/>
      <c r="M33" s="278" t="str">
        <f t="shared" si="0"/>
        <v/>
      </c>
      <c r="N33" s="204"/>
    </row>
    <row r="34" spans="1:14" s="219" customFormat="1"/>
    <row r="37" spans="1:14" s="21" customFormat="1" ht="15">
      <c r="B37" s="214" t="s">
        <v>106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267</v>
      </c>
      <c r="D40" s="215"/>
      <c r="E40" s="215"/>
      <c r="H40" s="214" t="s">
        <v>318</v>
      </c>
      <c r="M40" s="215"/>
    </row>
    <row r="41" spans="1:14" s="21" customFormat="1" ht="15">
      <c r="C41" s="217" t="s">
        <v>138</v>
      </c>
      <c r="D41" s="215"/>
      <c r="E41" s="215"/>
      <c r="H41" s="218" t="s">
        <v>268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zoomScale="80" zoomScaleSheetLayoutView="80" workbookViewId="0">
      <selection activeCell="B38" sqref="B38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18" t="s">
        <v>108</v>
      </c>
      <c r="D1" s="518"/>
      <c r="E1" s="115"/>
    </row>
    <row r="2" spans="1:12" s="6" customFormat="1">
      <c r="A2" s="78" t="s">
        <v>139</v>
      </c>
      <c r="B2" s="259"/>
      <c r="C2" s="519" t="s">
        <v>515</v>
      </c>
      <c r="D2" s="520"/>
      <c r="E2" s="115"/>
    </row>
    <row r="3" spans="1:12" s="6" customFormat="1">
      <c r="A3" s="78"/>
      <c r="B3" s="259"/>
      <c r="C3" s="400"/>
      <c r="D3" s="400"/>
      <c r="E3" s="115"/>
    </row>
    <row r="4" spans="1:12" s="2" customFormat="1">
      <c r="A4" s="79" t="str">
        <f>'[1]ფორმა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396"/>
      <c r="B7" s="114"/>
      <c r="C7" s="80"/>
      <c r="D7" s="80"/>
      <c r="E7" s="115"/>
    </row>
    <row r="8" spans="1:12" s="6" customFormat="1" ht="30">
      <c r="A8" s="108" t="s">
        <v>63</v>
      </c>
      <c r="B8" s="81" t="s">
        <v>248</v>
      </c>
      <c r="C8" s="81" t="s">
        <v>65</v>
      </c>
      <c r="D8" s="81" t="s">
        <v>66</v>
      </c>
      <c r="E8" s="115"/>
      <c r="F8" s="20"/>
    </row>
    <row r="9" spans="1:12" s="7" customFormat="1">
      <c r="A9" s="247">
        <v>1</v>
      </c>
      <c r="B9" s="247" t="s">
        <v>64</v>
      </c>
      <c r="C9" s="87">
        <f>SUM(C10,C26)</f>
        <v>475617.5</v>
      </c>
      <c r="D9" s="87">
        <f>SUM(D10,D26)</f>
        <v>476857.5</v>
      </c>
      <c r="E9" s="115"/>
    </row>
    <row r="10" spans="1:12" s="7" customFormat="1">
      <c r="A10" s="89">
        <v>1.1000000000000001</v>
      </c>
      <c r="B10" s="89" t="s">
        <v>79</v>
      </c>
      <c r="C10" s="87">
        <f>C12+C16</f>
        <v>475617.5</v>
      </c>
      <c r="D10" s="87">
        <f>D11+D12+D16+D25</f>
        <v>476857.5</v>
      </c>
      <c r="E10" s="115"/>
    </row>
    <row r="11" spans="1:12" s="9" customFormat="1" ht="18">
      <c r="A11" s="90" t="s">
        <v>29</v>
      </c>
      <c r="B11" s="90" t="s">
        <v>78</v>
      </c>
      <c r="C11" s="8"/>
      <c r="D11" s="8"/>
      <c r="E11" s="115"/>
    </row>
    <row r="12" spans="1:12" s="10" customFormat="1">
      <c r="A12" s="90" t="s">
        <v>30</v>
      </c>
      <c r="B12" s="90" t="s">
        <v>307</v>
      </c>
      <c r="C12" s="109">
        <f>SUM(C13:C15)</f>
        <v>107996.5</v>
      </c>
      <c r="D12" s="109">
        <f>SUM(D13:D15)</f>
        <v>107996.5</v>
      </c>
      <c r="E12" s="115"/>
    </row>
    <row r="13" spans="1:12" s="3" customFormat="1">
      <c r="A13" s="99" t="s">
        <v>80</v>
      </c>
      <c r="B13" s="99" t="s">
        <v>310</v>
      </c>
      <c r="C13" s="8">
        <v>107996.5</v>
      </c>
      <c r="D13" s="8">
        <f>C13</f>
        <v>107996.5</v>
      </c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367621</v>
      </c>
      <c r="D16" s="109">
        <f>SUM(D17:D18)</f>
        <v>367621</v>
      </c>
      <c r="E16" s="115"/>
    </row>
    <row r="17" spans="1:5" s="3" customFormat="1">
      <c r="A17" s="99" t="s">
        <v>83</v>
      </c>
      <c r="B17" s="99" t="s">
        <v>85</v>
      </c>
      <c r="C17" s="8">
        <v>249258</v>
      </c>
      <c r="D17" s="8">
        <f>C17</f>
        <v>249258</v>
      </c>
      <c r="E17" s="115"/>
    </row>
    <row r="18" spans="1:5" s="3" customFormat="1" ht="30">
      <c r="A18" s="99" t="s">
        <v>84</v>
      </c>
      <c r="B18" s="99" t="s">
        <v>109</v>
      </c>
      <c r="C18" s="8">
        <v>118363</v>
      </c>
      <c r="D18" s="8">
        <v>118363</v>
      </c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548</v>
      </c>
      <c r="D25" s="8">
        <v>1240</v>
      </c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5" t="s">
        <v>97</v>
      </c>
      <c r="B28" s="99" t="s">
        <v>549</v>
      </c>
      <c r="C28" s="8"/>
      <c r="D28" s="8"/>
      <c r="E28" s="115"/>
    </row>
    <row r="29" spans="1:5">
      <c r="A29" s="255" t="s">
        <v>98</v>
      </c>
      <c r="B29" s="99" t="s">
        <v>550</v>
      </c>
      <c r="C29" s="8"/>
      <c r="D29" s="8"/>
      <c r="E29" s="115"/>
    </row>
    <row r="30" spans="1:5">
      <c r="A30" s="255" t="s">
        <v>454</v>
      </c>
      <c r="B30" s="255" t="s">
        <v>309</v>
      </c>
      <c r="C30" s="8"/>
      <c r="D30" s="8"/>
      <c r="E30" s="115"/>
    </row>
    <row r="31" spans="1:5">
      <c r="A31" s="90" t="s">
        <v>32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5" t="s">
        <v>12</v>
      </c>
      <c r="B32" s="255" t="s">
        <v>508</v>
      </c>
      <c r="C32" s="8"/>
      <c r="D32" s="8"/>
      <c r="E32" s="115"/>
    </row>
    <row r="33" spans="1:9">
      <c r="A33" s="255" t="s">
        <v>13</v>
      </c>
      <c r="B33" s="255" t="s">
        <v>509</v>
      </c>
      <c r="C33" s="8"/>
      <c r="D33" s="8"/>
      <c r="E33" s="115"/>
    </row>
    <row r="34" spans="1:9">
      <c r="A34" s="255" t="s">
        <v>280</v>
      </c>
      <c r="B34" s="255" t="s">
        <v>510</v>
      </c>
      <c r="C34" s="8"/>
      <c r="D34" s="8"/>
      <c r="E34" s="115"/>
    </row>
    <row r="35" spans="1:9" s="23" customFormat="1">
      <c r="A35" s="90" t="s">
        <v>33</v>
      </c>
      <c r="B35" s="268" t="s">
        <v>451</v>
      </c>
      <c r="C35" s="8"/>
      <c r="D35" s="8"/>
    </row>
    <row r="36" spans="1:9" s="2" customFormat="1">
      <c r="A36" s="1"/>
      <c r="B36" s="262"/>
      <c r="E36" s="399"/>
    </row>
    <row r="37" spans="1:9" s="2" customFormat="1">
      <c r="B37" s="262"/>
      <c r="E37" s="399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399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15.85546875" style="2" customWidth="1"/>
    <col min="2" max="2" width="76.71093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405</v>
      </c>
      <c r="B1" s="244"/>
      <c r="C1" s="518" t="s">
        <v>108</v>
      </c>
      <c r="D1" s="518"/>
      <c r="E1" s="93"/>
    </row>
    <row r="2" spans="1:5" s="6" customFormat="1">
      <c r="A2" s="76" t="s">
        <v>406</v>
      </c>
      <c r="B2" s="244"/>
      <c r="C2" s="516" t="s">
        <v>515</v>
      </c>
      <c r="D2" s="517"/>
      <c r="E2" s="93"/>
    </row>
    <row r="3" spans="1:5" s="6" customFormat="1">
      <c r="A3" s="76" t="s">
        <v>407</v>
      </c>
      <c r="B3" s="244"/>
      <c r="C3" s="245"/>
      <c r="D3" s="245"/>
      <c r="E3" s="93"/>
    </row>
    <row r="4" spans="1:5" s="6" customFormat="1">
      <c r="A4" s="78" t="s">
        <v>139</v>
      </c>
      <c r="B4" s="244"/>
      <c r="C4" s="245"/>
      <c r="D4" s="245"/>
      <c r="E4" s="93"/>
    </row>
    <row r="5" spans="1:5" s="6" customFormat="1">
      <c r="A5" s="78"/>
      <c r="B5" s="244"/>
      <c r="C5" s="245"/>
      <c r="D5" s="245"/>
      <c r="E5" s="93"/>
    </row>
    <row r="6" spans="1:5">
      <c r="A6" s="79" t="str">
        <f>'[2]ფორმა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6" t="str">
        <f>'ფორმა N1'!D4</f>
        <v>მპგ  "გაერთიანებული დემოკრატიული მოძრაობა 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4"/>
      <c r="B9" s="244"/>
      <c r="C9" s="80"/>
      <c r="D9" s="80"/>
      <c r="E9" s="93"/>
    </row>
    <row r="10" spans="1:5" s="6" customFormat="1" ht="30">
      <c r="A10" s="91" t="s">
        <v>63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7">
        <v>1</v>
      </c>
      <c r="B11" s="247" t="s">
        <v>56</v>
      </c>
      <c r="C11" s="84">
        <f>SUM(C12,C15,C55,C58,C59,C60,C78)</f>
        <v>795906.83</v>
      </c>
      <c r="D11" s="84">
        <f>SUM(D12,D15,D55,D58,D59,D60,D66,D74,D75)</f>
        <v>765513.83000000007</v>
      </c>
      <c r="E11" s="248"/>
    </row>
    <row r="12" spans="1:5" s="9" customFormat="1" ht="18">
      <c r="A12" s="89">
        <v>1.1000000000000001</v>
      </c>
      <c r="B12" s="89" t="s">
        <v>57</v>
      </c>
      <c r="C12" s="85">
        <f>SUM(C13:C14)</f>
        <v>529500</v>
      </c>
      <c r="D12" s="85">
        <f>SUM(D13:D14)</f>
        <v>511421.5</v>
      </c>
      <c r="E12" s="95"/>
    </row>
    <row r="13" spans="1:5" s="10" customFormat="1">
      <c r="A13" s="90" t="s">
        <v>29</v>
      </c>
      <c r="B13" s="90" t="s">
        <v>58</v>
      </c>
      <c r="C13" s="4">
        <f>235875+195232.5+98392.5</f>
        <v>529500</v>
      </c>
      <c r="D13" s="4">
        <f>188700+49775+194232.5+78714</f>
        <v>511421.5</v>
      </c>
      <c r="E13" s="96"/>
    </row>
    <row r="14" spans="1:5" s="3" customFormat="1">
      <c r="A14" s="90" t="s">
        <v>30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59</v>
      </c>
      <c r="C15" s="86">
        <f>SUM(C16,C19,C31,C32,C33,C34,C37,C38,C45:C49,C53,C54)</f>
        <v>256903.44</v>
      </c>
      <c r="D15" s="86">
        <f>SUM(D16,D19,D31,D32,D33,D34,D37,D38,D45:D49,D53,D54)</f>
        <v>251947.03000000003</v>
      </c>
      <c r="E15" s="248"/>
    </row>
    <row r="16" spans="1:5" s="3" customFormat="1">
      <c r="A16" s="90" t="s">
        <v>31</v>
      </c>
      <c r="B16" s="90" t="s">
        <v>1</v>
      </c>
      <c r="C16" s="85">
        <f>SUM(C17:C18)</f>
        <v>24124.02</v>
      </c>
      <c r="D16" s="85">
        <f>SUM(D17:D18)</f>
        <v>24124</v>
      </c>
      <c r="E16" s="97"/>
    </row>
    <row r="17" spans="1:6" s="3" customFormat="1">
      <c r="A17" s="99" t="s">
        <v>97</v>
      </c>
      <c r="B17" s="99" t="s">
        <v>60</v>
      </c>
      <c r="C17" s="4">
        <f>600+260</f>
        <v>860</v>
      </c>
      <c r="D17" s="249">
        <v>860</v>
      </c>
      <c r="E17" s="97"/>
    </row>
    <row r="18" spans="1:6" s="3" customFormat="1">
      <c r="A18" s="99" t="s">
        <v>98</v>
      </c>
      <c r="B18" s="99" t="s">
        <v>61</v>
      </c>
      <c r="C18" s="4">
        <f>17182-77.98+6160</f>
        <v>23264.02</v>
      </c>
      <c r="D18" s="249">
        <f>17104+6160</f>
        <v>23264</v>
      </c>
      <c r="E18" s="97"/>
    </row>
    <row r="19" spans="1:6" s="3" customFormat="1">
      <c r="A19" s="90" t="s">
        <v>32</v>
      </c>
      <c r="B19" s="90" t="s">
        <v>2</v>
      </c>
      <c r="C19" s="85">
        <f>SUM(C20:C25,C30)</f>
        <v>27506.67</v>
      </c>
      <c r="D19" s="85">
        <f>SUM(D20:D25,D30)</f>
        <v>26921.299999999996</v>
      </c>
      <c r="E19" s="250"/>
      <c r="F19" s="251"/>
    </row>
    <row r="20" spans="1:6" s="254" customFormat="1" ht="30">
      <c r="A20" s="99" t="s">
        <v>12</v>
      </c>
      <c r="B20" s="99" t="s">
        <v>249</v>
      </c>
      <c r="C20" s="252">
        <f>75+519.26</f>
        <v>594.26</v>
      </c>
      <c r="D20" s="468">
        <f>55+539.26</f>
        <v>594.26</v>
      </c>
      <c r="E20" s="253"/>
    </row>
    <row r="21" spans="1:6" s="254" customFormat="1">
      <c r="A21" s="99" t="s">
        <v>13</v>
      </c>
      <c r="B21" s="99" t="s">
        <v>14</v>
      </c>
      <c r="C21" s="252"/>
      <c r="D21" s="39"/>
      <c r="E21" s="253"/>
    </row>
    <row r="22" spans="1:6" s="254" customFormat="1" ht="30">
      <c r="A22" s="99" t="s">
        <v>280</v>
      </c>
      <c r="B22" s="99" t="s">
        <v>22</v>
      </c>
      <c r="C22" s="252"/>
      <c r="D22" s="40"/>
      <c r="E22" s="253"/>
    </row>
    <row r="23" spans="1:6" s="254" customFormat="1" ht="16.5" customHeight="1">
      <c r="A23" s="99" t="s">
        <v>281</v>
      </c>
      <c r="B23" s="99" t="s">
        <v>15</v>
      </c>
      <c r="C23" s="252">
        <f>5486.79+3029.79+98.99+1564.38</f>
        <v>10179.950000000001</v>
      </c>
      <c r="D23" s="40">
        <f>5486.79+4.23+3.68-976.6-30.35+4263.55+98.99+172.74+571.55</f>
        <v>9594.5799999999981</v>
      </c>
      <c r="E23" s="253"/>
    </row>
    <row r="24" spans="1:6" s="254" customFormat="1" ht="16.5" customHeight="1">
      <c r="A24" s="99" t="s">
        <v>282</v>
      </c>
      <c r="B24" s="99" t="s">
        <v>16</v>
      </c>
      <c r="C24" s="252"/>
      <c r="D24" s="40"/>
      <c r="E24" s="253"/>
    </row>
    <row r="25" spans="1:6" s="254" customFormat="1" ht="16.5" customHeight="1">
      <c r="A25" s="99" t="s">
        <v>283</v>
      </c>
      <c r="B25" s="99" t="s">
        <v>17</v>
      </c>
      <c r="C25" s="85">
        <f>SUM(C26:C29)</f>
        <v>16732.46</v>
      </c>
      <c r="D25" s="85">
        <f>SUM(D26:D29)</f>
        <v>16732.46</v>
      </c>
      <c r="E25" s="253"/>
    </row>
    <row r="26" spans="1:6" s="254" customFormat="1" ht="16.5" customHeight="1">
      <c r="A26" s="255" t="s">
        <v>284</v>
      </c>
      <c r="B26" s="255" t="s">
        <v>18</v>
      </c>
      <c r="C26" s="252">
        <f>1764.83+1166.28+454.92</f>
        <v>3386.0299999999997</v>
      </c>
      <c r="D26" s="40">
        <f>C26</f>
        <v>3386.0299999999997</v>
      </c>
      <c r="E26" s="253"/>
    </row>
    <row r="27" spans="1:6" s="254" customFormat="1" ht="16.5" customHeight="1">
      <c r="A27" s="255" t="s">
        <v>285</v>
      </c>
      <c r="B27" s="255" t="s">
        <v>19</v>
      </c>
      <c r="C27" s="252">
        <f>716.74+872.81+304.25</f>
        <v>1893.8</v>
      </c>
      <c r="D27" s="40">
        <f>C27</f>
        <v>1893.8</v>
      </c>
      <c r="E27" s="253"/>
    </row>
    <row r="28" spans="1:6" s="254" customFormat="1" ht="16.5" customHeight="1">
      <c r="A28" s="255" t="s">
        <v>286</v>
      </c>
      <c r="B28" s="255" t="s">
        <v>20</v>
      </c>
      <c r="C28" s="252">
        <f>6663.44+2695.84+2042.7</f>
        <v>11401.98</v>
      </c>
      <c r="D28" s="252">
        <f>6663.44+2695.84+2042.7</f>
        <v>11401.98</v>
      </c>
      <c r="E28" s="253"/>
    </row>
    <row r="29" spans="1:6" s="254" customFormat="1" ht="16.5" customHeight="1">
      <c r="A29" s="255" t="s">
        <v>287</v>
      </c>
      <c r="B29" s="255" t="s">
        <v>23</v>
      </c>
      <c r="C29" s="252">
        <f>15+20+15.65</f>
        <v>50.65</v>
      </c>
      <c r="D29" s="252">
        <f>15+20+15.65</f>
        <v>50.65</v>
      </c>
      <c r="E29" s="253"/>
    </row>
    <row r="30" spans="1:6" s="254" customFormat="1" ht="16.5" customHeight="1">
      <c r="A30" s="99" t="s">
        <v>288</v>
      </c>
      <c r="B30" s="99" t="s">
        <v>21</v>
      </c>
      <c r="C30" s="252"/>
      <c r="D30" s="41"/>
      <c r="E30" s="253"/>
    </row>
    <row r="31" spans="1:6" s="3" customFormat="1" ht="16.5" customHeight="1">
      <c r="A31" s="90" t="s">
        <v>33</v>
      </c>
      <c r="B31" s="90" t="s">
        <v>3</v>
      </c>
      <c r="C31" s="4"/>
      <c r="D31" s="249"/>
      <c r="E31" s="250"/>
    </row>
    <row r="32" spans="1:6" s="3" customFormat="1" ht="16.5" customHeight="1">
      <c r="A32" s="90" t="s">
        <v>34</v>
      </c>
      <c r="B32" s="90" t="s">
        <v>4</v>
      </c>
      <c r="C32" s="4"/>
      <c r="D32" s="249"/>
      <c r="E32" s="97"/>
    </row>
    <row r="33" spans="1:5" s="3" customFormat="1" ht="16.5" customHeight="1">
      <c r="A33" s="90" t="s">
        <v>35</v>
      </c>
      <c r="B33" s="90" t="s">
        <v>5</v>
      </c>
      <c r="C33" s="4"/>
      <c r="D33" s="249"/>
      <c r="E33" s="97"/>
    </row>
    <row r="34" spans="1:5" s="3" customFormat="1">
      <c r="A34" s="90" t="s">
        <v>36</v>
      </c>
      <c r="B34" s="90" t="s">
        <v>62</v>
      </c>
      <c r="C34" s="85">
        <f>SUM(C35:C36)</f>
        <v>24442</v>
      </c>
      <c r="D34" s="85">
        <f>SUM(D35:D36)</f>
        <v>24442</v>
      </c>
      <c r="E34" s="97"/>
    </row>
    <row r="35" spans="1:5" s="3" customFormat="1" ht="16.5" customHeight="1">
      <c r="A35" s="99" t="s">
        <v>289</v>
      </c>
      <c r="B35" s="99" t="s">
        <v>55</v>
      </c>
      <c r="C35" s="4">
        <f>11222+13220</f>
        <v>24442</v>
      </c>
      <c r="D35" s="249">
        <f>C35</f>
        <v>24442</v>
      </c>
      <c r="E35" s="97"/>
    </row>
    <row r="36" spans="1:5" s="3" customFormat="1" ht="16.5" customHeight="1">
      <c r="A36" s="99" t="s">
        <v>290</v>
      </c>
      <c r="B36" s="99" t="s">
        <v>54</v>
      </c>
      <c r="C36" s="4"/>
      <c r="D36" s="249"/>
      <c r="E36" s="97"/>
    </row>
    <row r="37" spans="1:5" s="3" customFormat="1" ht="16.5" customHeight="1">
      <c r="A37" s="90" t="s">
        <v>37</v>
      </c>
      <c r="B37" s="90" t="s">
        <v>48</v>
      </c>
      <c r="C37" s="4">
        <f>161.29+141.99+47.02</f>
        <v>350.29999999999995</v>
      </c>
      <c r="D37" s="249">
        <f>C37</f>
        <v>350.29999999999995</v>
      </c>
      <c r="E37" s="97"/>
    </row>
    <row r="38" spans="1:5" s="3" customFormat="1" ht="16.5" customHeight="1">
      <c r="A38" s="90" t="s">
        <v>38</v>
      </c>
      <c r="B38" s="90" t="s">
        <v>408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354</v>
      </c>
      <c r="B39" s="17" t="s">
        <v>358</v>
      </c>
      <c r="C39" s="4"/>
      <c r="D39" s="249"/>
      <c r="E39" s="97"/>
    </row>
    <row r="40" spans="1:5" s="3" customFormat="1" ht="16.5" customHeight="1">
      <c r="A40" s="17" t="s">
        <v>355</v>
      </c>
      <c r="B40" s="17" t="s">
        <v>359</v>
      </c>
      <c r="C40" s="4"/>
      <c r="D40" s="249"/>
      <c r="E40" s="97"/>
    </row>
    <row r="41" spans="1:5" s="3" customFormat="1" ht="16.5" customHeight="1">
      <c r="A41" s="17" t="s">
        <v>356</v>
      </c>
      <c r="B41" s="17" t="s">
        <v>362</v>
      </c>
      <c r="C41" s="4"/>
      <c r="D41" s="249"/>
      <c r="E41" s="97"/>
    </row>
    <row r="42" spans="1:5" s="3" customFormat="1" ht="16.5" customHeight="1">
      <c r="A42" s="17" t="s">
        <v>361</v>
      </c>
      <c r="B42" s="17" t="s">
        <v>363</v>
      </c>
      <c r="C42" s="4"/>
      <c r="D42" s="249"/>
      <c r="E42" s="97"/>
    </row>
    <row r="43" spans="1:5" s="3" customFormat="1" ht="16.5" customHeight="1">
      <c r="A43" s="17" t="s">
        <v>364</v>
      </c>
      <c r="B43" s="17" t="s">
        <v>498</v>
      </c>
      <c r="C43" s="4"/>
      <c r="D43" s="249"/>
      <c r="E43" s="97"/>
    </row>
    <row r="44" spans="1:5" s="3" customFormat="1" ht="16.5" customHeight="1">
      <c r="A44" s="17" t="s">
        <v>499</v>
      </c>
      <c r="B44" s="17" t="s">
        <v>360</v>
      </c>
      <c r="C44" s="4"/>
      <c r="D44" s="249"/>
      <c r="E44" s="97"/>
    </row>
    <row r="45" spans="1:5" s="3" customFormat="1" ht="30">
      <c r="A45" s="90" t="s">
        <v>39</v>
      </c>
      <c r="B45" s="90" t="s">
        <v>27</v>
      </c>
      <c r="C45" s="4"/>
      <c r="D45" s="249"/>
      <c r="E45" s="97"/>
    </row>
    <row r="46" spans="1:5" s="3" customFormat="1" ht="16.5" customHeight="1">
      <c r="A46" s="90" t="s">
        <v>40</v>
      </c>
      <c r="B46" s="90" t="s">
        <v>24</v>
      </c>
      <c r="C46" s="4">
        <f>5655+3770</f>
        <v>9425</v>
      </c>
      <c r="D46" s="249">
        <f>4655+3770</f>
        <v>8425</v>
      </c>
      <c r="E46" s="97"/>
    </row>
    <row r="47" spans="1:5" s="3" customFormat="1" ht="16.5" customHeight="1">
      <c r="A47" s="90" t="s">
        <v>41</v>
      </c>
      <c r="B47" s="90" t="s">
        <v>25</v>
      </c>
      <c r="C47" s="4">
        <f>617+39</f>
        <v>656</v>
      </c>
      <c r="D47" s="249">
        <f>500+117</f>
        <v>617</v>
      </c>
      <c r="E47" s="97"/>
    </row>
    <row r="48" spans="1:5" s="3" customFormat="1" ht="16.5" customHeight="1">
      <c r="A48" s="90" t="s">
        <v>42</v>
      </c>
      <c r="B48" s="90" t="s">
        <v>26</v>
      </c>
      <c r="C48" s="4"/>
      <c r="D48" s="249"/>
      <c r="E48" s="97"/>
    </row>
    <row r="49" spans="1:6" s="3" customFormat="1" ht="16.5" customHeight="1">
      <c r="A49" s="90" t="s">
        <v>43</v>
      </c>
      <c r="B49" s="90" t="s">
        <v>409</v>
      </c>
      <c r="C49" s="85">
        <f>SUM(C50:C52)</f>
        <v>170399.45</v>
      </c>
      <c r="D49" s="85">
        <f>SUM(D50:D52)</f>
        <v>167067.43000000002</v>
      </c>
      <c r="E49" s="97"/>
    </row>
    <row r="50" spans="1:6" s="3" customFormat="1" ht="16.5" customHeight="1">
      <c r="A50" s="99" t="s">
        <v>370</v>
      </c>
      <c r="B50" s="99" t="s">
        <v>373</v>
      </c>
      <c r="C50" s="4">
        <f>77480.75+60689+32229.7</f>
        <v>170399.45</v>
      </c>
      <c r="D50" s="249">
        <f>30269.64+4222.62+42988.5+60689+26994.19+1903.48</f>
        <v>167067.43000000002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9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9"/>
      <c r="E52" s="97"/>
    </row>
    <row r="53" spans="1:6" s="3" customFormat="1">
      <c r="A53" s="90" t="s">
        <v>44</v>
      </c>
      <c r="B53" s="90" t="s">
        <v>28</v>
      </c>
      <c r="C53" s="4"/>
      <c r="D53" s="249"/>
      <c r="E53" s="97"/>
    </row>
    <row r="54" spans="1:6" s="3" customFormat="1" ht="16.5" customHeight="1">
      <c r="A54" s="90" t="s">
        <v>45</v>
      </c>
      <c r="B54" s="90" t="s">
        <v>6</v>
      </c>
      <c r="C54" s="4"/>
      <c r="D54" s="249"/>
      <c r="E54" s="250"/>
      <c r="F54" s="251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50"/>
      <c r="F55" s="251"/>
    </row>
    <row r="56" spans="1:6" s="3" customFormat="1" ht="30">
      <c r="A56" s="90" t="s">
        <v>49</v>
      </c>
      <c r="B56" s="90" t="s">
        <v>47</v>
      </c>
      <c r="C56" s="4"/>
      <c r="D56" s="249"/>
      <c r="E56" s="250"/>
      <c r="F56" s="251"/>
    </row>
    <row r="57" spans="1:6" s="3" customFormat="1" ht="16.5" customHeight="1">
      <c r="A57" s="90" t="s">
        <v>50</v>
      </c>
      <c r="B57" s="90" t="s">
        <v>46</v>
      </c>
      <c r="C57" s="4"/>
      <c r="D57" s="249"/>
      <c r="E57" s="250"/>
      <c r="F57" s="251"/>
    </row>
    <row r="58" spans="1:6" s="3" customFormat="1">
      <c r="A58" s="89">
        <v>1.4</v>
      </c>
      <c r="B58" s="89" t="s">
        <v>416</v>
      </c>
      <c r="C58" s="4"/>
      <c r="D58" s="249"/>
      <c r="E58" s="250"/>
      <c r="F58" s="251"/>
    </row>
    <row r="59" spans="1:6" s="254" customFormat="1">
      <c r="A59" s="89">
        <v>1.5</v>
      </c>
      <c r="B59" s="89" t="s">
        <v>7</v>
      </c>
      <c r="C59" s="252"/>
      <c r="D59" s="40"/>
      <c r="E59" s="253"/>
    </row>
    <row r="60" spans="1:6" s="254" customFormat="1">
      <c r="A60" s="89">
        <v>1.6</v>
      </c>
      <c r="B60" s="45" t="s">
        <v>8</v>
      </c>
      <c r="C60" s="87">
        <f>SUM(C61:C65)</f>
        <v>9503.39</v>
      </c>
      <c r="D60" s="88">
        <f>SUM(D61:D65)</f>
        <v>2145.3000000000002</v>
      </c>
      <c r="E60" s="253"/>
    </row>
    <row r="61" spans="1:6" s="254" customFormat="1">
      <c r="A61" s="90" t="s">
        <v>296</v>
      </c>
      <c r="B61" s="46" t="s">
        <v>51</v>
      </c>
      <c r="C61" s="252"/>
      <c r="D61" s="40"/>
      <c r="E61" s="253"/>
    </row>
    <row r="62" spans="1:6" s="254" customFormat="1" ht="30">
      <c r="A62" s="90" t="s">
        <v>297</v>
      </c>
      <c r="B62" s="46" t="s">
        <v>53</v>
      </c>
      <c r="C62" s="252"/>
      <c r="D62" s="40"/>
      <c r="E62" s="253"/>
    </row>
    <row r="63" spans="1:6" s="254" customFormat="1">
      <c r="A63" s="90" t="s">
        <v>298</v>
      </c>
      <c r="B63" s="46" t="s">
        <v>52</v>
      </c>
      <c r="C63" s="40"/>
      <c r="D63" s="40"/>
      <c r="E63" s="253"/>
    </row>
    <row r="64" spans="1:6" s="254" customFormat="1" ht="30">
      <c r="A64" s="90" t="s">
        <v>299</v>
      </c>
      <c r="B64" s="46" t="s">
        <v>1022</v>
      </c>
      <c r="C64" s="252">
        <f>145.3+9358.09</f>
        <v>9503.39</v>
      </c>
      <c r="D64" s="40">
        <v>2145.3000000000002</v>
      </c>
      <c r="E64" s="253"/>
    </row>
    <row r="65" spans="1:5" s="254" customFormat="1">
      <c r="A65" s="90" t="s">
        <v>336</v>
      </c>
      <c r="B65" s="46" t="s">
        <v>337</v>
      </c>
      <c r="C65" s="252"/>
      <c r="D65" s="40"/>
      <c r="E65" s="253"/>
    </row>
    <row r="66" spans="1:5">
      <c r="A66" s="247">
        <v>2</v>
      </c>
      <c r="B66" s="247" t="s">
        <v>410</v>
      </c>
      <c r="C66" s="87">
        <f>SUM(C67:C73)</f>
        <v>0</v>
      </c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7">
        <v>3</v>
      </c>
      <c r="B74" s="247" t="s">
        <v>450</v>
      </c>
      <c r="C74" s="87"/>
      <c r="D74" s="22"/>
      <c r="E74" s="98"/>
    </row>
    <row r="75" spans="1:5">
      <c r="A75" s="247">
        <v>4</v>
      </c>
      <c r="B75" s="247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7">
        <v>5</v>
      </c>
      <c r="B78" s="247" t="s">
        <v>278</v>
      </c>
      <c r="C78" s="285"/>
      <c r="D78" s="258"/>
      <c r="E78" s="98"/>
    </row>
    <row r="79" spans="1:5">
      <c r="B79" s="44"/>
    </row>
    <row r="80" spans="1:5">
      <c r="A80" s="521" t="s">
        <v>500</v>
      </c>
      <c r="B80" s="521"/>
      <c r="C80" s="521"/>
      <c r="D80" s="521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8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18" t="s">
        <v>108</v>
      </c>
      <c r="D1" s="518"/>
      <c r="E1" s="93"/>
    </row>
    <row r="2" spans="1:5" s="6" customFormat="1">
      <c r="A2" s="76" t="s">
        <v>327</v>
      </c>
      <c r="B2" s="79"/>
      <c r="C2" s="516" t="s">
        <v>515</v>
      </c>
      <c r="D2" s="516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 t="s">
        <v>1021</v>
      </c>
      <c r="C10" s="4">
        <v>145.30000000000001</v>
      </c>
      <c r="D10" s="4">
        <v>145.30000000000001</v>
      </c>
      <c r="E10" s="95"/>
    </row>
    <row r="11" spans="1:5" s="10" customFormat="1">
      <c r="A11" s="100" t="s">
        <v>329</v>
      </c>
      <c r="B11" s="100" t="s">
        <v>1023</v>
      </c>
      <c r="C11" s="4">
        <v>0</v>
      </c>
      <c r="D11" s="4">
        <v>2000</v>
      </c>
      <c r="E11" s="96"/>
    </row>
    <row r="12" spans="1:5" s="10" customFormat="1">
      <c r="A12" s="100" t="s">
        <v>1024</v>
      </c>
      <c r="B12" s="100" t="s">
        <v>1025</v>
      </c>
      <c r="C12" s="4">
        <v>9358.09</v>
      </c>
      <c r="D12" s="4">
        <v>0</v>
      </c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9503.39</v>
      </c>
      <c r="D24" s="88">
        <f>SUM(D10:D23)</f>
        <v>2145.3000000000002</v>
      </c>
      <c r="E24" s="98"/>
    </row>
    <row r="25" spans="1:5">
      <c r="A25" s="44"/>
      <c r="B25" s="44"/>
    </row>
    <row r="26" spans="1:5">
      <c r="A26" s="267" t="s">
        <v>440</v>
      </c>
      <c r="E26" s="5"/>
    </row>
    <row r="27" spans="1:5">
      <c r="A27" s="2" t="s">
        <v>441</v>
      </c>
    </row>
    <row r="28" spans="1:5">
      <c r="A28" s="222" t="s">
        <v>442</v>
      </c>
    </row>
    <row r="29" spans="1:5">
      <c r="A29" s="222"/>
    </row>
    <row r="30" spans="1:5">
      <c r="A30" s="222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94"/>
  <sheetViews>
    <sheetView view="pageBreakPreview" topLeftCell="A223" zoomScale="80" zoomScaleSheetLayoutView="80" workbookViewId="0">
      <selection activeCell="C240" sqref="C240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400"/>
      <c r="H1" s="400"/>
      <c r="I1" s="518" t="s">
        <v>108</v>
      </c>
      <c r="J1" s="518"/>
    </row>
    <row r="2" spans="1:10" ht="15">
      <c r="A2" s="78" t="s">
        <v>139</v>
      </c>
      <c r="B2" s="76"/>
      <c r="C2" s="79"/>
      <c r="D2" s="79"/>
      <c r="E2" s="79"/>
      <c r="F2" s="79"/>
      <c r="G2" s="400"/>
      <c r="H2" s="400"/>
      <c r="I2" s="516" t="s">
        <v>929</v>
      </c>
      <c r="J2" s="516"/>
    </row>
    <row r="3" spans="1:10" ht="15">
      <c r="A3" s="78"/>
      <c r="B3" s="78"/>
      <c r="C3" s="76"/>
      <c r="D3" s="76"/>
      <c r="E3" s="76"/>
      <c r="F3" s="76"/>
      <c r="G3" s="400"/>
      <c r="H3" s="400"/>
      <c r="I3" s="400"/>
    </row>
    <row r="4" spans="1:10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">
        <v>514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6"/>
      <c r="B7" s="396"/>
      <c r="C7" s="396"/>
      <c r="D7" s="396"/>
      <c r="E7" s="396"/>
      <c r="F7" s="396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7" t="s">
        <v>347</v>
      </c>
    </row>
    <row r="9" spans="1:10" ht="15">
      <c r="A9" s="92"/>
      <c r="B9" s="469" t="s">
        <v>880</v>
      </c>
      <c r="C9" s="92"/>
      <c r="D9" s="469" t="s">
        <v>881</v>
      </c>
      <c r="E9" s="92"/>
      <c r="F9" s="92"/>
      <c r="G9" s="469">
        <v>1250</v>
      </c>
      <c r="H9" s="81">
        <f>G9*0.8</f>
        <v>1000</v>
      </c>
      <c r="I9" s="81">
        <f>G9*0.2</f>
        <v>250</v>
      </c>
      <c r="J9" s="237"/>
    </row>
    <row r="10" spans="1:10" ht="15">
      <c r="A10" s="92"/>
      <c r="B10" s="469" t="s">
        <v>880</v>
      </c>
      <c r="C10" s="92"/>
      <c r="D10" s="469" t="s">
        <v>881</v>
      </c>
      <c r="E10" s="92"/>
      <c r="F10" s="92"/>
      <c r="G10" s="469">
        <v>1250</v>
      </c>
      <c r="H10" s="81">
        <f t="shared" ref="H10:H73" si="0">G10*0.8</f>
        <v>1000</v>
      </c>
      <c r="I10" s="81">
        <f t="shared" ref="I10:I73" si="1">G10*0.2</f>
        <v>250</v>
      </c>
      <c r="J10" s="237"/>
    </row>
    <row r="11" spans="1:10" ht="15">
      <c r="A11" s="92"/>
      <c r="B11" s="469" t="s">
        <v>880</v>
      </c>
      <c r="C11" s="92"/>
      <c r="D11" s="469" t="s">
        <v>881</v>
      </c>
      <c r="E11" s="92"/>
      <c r="F11" s="92"/>
      <c r="G11" s="469">
        <v>1250</v>
      </c>
      <c r="H11" s="81">
        <f t="shared" si="0"/>
        <v>1000</v>
      </c>
      <c r="I11" s="81">
        <f t="shared" si="1"/>
        <v>250</v>
      </c>
      <c r="J11" s="237"/>
    </row>
    <row r="12" spans="1:10" ht="15">
      <c r="A12" s="92"/>
      <c r="B12" s="469" t="s">
        <v>882</v>
      </c>
      <c r="C12" s="92"/>
      <c r="D12" s="469" t="s">
        <v>883</v>
      </c>
      <c r="E12" s="92"/>
      <c r="F12" s="92"/>
      <c r="G12" s="469">
        <v>1250</v>
      </c>
      <c r="H12" s="81">
        <f t="shared" si="0"/>
        <v>1000</v>
      </c>
      <c r="I12" s="81">
        <f t="shared" si="1"/>
        <v>250</v>
      </c>
      <c r="J12" s="237"/>
    </row>
    <row r="13" spans="1:10" ht="15">
      <c r="A13" s="92"/>
      <c r="B13" s="469" t="s">
        <v>882</v>
      </c>
      <c r="C13" s="92"/>
      <c r="D13" s="469" t="s">
        <v>883</v>
      </c>
      <c r="E13" s="92"/>
      <c r="F13" s="92"/>
      <c r="G13" s="469">
        <v>1250</v>
      </c>
      <c r="H13" s="81">
        <f t="shared" si="0"/>
        <v>1000</v>
      </c>
      <c r="I13" s="81">
        <f t="shared" si="1"/>
        <v>250</v>
      </c>
      <c r="J13" s="237"/>
    </row>
    <row r="14" spans="1:10" ht="15">
      <c r="A14" s="92"/>
      <c r="B14" s="469" t="s">
        <v>884</v>
      </c>
      <c r="C14" s="92"/>
      <c r="D14" s="469" t="s">
        <v>885</v>
      </c>
      <c r="E14" s="92"/>
      <c r="F14" s="92"/>
      <c r="G14" s="469">
        <v>2500</v>
      </c>
      <c r="H14" s="81">
        <f t="shared" si="0"/>
        <v>2000</v>
      </c>
      <c r="I14" s="81">
        <f t="shared" si="1"/>
        <v>500</v>
      </c>
      <c r="J14" s="237"/>
    </row>
    <row r="15" spans="1:10" ht="15">
      <c r="A15" s="92"/>
      <c r="B15" s="469" t="s">
        <v>884</v>
      </c>
      <c r="C15" s="92"/>
      <c r="D15" s="469" t="s">
        <v>885</v>
      </c>
      <c r="E15" s="92"/>
      <c r="F15" s="92"/>
      <c r="G15" s="469">
        <v>1250</v>
      </c>
      <c r="H15" s="81">
        <f t="shared" si="0"/>
        <v>1000</v>
      </c>
      <c r="I15" s="81">
        <f t="shared" si="1"/>
        <v>250</v>
      </c>
      <c r="J15" s="237"/>
    </row>
    <row r="16" spans="1:10" ht="15">
      <c r="A16" s="92"/>
      <c r="B16" s="469" t="s">
        <v>886</v>
      </c>
      <c r="C16" s="92"/>
      <c r="D16" s="469" t="s">
        <v>887</v>
      </c>
      <c r="E16" s="92"/>
      <c r="F16" s="92"/>
      <c r="G16" s="469">
        <v>1250</v>
      </c>
      <c r="H16" s="81">
        <f t="shared" si="0"/>
        <v>1000</v>
      </c>
      <c r="I16" s="81">
        <f t="shared" si="1"/>
        <v>250</v>
      </c>
      <c r="J16" s="237"/>
    </row>
    <row r="17" spans="1:10" ht="15">
      <c r="A17" s="92"/>
      <c r="B17" s="469" t="s">
        <v>886</v>
      </c>
      <c r="C17" s="92"/>
      <c r="D17" s="469" t="s">
        <v>887</v>
      </c>
      <c r="E17" s="92"/>
      <c r="F17" s="92"/>
      <c r="G17" s="469">
        <v>1250</v>
      </c>
      <c r="H17" s="81">
        <f t="shared" si="0"/>
        <v>1000</v>
      </c>
      <c r="I17" s="81">
        <f t="shared" si="1"/>
        <v>250</v>
      </c>
      <c r="J17" s="237"/>
    </row>
    <row r="18" spans="1:10" ht="15">
      <c r="A18" s="92"/>
      <c r="B18" s="469" t="s">
        <v>538</v>
      </c>
      <c r="C18" s="92"/>
      <c r="D18" s="469" t="s">
        <v>539</v>
      </c>
      <c r="E18" s="92"/>
      <c r="F18" s="92"/>
      <c r="G18" s="469">
        <v>6250</v>
      </c>
      <c r="H18" s="81">
        <f t="shared" si="0"/>
        <v>5000</v>
      </c>
      <c r="I18" s="81">
        <f t="shared" si="1"/>
        <v>1250</v>
      </c>
      <c r="J18" s="237"/>
    </row>
    <row r="19" spans="1:10" ht="15">
      <c r="A19" s="92"/>
      <c r="B19" s="469" t="s">
        <v>538</v>
      </c>
      <c r="C19" s="92"/>
      <c r="D19" s="469" t="s">
        <v>539</v>
      </c>
      <c r="E19" s="92"/>
      <c r="F19" s="92"/>
      <c r="G19" s="469">
        <v>6250</v>
      </c>
      <c r="H19" s="81">
        <f t="shared" si="0"/>
        <v>5000</v>
      </c>
      <c r="I19" s="81">
        <f t="shared" si="1"/>
        <v>1250</v>
      </c>
      <c r="J19" s="237"/>
    </row>
    <row r="20" spans="1:10" ht="15">
      <c r="A20" s="92"/>
      <c r="B20" s="469" t="s">
        <v>888</v>
      </c>
      <c r="C20" s="92"/>
      <c r="D20" s="469" t="s">
        <v>889</v>
      </c>
      <c r="E20" s="92"/>
      <c r="F20" s="92"/>
      <c r="G20" s="469">
        <v>2500</v>
      </c>
      <c r="H20" s="81">
        <f t="shared" si="0"/>
        <v>2000</v>
      </c>
      <c r="I20" s="81">
        <f t="shared" si="1"/>
        <v>500</v>
      </c>
      <c r="J20" s="237"/>
    </row>
    <row r="21" spans="1:10" ht="15">
      <c r="A21" s="92"/>
      <c r="B21" s="469" t="s">
        <v>890</v>
      </c>
      <c r="C21" s="92"/>
      <c r="D21" s="469" t="s">
        <v>891</v>
      </c>
      <c r="E21" s="92"/>
      <c r="F21" s="92"/>
      <c r="G21" s="469">
        <v>1250</v>
      </c>
      <c r="H21" s="81">
        <f t="shared" si="0"/>
        <v>1000</v>
      </c>
      <c r="I21" s="81">
        <f t="shared" si="1"/>
        <v>250</v>
      </c>
      <c r="J21" s="237"/>
    </row>
    <row r="22" spans="1:10" ht="15">
      <c r="A22" s="92"/>
      <c r="B22" s="469" t="s">
        <v>890</v>
      </c>
      <c r="C22" s="92"/>
      <c r="D22" s="469" t="s">
        <v>891</v>
      </c>
      <c r="E22" s="92"/>
      <c r="F22" s="92"/>
      <c r="G22" s="469">
        <v>1250</v>
      </c>
      <c r="H22" s="81">
        <f t="shared" si="0"/>
        <v>1000</v>
      </c>
      <c r="I22" s="81">
        <f t="shared" si="1"/>
        <v>250</v>
      </c>
      <c r="J22" s="237"/>
    </row>
    <row r="23" spans="1:10" ht="15">
      <c r="A23" s="92"/>
      <c r="B23" s="469" t="s">
        <v>890</v>
      </c>
      <c r="C23" s="92"/>
      <c r="D23" s="469" t="s">
        <v>891</v>
      </c>
      <c r="E23" s="92"/>
      <c r="F23" s="92"/>
      <c r="G23" s="469">
        <v>1250</v>
      </c>
      <c r="H23" s="81">
        <f t="shared" si="0"/>
        <v>1000</v>
      </c>
      <c r="I23" s="81">
        <f t="shared" si="1"/>
        <v>250</v>
      </c>
      <c r="J23" s="237"/>
    </row>
    <row r="24" spans="1:10" ht="15">
      <c r="A24" s="92"/>
      <c r="B24" s="469" t="s">
        <v>892</v>
      </c>
      <c r="C24" s="92"/>
      <c r="D24" s="469" t="s">
        <v>893</v>
      </c>
      <c r="E24" s="92"/>
      <c r="F24" s="92"/>
      <c r="G24" s="469">
        <v>2500</v>
      </c>
      <c r="H24" s="81">
        <f t="shared" si="0"/>
        <v>2000</v>
      </c>
      <c r="I24" s="81">
        <f t="shared" si="1"/>
        <v>500</v>
      </c>
      <c r="J24" s="237"/>
    </row>
    <row r="25" spans="1:10" ht="15">
      <c r="A25" s="92"/>
      <c r="B25" s="469" t="s">
        <v>892</v>
      </c>
      <c r="C25" s="92"/>
      <c r="D25" s="469" t="s">
        <v>893</v>
      </c>
      <c r="E25" s="92"/>
      <c r="F25" s="92"/>
      <c r="G25" s="469">
        <v>1250</v>
      </c>
      <c r="H25" s="81">
        <f t="shared" si="0"/>
        <v>1000</v>
      </c>
      <c r="I25" s="81">
        <f t="shared" si="1"/>
        <v>250</v>
      </c>
      <c r="J25" s="237"/>
    </row>
    <row r="26" spans="1:10" ht="15">
      <c r="A26" s="92"/>
      <c r="B26" s="469" t="s">
        <v>894</v>
      </c>
      <c r="C26" s="92"/>
      <c r="D26" s="469" t="s">
        <v>895</v>
      </c>
      <c r="E26" s="92"/>
      <c r="F26" s="92"/>
      <c r="G26" s="469">
        <v>2500</v>
      </c>
      <c r="H26" s="81">
        <f t="shared" si="0"/>
        <v>2000</v>
      </c>
      <c r="I26" s="81">
        <f t="shared" si="1"/>
        <v>500</v>
      </c>
      <c r="J26" s="237"/>
    </row>
    <row r="27" spans="1:10" ht="15">
      <c r="A27" s="92"/>
      <c r="B27" s="469" t="s">
        <v>531</v>
      </c>
      <c r="C27" s="92"/>
      <c r="D27" s="469" t="s">
        <v>532</v>
      </c>
      <c r="E27" s="92"/>
      <c r="F27" s="92"/>
      <c r="G27" s="469">
        <v>1250</v>
      </c>
      <c r="H27" s="81">
        <f t="shared" si="0"/>
        <v>1000</v>
      </c>
      <c r="I27" s="81">
        <f t="shared" si="1"/>
        <v>250</v>
      </c>
      <c r="J27" s="237"/>
    </row>
    <row r="28" spans="1:10" ht="15">
      <c r="A28" s="92"/>
      <c r="B28" s="469" t="s">
        <v>531</v>
      </c>
      <c r="C28" s="92"/>
      <c r="D28" s="469" t="s">
        <v>532</v>
      </c>
      <c r="E28" s="92"/>
      <c r="F28" s="92"/>
      <c r="G28" s="469">
        <v>2500</v>
      </c>
      <c r="H28" s="81">
        <f t="shared" si="0"/>
        <v>2000</v>
      </c>
      <c r="I28" s="81">
        <f t="shared" si="1"/>
        <v>500</v>
      </c>
      <c r="J28" s="237"/>
    </row>
    <row r="29" spans="1:10" ht="15">
      <c r="A29" s="92"/>
      <c r="B29" s="469" t="s">
        <v>518</v>
      </c>
      <c r="C29" s="92"/>
      <c r="D29" s="469" t="s">
        <v>519</v>
      </c>
      <c r="E29" s="92"/>
      <c r="F29" s="92"/>
      <c r="G29" s="469">
        <v>2750</v>
      </c>
      <c r="H29" s="81">
        <f t="shared" si="0"/>
        <v>2200</v>
      </c>
      <c r="I29" s="81">
        <f t="shared" si="1"/>
        <v>550</v>
      </c>
      <c r="J29" s="237"/>
    </row>
    <row r="30" spans="1:10" ht="15">
      <c r="A30" s="92"/>
      <c r="B30" s="469" t="s">
        <v>896</v>
      </c>
      <c r="C30" s="92"/>
      <c r="D30" s="469" t="s">
        <v>897</v>
      </c>
      <c r="E30" s="92"/>
      <c r="F30" s="92"/>
      <c r="G30" s="469">
        <v>1250</v>
      </c>
      <c r="H30" s="81">
        <f t="shared" si="0"/>
        <v>1000</v>
      </c>
      <c r="I30" s="81">
        <f t="shared" si="1"/>
        <v>250</v>
      </c>
      <c r="J30" s="237"/>
    </row>
    <row r="31" spans="1:10" ht="15">
      <c r="A31" s="92"/>
      <c r="B31" s="469" t="s">
        <v>896</v>
      </c>
      <c r="C31" s="92"/>
      <c r="D31" s="469" t="s">
        <v>897</v>
      </c>
      <c r="E31" s="92"/>
      <c r="F31" s="92"/>
      <c r="G31" s="469">
        <v>1250</v>
      </c>
      <c r="H31" s="81">
        <f t="shared" si="0"/>
        <v>1000</v>
      </c>
      <c r="I31" s="81">
        <f t="shared" si="1"/>
        <v>250</v>
      </c>
      <c r="J31" s="237"/>
    </row>
    <row r="32" spans="1:10" ht="15">
      <c r="A32" s="92"/>
      <c r="B32" s="469" t="s">
        <v>896</v>
      </c>
      <c r="C32" s="92"/>
      <c r="D32" s="469" t="s">
        <v>897</v>
      </c>
      <c r="E32" s="92"/>
      <c r="F32" s="92"/>
      <c r="G32" s="469">
        <v>1250</v>
      </c>
      <c r="H32" s="81">
        <f t="shared" si="0"/>
        <v>1000</v>
      </c>
      <c r="I32" s="81">
        <f t="shared" si="1"/>
        <v>250</v>
      </c>
      <c r="J32" s="237"/>
    </row>
    <row r="33" spans="1:10" ht="15">
      <c r="A33" s="92"/>
      <c r="B33" s="469" t="s">
        <v>898</v>
      </c>
      <c r="C33" s="92"/>
      <c r="D33" s="469" t="s">
        <v>899</v>
      </c>
      <c r="E33" s="92"/>
      <c r="F33" s="92"/>
      <c r="G33" s="469">
        <v>1125</v>
      </c>
      <c r="H33" s="81">
        <f t="shared" si="0"/>
        <v>900</v>
      </c>
      <c r="I33" s="81">
        <f t="shared" si="1"/>
        <v>225</v>
      </c>
      <c r="J33" s="237"/>
    </row>
    <row r="34" spans="1:10" ht="15">
      <c r="A34" s="92"/>
      <c r="B34" s="469" t="s">
        <v>525</v>
      </c>
      <c r="C34" s="92"/>
      <c r="D34" s="469" t="s">
        <v>526</v>
      </c>
      <c r="E34" s="92"/>
      <c r="F34" s="92"/>
      <c r="G34" s="469">
        <v>1875</v>
      </c>
      <c r="H34" s="81">
        <f t="shared" si="0"/>
        <v>1500</v>
      </c>
      <c r="I34" s="81">
        <f t="shared" si="1"/>
        <v>375</v>
      </c>
      <c r="J34" s="237"/>
    </row>
    <row r="35" spans="1:10" ht="15">
      <c r="A35" s="92"/>
      <c r="B35" s="469" t="s">
        <v>525</v>
      </c>
      <c r="C35" s="92"/>
      <c r="D35" s="469" t="s">
        <v>526</v>
      </c>
      <c r="E35" s="92"/>
      <c r="F35" s="92"/>
      <c r="G35" s="469">
        <v>1875</v>
      </c>
      <c r="H35" s="81">
        <f t="shared" si="0"/>
        <v>1500</v>
      </c>
      <c r="I35" s="81">
        <f t="shared" si="1"/>
        <v>375</v>
      </c>
      <c r="J35" s="237"/>
    </row>
    <row r="36" spans="1:10" ht="15">
      <c r="A36" s="92"/>
      <c r="B36" s="469" t="s">
        <v>900</v>
      </c>
      <c r="C36" s="92"/>
      <c r="D36" s="469" t="s">
        <v>901</v>
      </c>
      <c r="E36" s="92"/>
      <c r="F36" s="92"/>
      <c r="G36" s="469">
        <v>1875</v>
      </c>
      <c r="H36" s="81">
        <f t="shared" si="0"/>
        <v>1500</v>
      </c>
      <c r="I36" s="81">
        <f t="shared" si="1"/>
        <v>375</v>
      </c>
      <c r="J36" s="237"/>
    </row>
    <row r="37" spans="1:10" ht="15">
      <c r="A37" s="92"/>
      <c r="B37" s="469" t="s">
        <v>902</v>
      </c>
      <c r="C37" s="92"/>
      <c r="D37" s="469" t="s">
        <v>903</v>
      </c>
      <c r="E37" s="92"/>
      <c r="F37" s="92"/>
      <c r="G37" s="469">
        <v>1250</v>
      </c>
      <c r="H37" s="81">
        <f t="shared" si="0"/>
        <v>1000</v>
      </c>
      <c r="I37" s="81">
        <f t="shared" si="1"/>
        <v>250</v>
      </c>
      <c r="J37" s="237"/>
    </row>
    <row r="38" spans="1:10" ht="15">
      <c r="A38" s="92"/>
      <c r="B38" s="469" t="s">
        <v>902</v>
      </c>
      <c r="C38" s="92"/>
      <c r="D38" s="469" t="s">
        <v>903</v>
      </c>
      <c r="E38" s="92"/>
      <c r="F38" s="92"/>
      <c r="G38" s="469">
        <v>1250</v>
      </c>
      <c r="H38" s="81">
        <f t="shared" si="0"/>
        <v>1000</v>
      </c>
      <c r="I38" s="81">
        <f t="shared" si="1"/>
        <v>250</v>
      </c>
      <c r="J38" s="237"/>
    </row>
    <row r="39" spans="1:10" ht="15">
      <c r="A39" s="92"/>
      <c r="B39" s="469" t="s">
        <v>902</v>
      </c>
      <c r="C39" s="92"/>
      <c r="D39" s="469" t="s">
        <v>903</v>
      </c>
      <c r="E39" s="92"/>
      <c r="F39" s="92"/>
      <c r="G39" s="469">
        <v>1250</v>
      </c>
      <c r="H39" s="81">
        <f t="shared" si="0"/>
        <v>1000</v>
      </c>
      <c r="I39" s="81">
        <f t="shared" si="1"/>
        <v>250</v>
      </c>
      <c r="J39" s="237"/>
    </row>
    <row r="40" spans="1:10" ht="15">
      <c r="A40" s="470"/>
      <c r="B40" s="471" t="s">
        <v>904</v>
      </c>
      <c r="C40" s="470"/>
      <c r="D40" s="471" t="s">
        <v>905</v>
      </c>
      <c r="E40" s="470"/>
      <c r="F40" s="470"/>
      <c r="G40" s="471">
        <v>1250</v>
      </c>
      <c r="H40" s="470">
        <f t="shared" si="0"/>
        <v>1000</v>
      </c>
      <c r="I40" s="470">
        <f t="shared" si="1"/>
        <v>250</v>
      </c>
      <c r="J40" s="237"/>
    </row>
    <row r="41" spans="1:10" ht="15">
      <c r="A41" s="470"/>
      <c r="B41" s="471" t="s">
        <v>904</v>
      </c>
      <c r="C41" s="470"/>
      <c r="D41" s="471" t="s">
        <v>905</v>
      </c>
      <c r="E41" s="470"/>
      <c r="F41" s="470"/>
      <c r="G41" s="471">
        <v>1250</v>
      </c>
      <c r="H41" s="470">
        <f t="shared" si="0"/>
        <v>1000</v>
      </c>
      <c r="I41" s="470">
        <f t="shared" si="1"/>
        <v>250</v>
      </c>
      <c r="J41" s="237"/>
    </row>
    <row r="42" spans="1:10" ht="15">
      <c r="A42" s="470"/>
      <c r="B42" s="471" t="s">
        <v>904</v>
      </c>
      <c r="C42" s="470"/>
      <c r="D42" s="471" t="s">
        <v>905</v>
      </c>
      <c r="E42" s="470"/>
      <c r="F42" s="470"/>
      <c r="G42" s="471">
        <v>1250</v>
      </c>
      <c r="H42" s="470">
        <f t="shared" si="0"/>
        <v>1000</v>
      </c>
      <c r="I42" s="470">
        <f t="shared" si="1"/>
        <v>250</v>
      </c>
      <c r="J42" s="237"/>
    </row>
    <row r="43" spans="1:10" ht="15">
      <c r="A43" s="470"/>
      <c r="B43" s="471" t="s">
        <v>528</v>
      </c>
      <c r="C43" s="470"/>
      <c r="D43" s="471" t="s">
        <v>529</v>
      </c>
      <c r="E43" s="470"/>
      <c r="F43" s="470"/>
      <c r="G43" s="471">
        <v>2500</v>
      </c>
      <c r="H43" s="470">
        <f t="shared" si="0"/>
        <v>2000</v>
      </c>
      <c r="I43" s="470">
        <f t="shared" si="1"/>
        <v>500</v>
      </c>
      <c r="J43" s="237"/>
    </row>
    <row r="44" spans="1:10" ht="15">
      <c r="A44" s="470"/>
      <c r="B44" s="471" t="s">
        <v>521</v>
      </c>
      <c r="C44" s="470"/>
      <c r="D44" s="471" t="s">
        <v>522</v>
      </c>
      <c r="E44" s="470"/>
      <c r="F44" s="470"/>
      <c r="G44" s="471">
        <v>2500</v>
      </c>
      <c r="H44" s="470">
        <f t="shared" si="0"/>
        <v>2000</v>
      </c>
      <c r="I44" s="470">
        <f t="shared" si="1"/>
        <v>500</v>
      </c>
      <c r="J44" s="237"/>
    </row>
    <row r="45" spans="1:10" ht="15">
      <c r="A45" s="470"/>
      <c r="B45" s="471" t="s">
        <v>534</v>
      </c>
      <c r="C45" s="470"/>
      <c r="D45" s="471" t="s">
        <v>535</v>
      </c>
      <c r="E45" s="470"/>
      <c r="F45" s="470"/>
      <c r="G45" s="471">
        <v>1875</v>
      </c>
      <c r="H45" s="470">
        <f t="shared" si="0"/>
        <v>1500</v>
      </c>
      <c r="I45" s="470">
        <f t="shared" si="1"/>
        <v>375</v>
      </c>
      <c r="J45" s="237"/>
    </row>
    <row r="46" spans="1:10" ht="15">
      <c r="A46" s="470"/>
      <c r="B46" s="471" t="s">
        <v>534</v>
      </c>
      <c r="C46" s="470"/>
      <c r="D46" s="471" t="s">
        <v>535</v>
      </c>
      <c r="E46" s="470"/>
      <c r="F46" s="470"/>
      <c r="G46" s="471">
        <v>1875</v>
      </c>
      <c r="H46" s="470">
        <f t="shared" si="0"/>
        <v>1500</v>
      </c>
      <c r="I46" s="470">
        <f t="shared" si="1"/>
        <v>375</v>
      </c>
      <c r="J46" s="237"/>
    </row>
    <row r="47" spans="1:10" ht="15">
      <c r="A47" s="470"/>
      <c r="B47" s="471" t="s">
        <v>534</v>
      </c>
      <c r="C47" s="470"/>
      <c r="D47" s="471" t="s">
        <v>535</v>
      </c>
      <c r="E47" s="470"/>
      <c r="F47" s="470"/>
      <c r="G47" s="471">
        <v>1875</v>
      </c>
      <c r="H47" s="470">
        <f t="shared" si="0"/>
        <v>1500</v>
      </c>
      <c r="I47" s="470">
        <f t="shared" si="1"/>
        <v>375</v>
      </c>
      <c r="J47" s="237"/>
    </row>
    <row r="48" spans="1:10" ht="15">
      <c r="A48" s="470"/>
      <c r="B48" s="471" t="s">
        <v>906</v>
      </c>
      <c r="C48" s="470"/>
      <c r="D48" s="471" t="s">
        <v>907</v>
      </c>
      <c r="E48" s="470"/>
      <c r="F48" s="470"/>
      <c r="G48" s="471">
        <v>2500</v>
      </c>
      <c r="H48" s="470">
        <f t="shared" si="0"/>
        <v>2000</v>
      </c>
      <c r="I48" s="470">
        <f t="shared" si="1"/>
        <v>500</v>
      </c>
      <c r="J48" s="237"/>
    </row>
    <row r="49" spans="1:10" ht="15">
      <c r="A49" s="470"/>
      <c r="B49" s="471" t="s">
        <v>906</v>
      </c>
      <c r="C49" s="470"/>
      <c r="D49" s="471" t="s">
        <v>907</v>
      </c>
      <c r="E49" s="470"/>
      <c r="F49" s="470"/>
      <c r="G49" s="471">
        <v>1250</v>
      </c>
      <c r="H49" s="470">
        <f t="shared" si="0"/>
        <v>1000</v>
      </c>
      <c r="I49" s="470">
        <f t="shared" si="1"/>
        <v>250</v>
      </c>
      <c r="J49" s="237"/>
    </row>
    <row r="50" spans="1:10" ht="15">
      <c r="A50" s="470"/>
      <c r="B50" s="471" t="s">
        <v>908</v>
      </c>
      <c r="C50" s="470"/>
      <c r="D50" s="471" t="s">
        <v>909</v>
      </c>
      <c r="E50" s="470"/>
      <c r="F50" s="470"/>
      <c r="G50" s="471">
        <v>1875</v>
      </c>
      <c r="H50" s="470">
        <f t="shared" si="0"/>
        <v>1500</v>
      </c>
      <c r="I50" s="470">
        <f t="shared" si="1"/>
        <v>375</v>
      </c>
      <c r="J50" s="237"/>
    </row>
    <row r="51" spans="1:10" ht="15">
      <c r="A51" s="470"/>
      <c r="B51" s="471" t="s">
        <v>908</v>
      </c>
      <c r="C51" s="470"/>
      <c r="D51" s="471" t="s">
        <v>909</v>
      </c>
      <c r="E51" s="470"/>
      <c r="F51" s="470"/>
      <c r="G51" s="471">
        <v>1875</v>
      </c>
      <c r="H51" s="470">
        <f t="shared" si="0"/>
        <v>1500</v>
      </c>
      <c r="I51" s="470">
        <f t="shared" si="1"/>
        <v>375</v>
      </c>
      <c r="J51" s="237"/>
    </row>
    <row r="52" spans="1:10" ht="15">
      <c r="A52" s="470"/>
      <c r="B52" s="471" t="s">
        <v>908</v>
      </c>
      <c r="C52" s="470"/>
      <c r="D52" s="471" t="s">
        <v>909</v>
      </c>
      <c r="E52" s="470"/>
      <c r="F52" s="470"/>
      <c r="G52" s="471">
        <v>1875</v>
      </c>
      <c r="H52" s="470">
        <f t="shared" si="0"/>
        <v>1500</v>
      </c>
      <c r="I52" s="470">
        <f t="shared" si="1"/>
        <v>375</v>
      </c>
      <c r="J52" s="237"/>
    </row>
    <row r="53" spans="1:10" ht="15">
      <c r="A53" s="470"/>
      <c r="B53" s="471" t="s">
        <v>910</v>
      </c>
      <c r="C53" s="470"/>
      <c r="D53" s="471" t="s">
        <v>911</v>
      </c>
      <c r="E53" s="470"/>
      <c r="F53" s="470"/>
      <c r="G53" s="471">
        <v>1250</v>
      </c>
      <c r="H53" s="470">
        <f t="shared" si="0"/>
        <v>1000</v>
      </c>
      <c r="I53" s="470">
        <f t="shared" si="1"/>
        <v>250</v>
      </c>
      <c r="J53" s="237"/>
    </row>
    <row r="54" spans="1:10" ht="15">
      <c r="A54" s="470"/>
      <c r="B54" s="471" t="s">
        <v>910</v>
      </c>
      <c r="C54" s="470"/>
      <c r="D54" s="471" t="s">
        <v>911</v>
      </c>
      <c r="E54" s="470"/>
      <c r="F54" s="470"/>
      <c r="G54" s="471">
        <v>1250</v>
      </c>
      <c r="H54" s="470">
        <f t="shared" si="0"/>
        <v>1000</v>
      </c>
      <c r="I54" s="470">
        <f t="shared" si="1"/>
        <v>250</v>
      </c>
      <c r="J54" s="237"/>
    </row>
    <row r="55" spans="1:10" ht="15">
      <c r="A55" s="470"/>
      <c r="B55" s="471" t="s">
        <v>910</v>
      </c>
      <c r="C55" s="470"/>
      <c r="D55" s="471" t="s">
        <v>911</v>
      </c>
      <c r="E55" s="470"/>
      <c r="F55" s="470"/>
      <c r="G55" s="471">
        <v>1250</v>
      </c>
      <c r="H55" s="470">
        <f t="shared" si="0"/>
        <v>1000</v>
      </c>
      <c r="I55" s="470">
        <f t="shared" si="1"/>
        <v>250</v>
      </c>
      <c r="J55" s="237"/>
    </row>
    <row r="56" spans="1:10" ht="15">
      <c r="A56" s="470"/>
      <c r="B56" s="471" t="s">
        <v>880</v>
      </c>
      <c r="C56" s="470"/>
      <c r="D56" s="471" t="s">
        <v>881</v>
      </c>
      <c r="E56" s="470"/>
      <c r="F56" s="470"/>
      <c r="G56" s="471">
        <v>1250</v>
      </c>
      <c r="H56" s="470">
        <f t="shared" si="0"/>
        <v>1000</v>
      </c>
      <c r="I56" s="470">
        <f t="shared" si="1"/>
        <v>250</v>
      </c>
      <c r="J56" s="237"/>
    </row>
    <row r="57" spans="1:10" ht="15">
      <c r="A57" s="470"/>
      <c r="B57" s="471" t="s">
        <v>880</v>
      </c>
      <c r="C57" s="470"/>
      <c r="D57" s="471" t="s">
        <v>881</v>
      </c>
      <c r="E57" s="470"/>
      <c r="F57" s="470"/>
      <c r="G57" s="471">
        <v>1250</v>
      </c>
      <c r="H57" s="470">
        <f t="shared" si="0"/>
        <v>1000</v>
      </c>
      <c r="I57" s="470">
        <f t="shared" si="1"/>
        <v>250</v>
      </c>
      <c r="J57" s="237"/>
    </row>
    <row r="58" spans="1:10" ht="15">
      <c r="A58" s="470"/>
      <c r="B58" s="471" t="s">
        <v>882</v>
      </c>
      <c r="C58" s="470"/>
      <c r="D58" s="471" t="s">
        <v>883</v>
      </c>
      <c r="E58" s="470"/>
      <c r="F58" s="470"/>
      <c r="G58" s="471">
        <v>1250</v>
      </c>
      <c r="H58" s="470">
        <f t="shared" si="0"/>
        <v>1000</v>
      </c>
      <c r="I58" s="470">
        <f t="shared" si="1"/>
        <v>250</v>
      </c>
      <c r="J58" s="237"/>
    </row>
    <row r="59" spans="1:10" ht="15">
      <c r="A59" s="470"/>
      <c r="B59" s="471" t="s">
        <v>882</v>
      </c>
      <c r="C59" s="470"/>
      <c r="D59" s="471" t="s">
        <v>883</v>
      </c>
      <c r="E59" s="470"/>
      <c r="F59" s="470"/>
      <c r="G59" s="471">
        <v>2500</v>
      </c>
      <c r="H59" s="470">
        <f t="shared" si="0"/>
        <v>2000</v>
      </c>
      <c r="I59" s="470">
        <f t="shared" si="1"/>
        <v>500</v>
      </c>
      <c r="J59" s="237"/>
    </row>
    <row r="60" spans="1:10" ht="15">
      <c r="A60" s="470"/>
      <c r="B60" s="471" t="s">
        <v>884</v>
      </c>
      <c r="C60" s="470"/>
      <c r="D60" s="471" t="s">
        <v>885</v>
      </c>
      <c r="E60" s="470"/>
      <c r="F60" s="470"/>
      <c r="G60" s="471">
        <v>1250</v>
      </c>
      <c r="H60" s="470">
        <f t="shared" si="0"/>
        <v>1000</v>
      </c>
      <c r="I60" s="470">
        <f t="shared" si="1"/>
        <v>250</v>
      </c>
      <c r="J60" s="237"/>
    </row>
    <row r="61" spans="1:10" ht="15">
      <c r="A61" s="470"/>
      <c r="B61" s="471" t="s">
        <v>884</v>
      </c>
      <c r="C61" s="470"/>
      <c r="D61" s="471" t="s">
        <v>885</v>
      </c>
      <c r="E61" s="470"/>
      <c r="F61" s="470"/>
      <c r="G61" s="471">
        <v>1250</v>
      </c>
      <c r="H61" s="470">
        <f t="shared" si="0"/>
        <v>1000</v>
      </c>
      <c r="I61" s="470">
        <f t="shared" si="1"/>
        <v>250</v>
      </c>
      <c r="J61" s="237"/>
    </row>
    <row r="62" spans="1:10" ht="15">
      <c r="A62" s="470"/>
      <c r="B62" s="471" t="s">
        <v>912</v>
      </c>
      <c r="C62" s="470"/>
      <c r="D62" s="471" t="s">
        <v>913</v>
      </c>
      <c r="E62" s="470"/>
      <c r="F62" s="470"/>
      <c r="G62" s="471">
        <v>2500</v>
      </c>
      <c r="H62" s="470">
        <f t="shared" si="0"/>
        <v>2000</v>
      </c>
      <c r="I62" s="470">
        <f t="shared" si="1"/>
        <v>500</v>
      </c>
      <c r="J62" s="237"/>
    </row>
    <row r="63" spans="1:10" ht="15">
      <c r="A63" s="470"/>
      <c r="B63" s="471" t="s">
        <v>886</v>
      </c>
      <c r="C63" s="470"/>
      <c r="D63" s="471" t="s">
        <v>887</v>
      </c>
      <c r="E63" s="470"/>
      <c r="F63" s="470"/>
      <c r="G63" s="471">
        <v>1250</v>
      </c>
      <c r="H63" s="470">
        <f t="shared" si="0"/>
        <v>1000</v>
      </c>
      <c r="I63" s="470">
        <f t="shared" si="1"/>
        <v>250</v>
      </c>
      <c r="J63" s="237"/>
    </row>
    <row r="64" spans="1:10" ht="15">
      <c r="A64" s="470"/>
      <c r="B64" s="471" t="s">
        <v>886</v>
      </c>
      <c r="C64" s="470"/>
      <c r="D64" s="471" t="s">
        <v>887</v>
      </c>
      <c r="E64" s="470"/>
      <c r="F64" s="470"/>
      <c r="G64" s="471">
        <v>1250</v>
      </c>
      <c r="H64" s="470">
        <f t="shared" si="0"/>
        <v>1000</v>
      </c>
      <c r="I64" s="470">
        <f t="shared" si="1"/>
        <v>250</v>
      </c>
      <c r="J64" s="237"/>
    </row>
    <row r="65" spans="1:10" ht="15">
      <c r="A65" s="470"/>
      <c r="B65" s="471" t="s">
        <v>914</v>
      </c>
      <c r="C65" s="470"/>
      <c r="D65" s="471" t="s">
        <v>915</v>
      </c>
      <c r="E65" s="470"/>
      <c r="F65" s="470"/>
      <c r="G65" s="471">
        <v>2500</v>
      </c>
      <c r="H65" s="470">
        <f t="shared" si="0"/>
        <v>2000</v>
      </c>
      <c r="I65" s="470">
        <f t="shared" si="1"/>
        <v>500</v>
      </c>
      <c r="J65" s="237"/>
    </row>
    <row r="66" spans="1:10" ht="15">
      <c r="A66" s="470"/>
      <c r="B66" s="471" t="s">
        <v>916</v>
      </c>
      <c r="C66" s="470"/>
      <c r="D66" s="471" t="s">
        <v>917</v>
      </c>
      <c r="E66" s="470"/>
      <c r="F66" s="470"/>
      <c r="G66" s="471">
        <v>2500</v>
      </c>
      <c r="H66" s="470">
        <f t="shared" si="0"/>
        <v>2000</v>
      </c>
      <c r="I66" s="470">
        <f t="shared" si="1"/>
        <v>500</v>
      </c>
      <c r="J66" s="237"/>
    </row>
    <row r="67" spans="1:10" ht="15">
      <c r="A67" s="470"/>
      <c r="B67" s="471" t="s">
        <v>918</v>
      </c>
      <c r="C67" s="470"/>
      <c r="D67" s="471" t="s">
        <v>919</v>
      </c>
      <c r="E67" s="470"/>
      <c r="F67" s="470"/>
      <c r="G67" s="471">
        <v>1000</v>
      </c>
      <c r="H67" s="470">
        <f t="shared" si="0"/>
        <v>800</v>
      </c>
      <c r="I67" s="470">
        <f t="shared" si="1"/>
        <v>200</v>
      </c>
      <c r="J67" s="237"/>
    </row>
    <row r="68" spans="1:10" ht="15">
      <c r="A68" s="470"/>
      <c r="B68" s="471" t="s">
        <v>920</v>
      </c>
      <c r="C68" s="470"/>
      <c r="D68" s="471" t="s">
        <v>921</v>
      </c>
      <c r="E68" s="470"/>
      <c r="F68" s="470"/>
      <c r="G68" s="471">
        <v>1250</v>
      </c>
      <c r="H68" s="470">
        <f t="shared" si="0"/>
        <v>1000</v>
      </c>
      <c r="I68" s="470">
        <f t="shared" si="1"/>
        <v>250</v>
      </c>
      <c r="J68" s="237"/>
    </row>
    <row r="69" spans="1:10" ht="15">
      <c r="A69" s="470"/>
      <c r="B69" s="471" t="s">
        <v>920</v>
      </c>
      <c r="C69" s="470"/>
      <c r="D69" s="471" t="s">
        <v>921</v>
      </c>
      <c r="E69" s="470"/>
      <c r="F69" s="470"/>
      <c r="G69" s="471">
        <v>1250</v>
      </c>
      <c r="H69" s="470">
        <f t="shared" si="0"/>
        <v>1000</v>
      </c>
      <c r="I69" s="470">
        <f t="shared" si="1"/>
        <v>250</v>
      </c>
      <c r="J69" s="237"/>
    </row>
    <row r="70" spans="1:10" ht="15">
      <c r="A70" s="470"/>
      <c r="B70" s="471" t="s">
        <v>890</v>
      </c>
      <c r="C70" s="470"/>
      <c r="D70" s="471" t="s">
        <v>891</v>
      </c>
      <c r="E70" s="470"/>
      <c r="F70" s="470"/>
      <c r="G70" s="471">
        <v>1250</v>
      </c>
      <c r="H70" s="470">
        <f t="shared" si="0"/>
        <v>1000</v>
      </c>
      <c r="I70" s="470">
        <f t="shared" si="1"/>
        <v>250</v>
      </c>
      <c r="J70" s="237"/>
    </row>
    <row r="71" spans="1:10" ht="15">
      <c r="A71" s="470"/>
      <c r="B71" s="471" t="s">
        <v>890</v>
      </c>
      <c r="C71" s="470"/>
      <c r="D71" s="471" t="s">
        <v>891</v>
      </c>
      <c r="E71" s="470"/>
      <c r="F71" s="470"/>
      <c r="G71" s="471">
        <v>1250</v>
      </c>
      <c r="H71" s="470">
        <f t="shared" si="0"/>
        <v>1000</v>
      </c>
      <c r="I71" s="470">
        <f t="shared" si="1"/>
        <v>250</v>
      </c>
      <c r="J71" s="237"/>
    </row>
    <row r="72" spans="1:10" ht="15">
      <c r="A72" s="470"/>
      <c r="B72" s="471" t="s">
        <v>892</v>
      </c>
      <c r="C72" s="470"/>
      <c r="D72" s="471" t="s">
        <v>893</v>
      </c>
      <c r="E72" s="470"/>
      <c r="F72" s="470"/>
      <c r="G72" s="471">
        <v>1250</v>
      </c>
      <c r="H72" s="470">
        <f t="shared" si="0"/>
        <v>1000</v>
      </c>
      <c r="I72" s="470">
        <f t="shared" si="1"/>
        <v>250</v>
      </c>
      <c r="J72" s="237"/>
    </row>
    <row r="73" spans="1:10" ht="15">
      <c r="A73" s="470"/>
      <c r="B73" s="471" t="s">
        <v>892</v>
      </c>
      <c r="C73" s="470"/>
      <c r="D73" s="471" t="s">
        <v>893</v>
      </c>
      <c r="E73" s="470"/>
      <c r="F73" s="470"/>
      <c r="G73" s="471">
        <v>1250</v>
      </c>
      <c r="H73" s="470">
        <f t="shared" si="0"/>
        <v>1000</v>
      </c>
      <c r="I73" s="470">
        <f t="shared" si="1"/>
        <v>250</v>
      </c>
      <c r="J73" s="237"/>
    </row>
    <row r="74" spans="1:10" ht="15">
      <c r="A74" s="470"/>
      <c r="B74" s="471" t="s">
        <v>531</v>
      </c>
      <c r="C74" s="470"/>
      <c r="D74" s="471" t="s">
        <v>532</v>
      </c>
      <c r="E74" s="470"/>
      <c r="F74" s="470"/>
      <c r="G74" s="471">
        <v>1250</v>
      </c>
      <c r="H74" s="470">
        <f t="shared" ref="H74:H137" si="2">G74*0.8</f>
        <v>1000</v>
      </c>
      <c r="I74" s="470">
        <f t="shared" ref="I74:I137" si="3">G74*0.2</f>
        <v>250</v>
      </c>
      <c r="J74" s="237"/>
    </row>
    <row r="75" spans="1:10" ht="15">
      <c r="A75" s="470"/>
      <c r="B75" s="471" t="s">
        <v>531</v>
      </c>
      <c r="C75" s="470"/>
      <c r="D75" s="471" t="s">
        <v>532</v>
      </c>
      <c r="E75" s="470"/>
      <c r="F75" s="470"/>
      <c r="G75" s="471">
        <v>1250</v>
      </c>
      <c r="H75" s="470">
        <f t="shared" si="2"/>
        <v>1000</v>
      </c>
      <c r="I75" s="470">
        <f t="shared" si="3"/>
        <v>250</v>
      </c>
      <c r="J75" s="237"/>
    </row>
    <row r="76" spans="1:10" ht="15">
      <c r="A76" s="470"/>
      <c r="B76" s="471" t="s">
        <v>531</v>
      </c>
      <c r="C76" s="470"/>
      <c r="D76" s="471" t="s">
        <v>532</v>
      </c>
      <c r="E76" s="470"/>
      <c r="F76" s="470"/>
      <c r="G76" s="471">
        <v>1250</v>
      </c>
      <c r="H76" s="470">
        <f t="shared" si="2"/>
        <v>1000</v>
      </c>
      <c r="I76" s="470">
        <f t="shared" si="3"/>
        <v>250</v>
      </c>
      <c r="J76" s="237"/>
    </row>
    <row r="77" spans="1:10" ht="15">
      <c r="A77" s="470"/>
      <c r="B77" s="471" t="s">
        <v>518</v>
      </c>
      <c r="C77" s="470"/>
      <c r="D77" s="471" t="s">
        <v>519</v>
      </c>
      <c r="E77" s="470"/>
      <c r="F77" s="470"/>
      <c r="G77" s="471">
        <v>2750</v>
      </c>
      <c r="H77" s="470">
        <f t="shared" si="2"/>
        <v>2200</v>
      </c>
      <c r="I77" s="470">
        <f t="shared" si="3"/>
        <v>550</v>
      </c>
      <c r="J77" s="237"/>
    </row>
    <row r="78" spans="1:10" ht="15">
      <c r="A78" s="470"/>
      <c r="B78" s="471" t="s">
        <v>896</v>
      </c>
      <c r="C78" s="470"/>
      <c r="D78" s="471" t="s">
        <v>897</v>
      </c>
      <c r="E78" s="470"/>
      <c r="F78" s="470"/>
      <c r="G78" s="471">
        <v>1250</v>
      </c>
      <c r="H78" s="470">
        <f t="shared" si="2"/>
        <v>1000</v>
      </c>
      <c r="I78" s="470">
        <f t="shared" si="3"/>
        <v>250</v>
      </c>
      <c r="J78" s="237"/>
    </row>
    <row r="79" spans="1:10" ht="15">
      <c r="A79" s="470"/>
      <c r="B79" s="471" t="s">
        <v>896</v>
      </c>
      <c r="C79" s="470"/>
      <c r="D79" s="471" t="s">
        <v>897</v>
      </c>
      <c r="E79" s="470"/>
      <c r="F79" s="470"/>
      <c r="G79" s="471">
        <v>1250</v>
      </c>
      <c r="H79" s="470">
        <f t="shared" si="2"/>
        <v>1000</v>
      </c>
      <c r="I79" s="470">
        <f t="shared" si="3"/>
        <v>250</v>
      </c>
      <c r="J79" s="237"/>
    </row>
    <row r="80" spans="1:10" ht="15">
      <c r="A80" s="470"/>
      <c r="B80" s="471" t="s">
        <v>898</v>
      </c>
      <c r="C80" s="470"/>
      <c r="D80" s="471" t="s">
        <v>899</v>
      </c>
      <c r="E80" s="470"/>
      <c r="F80" s="470"/>
      <c r="G80" s="471">
        <v>1125</v>
      </c>
      <c r="H80" s="470">
        <f t="shared" si="2"/>
        <v>900</v>
      </c>
      <c r="I80" s="470">
        <f t="shared" si="3"/>
        <v>225</v>
      </c>
      <c r="J80" s="237"/>
    </row>
    <row r="81" spans="1:10" ht="15">
      <c r="A81" s="470"/>
      <c r="B81" s="471" t="s">
        <v>525</v>
      </c>
      <c r="C81" s="470"/>
      <c r="D81" s="471" t="s">
        <v>526</v>
      </c>
      <c r="E81" s="470"/>
      <c r="F81" s="470"/>
      <c r="G81" s="471">
        <v>2500</v>
      </c>
      <c r="H81" s="470">
        <f t="shared" si="2"/>
        <v>2000</v>
      </c>
      <c r="I81" s="470">
        <f t="shared" si="3"/>
        <v>500</v>
      </c>
      <c r="J81" s="237"/>
    </row>
    <row r="82" spans="1:10" ht="15">
      <c r="A82" s="470"/>
      <c r="B82" s="471" t="s">
        <v>525</v>
      </c>
      <c r="C82" s="470"/>
      <c r="D82" s="471" t="s">
        <v>526</v>
      </c>
      <c r="E82" s="470"/>
      <c r="F82" s="470"/>
      <c r="G82" s="471">
        <v>1875</v>
      </c>
      <c r="H82" s="470">
        <f t="shared" si="2"/>
        <v>1500</v>
      </c>
      <c r="I82" s="470">
        <f t="shared" si="3"/>
        <v>375</v>
      </c>
      <c r="J82" s="237"/>
    </row>
    <row r="83" spans="1:10" ht="15">
      <c r="A83" s="470"/>
      <c r="B83" s="471" t="s">
        <v>900</v>
      </c>
      <c r="C83" s="470"/>
      <c r="D83" s="471" t="s">
        <v>901</v>
      </c>
      <c r="E83" s="470"/>
      <c r="F83" s="470"/>
      <c r="G83" s="471">
        <v>1875</v>
      </c>
      <c r="H83" s="470">
        <f t="shared" si="2"/>
        <v>1500</v>
      </c>
      <c r="I83" s="470">
        <f t="shared" si="3"/>
        <v>375</v>
      </c>
      <c r="J83" s="237"/>
    </row>
    <row r="84" spans="1:10" ht="15">
      <c r="A84" s="470"/>
      <c r="B84" s="471" t="s">
        <v>902</v>
      </c>
      <c r="C84" s="470"/>
      <c r="D84" s="471" t="s">
        <v>903</v>
      </c>
      <c r="E84" s="470"/>
      <c r="F84" s="470"/>
      <c r="G84" s="471">
        <v>1250</v>
      </c>
      <c r="H84" s="470">
        <f t="shared" si="2"/>
        <v>1000</v>
      </c>
      <c r="I84" s="470">
        <f t="shared" si="3"/>
        <v>250</v>
      </c>
      <c r="J84" s="237"/>
    </row>
    <row r="85" spans="1:10" ht="15">
      <c r="A85" s="470"/>
      <c r="B85" s="471" t="s">
        <v>902</v>
      </c>
      <c r="C85" s="470"/>
      <c r="D85" s="471" t="s">
        <v>903</v>
      </c>
      <c r="E85" s="470"/>
      <c r="F85" s="470"/>
      <c r="G85" s="471">
        <v>1250</v>
      </c>
      <c r="H85" s="470">
        <f t="shared" si="2"/>
        <v>1000</v>
      </c>
      <c r="I85" s="470">
        <f t="shared" si="3"/>
        <v>250</v>
      </c>
      <c r="J85" s="237"/>
    </row>
    <row r="86" spans="1:10" ht="15">
      <c r="A86" s="470"/>
      <c r="B86" s="471" t="s">
        <v>904</v>
      </c>
      <c r="C86" s="470"/>
      <c r="D86" s="471" t="s">
        <v>905</v>
      </c>
      <c r="E86" s="470"/>
      <c r="F86" s="470"/>
      <c r="G86" s="471">
        <v>1250</v>
      </c>
      <c r="H86" s="470">
        <f t="shared" si="2"/>
        <v>1000</v>
      </c>
      <c r="I86" s="470">
        <f t="shared" si="3"/>
        <v>250</v>
      </c>
      <c r="J86" s="237"/>
    </row>
    <row r="87" spans="1:10" ht="15">
      <c r="A87" s="470"/>
      <c r="B87" s="471" t="s">
        <v>528</v>
      </c>
      <c r="C87" s="470"/>
      <c r="D87" s="471" t="s">
        <v>529</v>
      </c>
      <c r="E87" s="470"/>
      <c r="F87" s="470"/>
      <c r="G87" s="471">
        <v>2500</v>
      </c>
      <c r="H87" s="470">
        <f t="shared" si="2"/>
        <v>2000</v>
      </c>
      <c r="I87" s="470">
        <f t="shared" si="3"/>
        <v>500</v>
      </c>
      <c r="J87" s="237"/>
    </row>
    <row r="88" spans="1:10" ht="15">
      <c r="A88" s="470"/>
      <c r="B88" s="471" t="s">
        <v>922</v>
      </c>
      <c r="C88" s="470"/>
      <c r="D88" s="471" t="s">
        <v>522</v>
      </c>
      <c r="E88" s="470"/>
      <c r="F88" s="470"/>
      <c r="G88" s="471">
        <v>1250</v>
      </c>
      <c r="H88" s="470">
        <f t="shared" si="2"/>
        <v>1000</v>
      </c>
      <c r="I88" s="470">
        <f t="shared" si="3"/>
        <v>250</v>
      </c>
      <c r="J88" s="237"/>
    </row>
    <row r="89" spans="1:10" ht="15">
      <c r="A89" s="470"/>
      <c r="B89" s="471" t="s">
        <v>922</v>
      </c>
      <c r="C89" s="470"/>
      <c r="D89" s="471" t="s">
        <v>522</v>
      </c>
      <c r="E89" s="470"/>
      <c r="F89" s="470"/>
      <c r="G89" s="471">
        <v>2500</v>
      </c>
      <c r="H89" s="470">
        <f t="shared" si="2"/>
        <v>2000</v>
      </c>
      <c r="I89" s="470">
        <f t="shared" si="3"/>
        <v>500</v>
      </c>
      <c r="J89" s="237"/>
    </row>
    <row r="90" spans="1:10" ht="15">
      <c r="A90" s="470"/>
      <c r="B90" s="471" t="s">
        <v>534</v>
      </c>
      <c r="C90" s="470"/>
      <c r="D90" s="471" t="s">
        <v>535</v>
      </c>
      <c r="E90" s="470"/>
      <c r="F90" s="470"/>
      <c r="G90" s="471">
        <v>1875</v>
      </c>
      <c r="H90" s="470">
        <f t="shared" si="2"/>
        <v>1500</v>
      </c>
      <c r="I90" s="470">
        <f t="shared" si="3"/>
        <v>375</v>
      </c>
      <c r="J90" s="237"/>
    </row>
    <row r="91" spans="1:10" ht="15">
      <c r="A91" s="470"/>
      <c r="B91" s="471" t="s">
        <v>534</v>
      </c>
      <c r="C91" s="470"/>
      <c r="D91" s="471" t="s">
        <v>535</v>
      </c>
      <c r="E91" s="470"/>
      <c r="F91" s="470"/>
      <c r="G91" s="471">
        <v>3750</v>
      </c>
      <c r="H91" s="470">
        <f t="shared" si="2"/>
        <v>3000</v>
      </c>
      <c r="I91" s="470">
        <f t="shared" si="3"/>
        <v>750</v>
      </c>
      <c r="J91" s="237"/>
    </row>
    <row r="92" spans="1:10" ht="15">
      <c r="A92" s="470"/>
      <c r="B92" s="471" t="s">
        <v>906</v>
      </c>
      <c r="C92" s="470"/>
      <c r="D92" s="471" t="s">
        <v>907</v>
      </c>
      <c r="E92" s="470"/>
      <c r="F92" s="470"/>
      <c r="G92" s="471">
        <v>1250</v>
      </c>
      <c r="H92" s="470">
        <f t="shared" si="2"/>
        <v>1000</v>
      </c>
      <c r="I92" s="470">
        <f t="shared" si="3"/>
        <v>250</v>
      </c>
      <c r="J92" s="237"/>
    </row>
    <row r="93" spans="1:10" ht="15">
      <c r="A93" s="470"/>
      <c r="B93" s="471" t="s">
        <v>906</v>
      </c>
      <c r="C93" s="470"/>
      <c r="D93" s="471" t="s">
        <v>907</v>
      </c>
      <c r="E93" s="470"/>
      <c r="F93" s="470"/>
      <c r="G93" s="471">
        <v>1250</v>
      </c>
      <c r="H93" s="470">
        <f t="shared" si="2"/>
        <v>1000</v>
      </c>
      <c r="I93" s="470">
        <f t="shared" si="3"/>
        <v>250</v>
      </c>
      <c r="J93" s="237"/>
    </row>
    <row r="94" spans="1:10" ht="15">
      <c r="A94" s="470"/>
      <c r="B94" s="471" t="s">
        <v>908</v>
      </c>
      <c r="C94" s="470"/>
      <c r="D94" s="471" t="s">
        <v>909</v>
      </c>
      <c r="E94" s="470"/>
      <c r="F94" s="470"/>
      <c r="G94" s="471">
        <v>1875</v>
      </c>
      <c r="H94" s="470">
        <f t="shared" si="2"/>
        <v>1500</v>
      </c>
      <c r="I94" s="470">
        <f t="shared" si="3"/>
        <v>375</v>
      </c>
      <c r="J94" s="237"/>
    </row>
    <row r="95" spans="1:10" ht="15">
      <c r="A95" s="470"/>
      <c r="B95" s="471" t="s">
        <v>908</v>
      </c>
      <c r="C95" s="470"/>
      <c r="D95" s="471" t="s">
        <v>909</v>
      </c>
      <c r="E95" s="470"/>
      <c r="F95" s="470"/>
      <c r="G95" s="471">
        <v>1875</v>
      </c>
      <c r="H95" s="470">
        <f t="shared" si="2"/>
        <v>1500</v>
      </c>
      <c r="I95" s="470">
        <f t="shared" si="3"/>
        <v>375</v>
      </c>
      <c r="J95" s="237"/>
    </row>
    <row r="96" spans="1:10" ht="15">
      <c r="A96" s="470"/>
      <c r="B96" s="471" t="s">
        <v>910</v>
      </c>
      <c r="C96" s="470"/>
      <c r="D96" s="471" t="s">
        <v>911</v>
      </c>
      <c r="E96" s="470"/>
      <c r="F96" s="470"/>
      <c r="G96" s="471">
        <v>1250</v>
      </c>
      <c r="H96" s="470">
        <f t="shared" si="2"/>
        <v>1000</v>
      </c>
      <c r="I96" s="470">
        <f t="shared" si="3"/>
        <v>250</v>
      </c>
      <c r="J96" s="237"/>
    </row>
    <row r="97" spans="1:10" ht="15">
      <c r="A97" s="470"/>
      <c r="B97" s="471" t="s">
        <v>910</v>
      </c>
      <c r="C97" s="470"/>
      <c r="D97" s="471" t="s">
        <v>911</v>
      </c>
      <c r="E97" s="470"/>
      <c r="F97" s="470"/>
      <c r="G97" s="471">
        <v>1250</v>
      </c>
      <c r="H97" s="470">
        <f t="shared" si="2"/>
        <v>1000</v>
      </c>
      <c r="I97" s="470">
        <f t="shared" si="3"/>
        <v>250</v>
      </c>
      <c r="J97" s="237"/>
    </row>
    <row r="98" spans="1:10" ht="15">
      <c r="A98" s="470"/>
      <c r="B98" s="471" t="s">
        <v>541</v>
      </c>
      <c r="C98" s="470"/>
      <c r="D98" s="471" t="s">
        <v>542</v>
      </c>
      <c r="E98" s="470"/>
      <c r="F98" s="470"/>
      <c r="G98" s="471">
        <v>2500</v>
      </c>
      <c r="H98" s="470">
        <f t="shared" si="2"/>
        <v>2000</v>
      </c>
      <c r="I98" s="470">
        <f t="shared" si="3"/>
        <v>500</v>
      </c>
      <c r="J98" s="237"/>
    </row>
    <row r="99" spans="1:10" ht="15">
      <c r="A99" s="470"/>
      <c r="B99" s="471" t="s">
        <v>880</v>
      </c>
      <c r="C99" s="470"/>
      <c r="D99" s="471" t="s">
        <v>881</v>
      </c>
      <c r="E99" s="470"/>
      <c r="F99" s="470"/>
      <c r="G99" s="471">
        <v>1250</v>
      </c>
      <c r="H99" s="470">
        <f t="shared" si="2"/>
        <v>1000</v>
      </c>
      <c r="I99" s="470">
        <f t="shared" si="3"/>
        <v>250</v>
      </c>
      <c r="J99" s="237"/>
    </row>
    <row r="100" spans="1:10" ht="15">
      <c r="A100" s="470"/>
      <c r="B100" s="471" t="s">
        <v>880</v>
      </c>
      <c r="C100" s="470"/>
      <c r="D100" s="471" t="s">
        <v>881</v>
      </c>
      <c r="E100" s="470"/>
      <c r="F100" s="470"/>
      <c r="G100" s="471">
        <v>1250</v>
      </c>
      <c r="H100" s="470">
        <f t="shared" si="2"/>
        <v>1000</v>
      </c>
      <c r="I100" s="470">
        <f t="shared" si="3"/>
        <v>250</v>
      </c>
      <c r="J100" s="237"/>
    </row>
    <row r="101" spans="1:10" ht="15">
      <c r="A101" s="470"/>
      <c r="B101" s="471" t="s">
        <v>882</v>
      </c>
      <c r="C101" s="470"/>
      <c r="D101" s="471" t="s">
        <v>883</v>
      </c>
      <c r="E101" s="470"/>
      <c r="F101" s="470"/>
      <c r="G101" s="471">
        <v>1250</v>
      </c>
      <c r="H101" s="470">
        <f t="shared" si="2"/>
        <v>1000</v>
      </c>
      <c r="I101" s="470">
        <f t="shared" si="3"/>
        <v>250</v>
      </c>
      <c r="J101" s="237"/>
    </row>
    <row r="102" spans="1:10" ht="15">
      <c r="A102" s="470"/>
      <c r="B102" s="471" t="s">
        <v>882</v>
      </c>
      <c r="C102" s="470"/>
      <c r="D102" s="471" t="s">
        <v>883</v>
      </c>
      <c r="E102" s="470"/>
      <c r="F102" s="470"/>
      <c r="G102" s="471">
        <v>2500</v>
      </c>
      <c r="H102" s="470">
        <f t="shared" si="2"/>
        <v>2000</v>
      </c>
      <c r="I102" s="470">
        <f t="shared" si="3"/>
        <v>500</v>
      </c>
      <c r="J102" s="237"/>
    </row>
    <row r="103" spans="1:10" ht="15">
      <c r="A103" s="470"/>
      <c r="B103" s="471" t="s">
        <v>884</v>
      </c>
      <c r="C103" s="470"/>
      <c r="D103" s="471" t="s">
        <v>885</v>
      </c>
      <c r="E103" s="470"/>
      <c r="F103" s="470"/>
      <c r="G103" s="471">
        <v>1250</v>
      </c>
      <c r="H103" s="470">
        <f t="shared" si="2"/>
        <v>1000</v>
      </c>
      <c r="I103" s="470">
        <f t="shared" si="3"/>
        <v>250</v>
      </c>
      <c r="J103" s="237"/>
    </row>
    <row r="104" spans="1:10" ht="15">
      <c r="A104" s="470"/>
      <c r="B104" s="471" t="s">
        <v>884</v>
      </c>
      <c r="C104" s="470"/>
      <c r="D104" s="471" t="s">
        <v>885</v>
      </c>
      <c r="E104" s="470"/>
      <c r="F104" s="470"/>
      <c r="G104" s="471">
        <v>1250</v>
      </c>
      <c r="H104" s="470">
        <f t="shared" si="2"/>
        <v>1000</v>
      </c>
      <c r="I104" s="470">
        <f t="shared" si="3"/>
        <v>250</v>
      </c>
      <c r="J104" s="237"/>
    </row>
    <row r="105" spans="1:10" ht="15">
      <c r="A105" s="470"/>
      <c r="B105" s="471" t="s">
        <v>912</v>
      </c>
      <c r="C105" s="470"/>
      <c r="D105" s="471" t="s">
        <v>913</v>
      </c>
      <c r="E105" s="470"/>
      <c r="F105" s="470"/>
      <c r="G105" s="471">
        <v>2500</v>
      </c>
      <c r="H105" s="470">
        <f t="shared" si="2"/>
        <v>2000</v>
      </c>
      <c r="I105" s="470">
        <f t="shared" si="3"/>
        <v>500</v>
      </c>
      <c r="J105" s="237"/>
    </row>
    <row r="106" spans="1:10" ht="15">
      <c r="A106" s="470"/>
      <c r="B106" s="471" t="s">
        <v>886</v>
      </c>
      <c r="C106" s="470"/>
      <c r="D106" s="471" t="s">
        <v>887</v>
      </c>
      <c r="E106" s="470"/>
      <c r="F106" s="470"/>
      <c r="G106" s="471">
        <v>1250</v>
      </c>
      <c r="H106" s="470">
        <f t="shared" si="2"/>
        <v>1000</v>
      </c>
      <c r="I106" s="470">
        <f t="shared" si="3"/>
        <v>250</v>
      </c>
      <c r="J106" s="237"/>
    </row>
    <row r="107" spans="1:10" ht="15">
      <c r="A107" s="470"/>
      <c r="B107" s="471" t="s">
        <v>886</v>
      </c>
      <c r="C107" s="470"/>
      <c r="D107" s="471" t="s">
        <v>887</v>
      </c>
      <c r="E107" s="470"/>
      <c r="F107" s="470"/>
      <c r="G107" s="471">
        <v>1250</v>
      </c>
      <c r="H107" s="470">
        <f t="shared" si="2"/>
        <v>1000</v>
      </c>
      <c r="I107" s="470">
        <f t="shared" si="3"/>
        <v>250</v>
      </c>
      <c r="J107" s="237"/>
    </row>
    <row r="108" spans="1:10" ht="15">
      <c r="A108" s="470"/>
      <c r="B108" s="471" t="s">
        <v>916</v>
      </c>
      <c r="C108" s="470"/>
      <c r="D108" s="471" t="s">
        <v>917</v>
      </c>
      <c r="E108" s="470"/>
      <c r="F108" s="470"/>
      <c r="G108" s="471">
        <v>2500</v>
      </c>
      <c r="H108" s="470">
        <f t="shared" si="2"/>
        <v>2000</v>
      </c>
      <c r="I108" s="470">
        <f t="shared" si="3"/>
        <v>500</v>
      </c>
      <c r="J108" s="237"/>
    </row>
    <row r="109" spans="1:10" ht="15">
      <c r="A109" s="470"/>
      <c r="B109" s="471" t="s">
        <v>888</v>
      </c>
      <c r="C109" s="470"/>
      <c r="D109" s="471" t="s">
        <v>889</v>
      </c>
      <c r="E109" s="470"/>
      <c r="F109" s="470"/>
      <c r="G109" s="471">
        <v>1250</v>
      </c>
      <c r="H109" s="470">
        <f t="shared" si="2"/>
        <v>1000</v>
      </c>
      <c r="I109" s="470">
        <f t="shared" si="3"/>
        <v>250</v>
      </c>
      <c r="J109" s="237"/>
    </row>
    <row r="110" spans="1:10" ht="15">
      <c r="A110" s="470"/>
      <c r="B110" s="471" t="s">
        <v>918</v>
      </c>
      <c r="C110" s="470"/>
      <c r="D110" s="471" t="s">
        <v>919</v>
      </c>
      <c r="E110" s="470"/>
      <c r="F110" s="470"/>
      <c r="G110" s="471">
        <v>1000</v>
      </c>
      <c r="H110" s="470">
        <f t="shared" si="2"/>
        <v>800</v>
      </c>
      <c r="I110" s="470">
        <f t="shared" si="3"/>
        <v>200</v>
      </c>
      <c r="J110" s="237"/>
    </row>
    <row r="111" spans="1:10" ht="15">
      <c r="A111" s="470"/>
      <c r="B111" s="471" t="s">
        <v>920</v>
      </c>
      <c r="C111" s="470"/>
      <c r="D111" s="471" t="s">
        <v>921</v>
      </c>
      <c r="E111" s="470"/>
      <c r="F111" s="470"/>
      <c r="G111" s="471">
        <v>1250</v>
      </c>
      <c r="H111" s="470">
        <f t="shared" si="2"/>
        <v>1000</v>
      </c>
      <c r="I111" s="470">
        <f t="shared" si="3"/>
        <v>250</v>
      </c>
      <c r="J111" s="237"/>
    </row>
    <row r="112" spans="1:10" ht="15">
      <c r="A112" s="470"/>
      <c r="B112" s="471" t="s">
        <v>890</v>
      </c>
      <c r="C112" s="470"/>
      <c r="D112" s="471" t="s">
        <v>891</v>
      </c>
      <c r="E112" s="470"/>
      <c r="F112" s="470"/>
      <c r="G112" s="471">
        <v>1250</v>
      </c>
      <c r="H112" s="470">
        <f t="shared" si="2"/>
        <v>1000</v>
      </c>
      <c r="I112" s="470">
        <f t="shared" si="3"/>
        <v>250</v>
      </c>
      <c r="J112" s="237"/>
    </row>
    <row r="113" spans="1:10" ht="15">
      <c r="A113" s="470"/>
      <c r="B113" s="471" t="s">
        <v>890</v>
      </c>
      <c r="C113" s="470"/>
      <c r="D113" s="471" t="s">
        <v>891</v>
      </c>
      <c r="E113" s="470"/>
      <c r="F113" s="470"/>
      <c r="G113" s="471">
        <v>1250</v>
      </c>
      <c r="H113" s="470">
        <f t="shared" si="2"/>
        <v>1000</v>
      </c>
      <c r="I113" s="470">
        <f t="shared" si="3"/>
        <v>250</v>
      </c>
      <c r="J113" s="237"/>
    </row>
    <row r="114" spans="1:10" ht="15">
      <c r="A114" s="470"/>
      <c r="B114" s="471" t="s">
        <v>914</v>
      </c>
      <c r="C114" s="470"/>
      <c r="D114" s="471" t="s">
        <v>915</v>
      </c>
      <c r="E114" s="470"/>
      <c r="F114" s="470"/>
      <c r="G114" s="471">
        <v>2500</v>
      </c>
      <c r="H114" s="470">
        <f t="shared" si="2"/>
        <v>2000</v>
      </c>
      <c r="I114" s="470">
        <f t="shared" si="3"/>
        <v>500</v>
      </c>
      <c r="J114" s="237"/>
    </row>
    <row r="115" spans="1:10" ht="15">
      <c r="A115" s="470"/>
      <c r="B115" s="471" t="s">
        <v>898</v>
      </c>
      <c r="C115" s="470"/>
      <c r="D115" s="471" t="s">
        <v>899</v>
      </c>
      <c r="E115" s="470"/>
      <c r="F115" s="470"/>
      <c r="G115" s="471">
        <v>1125</v>
      </c>
      <c r="H115" s="470">
        <f t="shared" si="2"/>
        <v>900</v>
      </c>
      <c r="I115" s="470">
        <f t="shared" si="3"/>
        <v>225</v>
      </c>
      <c r="J115" s="237"/>
    </row>
    <row r="116" spans="1:10" ht="15">
      <c r="A116" s="470"/>
      <c r="B116" s="471" t="s">
        <v>892</v>
      </c>
      <c r="C116" s="470"/>
      <c r="D116" s="471" t="s">
        <v>893</v>
      </c>
      <c r="E116" s="470"/>
      <c r="F116" s="470"/>
      <c r="G116" s="471">
        <v>1250</v>
      </c>
      <c r="H116" s="470">
        <f t="shared" si="2"/>
        <v>1000</v>
      </c>
      <c r="I116" s="470">
        <f t="shared" si="3"/>
        <v>250</v>
      </c>
      <c r="J116" s="237"/>
    </row>
    <row r="117" spans="1:10" ht="15">
      <c r="A117" s="470"/>
      <c r="B117" s="471" t="s">
        <v>892</v>
      </c>
      <c r="C117" s="470"/>
      <c r="D117" s="471" t="s">
        <v>893</v>
      </c>
      <c r="E117" s="470"/>
      <c r="F117" s="470"/>
      <c r="G117" s="471">
        <v>1250</v>
      </c>
      <c r="H117" s="470">
        <f t="shared" si="2"/>
        <v>1000</v>
      </c>
      <c r="I117" s="470">
        <f t="shared" si="3"/>
        <v>250</v>
      </c>
      <c r="J117" s="237"/>
    </row>
    <row r="118" spans="1:10" ht="15">
      <c r="A118" s="470"/>
      <c r="B118" s="471" t="s">
        <v>923</v>
      </c>
      <c r="C118" s="470"/>
      <c r="D118" s="471" t="s">
        <v>924</v>
      </c>
      <c r="E118" s="470"/>
      <c r="F118" s="470"/>
      <c r="G118" s="471">
        <v>375</v>
      </c>
      <c r="H118" s="470">
        <f t="shared" si="2"/>
        <v>300</v>
      </c>
      <c r="I118" s="470">
        <f t="shared" si="3"/>
        <v>75</v>
      </c>
      <c r="J118" s="237"/>
    </row>
    <row r="119" spans="1:10" ht="15">
      <c r="A119" s="470"/>
      <c r="B119" s="471" t="s">
        <v>894</v>
      </c>
      <c r="C119" s="470"/>
      <c r="D119" s="471" t="s">
        <v>895</v>
      </c>
      <c r="E119" s="470"/>
      <c r="F119" s="470"/>
      <c r="G119" s="471">
        <v>1250</v>
      </c>
      <c r="H119" s="470">
        <f t="shared" si="2"/>
        <v>1000</v>
      </c>
      <c r="I119" s="470">
        <f t="shared" si="3"/>
        <v>250</v>
      </c>
      <c r="J119" s="237"/>
    </row>
    <row r="120" spans="1:10" ht="15">
      <c r="A120" s="470"/>
      <c r="B120" s="471" t="s">
        <v>531</v>
      </c>
      <c r="C120" s="470"/>
      <c r="D120" s="471" t="s">
        <v>532</v>
      </c>
      <c r="E120" s="470"/>
      <c r="F120" s="470"/>
      <c r="G120" s="471">
        <v>2500</v>
      </c>
      <c r="H120" s="470">
        <f t="shared" si="2"/>
        <v>2000</v>
      </c>
      <c r="I120" s="470">
        <f t="shared" si="3"/>
        <v>500</v>
      </c>
      <c r="J120" s="237"/>
    </row>
    <row r="121" spans="1:10" ht="15">
      <c r="A121" s="470"/>
      <c r="B121" s="471" t="s">
        <v>531</v>
      </c>
      <c r="C121" s="470"/>
      <c r="D121" s="471" t="s">
        <v>532</v>
      </c>
      <c r="E121" s="470"/>
      <c r="F121" s="470"/>
      <c r="G121" s="471">
        <v>1250</v>
      </c>
      <c r="H121" s="470">
        <f t="shared" si="2"/>
        <v>1000</v>
      </c>
      <c r="I121" s="470">
        <f t="shared" si="3"/>
        <v>250</v>
      </c>
      <c r="J121" s="237"/>
    </row>
    <row r="122" spans="1:10" ht="15">
      <c r="A122" s="470"/>
      <c r="B122" s="471" t="s">
        <v>518</v>
      </c>
      <c r="C122" s="470"/>
      <c r="D122" s="471" t="s">
        <v>519</v>
      </c>
      <c r="E122" s="470"/>
      <c r="F122" s="470"/>
      <c r="G122" s="471">
        <v>2500</v>
      </c>
      <c r="H122" s="470">
        <f t="shared" si="2"/>
        <v>2000</v>
      </c>
      <c r="I122" s="470">
        <f t="shared" si="3"/>
        <v>500</v>
      </c>
      <c r="J122" s="237"/>
    </row>
    <row r="123" spans="1:10" ht="15">
      <c r="A123" s="470"/>
      <c r="B123" s="471" t="s">
        <v>518</v>
      </c>
      <c r="C123" s="470"/>
      <c r="D123" s="471" t="s">
        <v>519</v>
      </c>
      <c r="E123" s="470"/>
      <c r="F123" s="470"/>
      <c r="G123" s="471">
        <v>2750</v>
      </c>
      <c r="H123" s="470">
        <f t="shared" si="2"/>
        <v>2200</v>
      </c>
      <c r="I123" s="470">
        <f t="shared" si="3"/>
        <v>550</v>
      </c>
      <c r="J123" s="237"/>
    </row>
    <row r="124" spans="1:10" ht="15">
      <c r="A124" s="470"/>
      <c r="B124" s="471" t="s">
        <v>896</v>
      </c>
      <c r="C124" s="470"/>
      <c r="D124" s="471" t="s">
        <v>897</v>
      </c>
      <c r="E124" s="470"/>
      <c r="F124" s="470"/>
      <c r="G124" s="471">
        <v>1250</v>
      </c>
      <c r="H124" s="470">
        <f t="shared" si="2"/>
        <v>1000</v>
      </c>
      <c r="I124" s="470">
        <f t="shared" si="3"/>
        <v>250</v>
      </c>
      <c r="J124" s="237"/>
    </row>
    <row r="125" spans="1:10" ht="15">
      <c r="A125" s="470"/>
      <c r="B125" s="471" t="s">
        <v>896</v>
      </c>
      <c r="C125" s="470"/>
      <c r="D125" s="471" t="s">
        <v>897</v>
      </c>
      <c r="E125" s="470"/>
      <c r="F125" s="470"/>
      <c r="G125" s="471">
        <v>1250</v>
      </c>
      <c r="H125" s="470">
        <f t="shared" si="2"/>
        <v>1000</v>
      </c>
      <c r="I125" s="470">
        <f t="shared" si="3"/>
        <v>250</v>
      </c>
      <c r="J125" s="237"/>
    </row>
    <row r="126" spans="1:10" ht="15">
      <c r="A126" s="470"/>
      <c r="B126" s="471" t="s">
        <v>525</v>
      </c>
      <c r="C126" s="470"/>
      <c r="D126" s="471" t="s">
        <v>526</v>
      </c>
      <c r="E126" s="470"/>
      <c r="F126" s="470"/>
      <c r="G126" s="471">
        <v>1875</v>
      </c>
      <c r="H126" s="470">
        <f t="shared" si="2"/>
        <v>1500</v>
      </c>
      <c r="I126" s="470">
        <f t="shared" si="3"/>
        <v>375</v>
      </c>
      <c r="J126" s="237"/>
    </row>
    <row r="127" spans="1:10" ht="15">
      <c r="A127" s="470"/>
      <c r="B127" s="471" t="s">
        <v>525</v>
      </c>
      <c r="C127" s="470"/>
      <c r="D127" s="471" t="s">
        <v>526</v>
      </c>
      <c r="E127" s="470"/>
      <c r="F127" s="470"/>
      <c r="G127" s="471">
        <v>2500</v>
      </c>
      <c r="H127" s="470">
        <f t="shared" si="2"/>
        <v>2000</v>
      </c>
      <c r="I127" s="470">
        <f t="shared" si="3"/>
        <v>500</v>
      </c>
      <c r="J127" s="237"/>
    </row>
    <row r="128" spans="1:10" ht="15">
      <c r="A128" s="470"/>
      <c r="B128" s="471" t="s">
        <v>925</v>
      </c>
      <c r="C128" s="470"/>
      <c r="D128" s="471" t="s">
        <v>926</v>
      </c>
      <c r="E128" s="470"/>
      <c r="F128" s="470"/>
      <c r="G128" s="471">
        <v>2500</v>
      </c>
      <c r="H128" s="470">
        <f t="shared" si="2"/>
        <v>2000</v>
      </c>
      <c r="I128" s="470">
        <f t="shared" si="3"/>
        <v>500</v>
      </c>
      <c r="J128" s="237"/>
    </row>
    <row r="129" spans="1:10" ht="15">
      <c r="A129" s="470"/>
      <c r="B129" s="471" t="s">
        <v>900</v>
      </c>
      <c r="C129" s="470"/>
      <c r="D129" s="471" t="s">
        <v>901</v>
      </c>
      <c r="E129" s="470"/>
      <c r="F129" s="470"/>
      <c r="G129" s="471">
        <v>1875</v>
      </c>
      <c r="H129" s="470">
        <f t="shared" si="2"/>
        <v>1500</v>
      </c>
      <c r="I129" s="470">
        <f t="shared" si="3"/>
        <v>375</v>
      </c>
      <c r="J129" s="237"/>
    </row>
    <row r="130" spans="1:10" ht="15">
      <c r="A130" s="470"/>
      <c r="B130" s="471" t="s">
        <v>902</v>
      </c>
      <c r="C130" s="470"/>
      <c r="D130" s="471" t="s">
        <v>903</v>
      </c>
      <c r="E130" s="470"/>
      <c r="F130" s="470"/>
      <c r="G130" s="471">
        <v>1250</v>
      </c>
      <c r="H130" s="470">
        <f t="shared" si="2"/>
        <v>1000</v>
      </c>
      <c r="I130" s="470">
        <f t="shared" si="3"/>
        <v>250</v>
      </c>
      <c r="J130" s="237"/>
    </row>
    <row r="131" spans="1:10" ht="15">
      <c r="A131" s="470"/>
      <c r="B131" s="471" t="s">
        <v>902</v>
      </c>
      <c r="C131" s="470"/>
      <c r="D131" s="471" t="s">
        <v>903</v>
      </c>
      <c r="E131" s="470"/>
      <c r="F131" s="470"/>
      <c r="G131" s="471">
        <v>1250</v>
      </c>
      <c r="H131" s="470">
        <f t="shared" si="2"/>
        <v>1000</v>
      </c>
      <c r="I131" s="470">
        <f t="shared" si="3"/>
        <v>250</v>
      </c>
      <c r="J131" s="237"/>
    </row>
    <row r="132" spans="1:10" ht="15">
      <c r="A132" s="470"/>
      <c r="B132" s="471" t="s">
        <v>904</v>
      </c>
      <c r="C132" s="470"/>
      <c r="D132" s="471" t="s">
        <v>905</v>
      </c>
      <c r="E132" s="470"/>
      <c r="F132" s="470"/>
      <c r="G132" s="471">
        <v>1250</v>
      </c>
      <c r="H132" s="470">
        <f t="shared" si="2"/>
        <v>1000</v>
      </c>
      <c r="I132" s="470">
        <f t="shared" si="3"/>
        <v>250</v>
      </c>
      <c r="J132" s="237"/>
    </row>
    <row r="133" spans="1:10" ht="15">
      <c r="A133" s="470"/>
      <c r="B133" s="471" t="s">
        <v>904</v>
      </c>
      <c r="C133" s="470"/>
      <c r="D133" s="471" t="s">
        <v>905</v>
      </c>
      <c r="E133" s="470"/>
      <c r="F133" s="470"/>
      <c r="G133" s="471">
        <v>1250</v>
      </c>
      <c r="H133" s="470">
        <f t="shared" si="2"/>
        <v>1000</v>
      </c>
      <c r="I133" s="470">
        <f t="shared" si="3"/>
        <v>250</v>
      </c>
      <c r="J133" s="237"/>
    </row>
    <row r="134" spans="1:10" ht="15">
      <c r="A134" s="470"/>
      <c r="B134" s="471" t="s">
        <v>528</v>
      </c>
      <c r="C134" s="470"/>
      <c r="D134" s="471" t="s">
        <v>529</v>
      </c>
      <c r="E134" s="470"/>
      <c r="F134" s="470"/>
      <c r="G134" s="471">
        <v>2500</v>
      </c>
      <c r="H134" s="470">
        <f t="shared" si="2"/>
        <v>2000</v>
      </c>
      <c r="I134" s="470">
        <f t="shared" si="3"/>
        <v>500</v>
      </c>
      <c r="J134" s="237"/>
    </row>
    <row r="135" spans="1:10" ht="15">
      <c r="A135" s="470"/>
      <c r="B135" s="471" t="s">
        <v>927</v>
      </c>
      <c r="C135" s="470"/>
      <c r="D135" s="471" t="s">
        <v>928</v>
      </c>
      <c r="E135" s="470"/>
      <c r="F135" s="470"/>
      <c r="G135" s="471">
        <v>2500</v>
      </c>
      <c r="H135" s="470">
        <f t="shared" si="2"/>
        <v>2000</v>
      </c>
      <c r="I135" s="470">
        <f t="shared" si="3"/>
        <v>500</v>
      </c>
      <c r="J135" s="237"/>
    </row>
    <row r="136" spans="1:10" ht="15">
      <c r="A136" s="470"/>
      <c r="B136" s="471" t="s">
        <v>922</v>
      </c>
      <c r="C136" s="470"/>
      <c r="D136" s="471" t="s">
        <v>522</v>
      </c>
      <c r="E136" s="470"/>
      <c r="F136" s="470"/>
      <c r="G136" s="471">
        <v>2500</v>
      </c>
      <c r="H136" s="470">
        <f t="shared" si="2"/>
        <v>2000</v>
      </c>
      <c r="I136" s="470">
        <f t="shared" si="3"/>
        <v>500</v>
      </c>
      <c r="J136" s="237"/>
    </row>
    <row r="137" spans="1:10" ht="15">
      <c r="A137" s="470"/>
      <c r="B137" s="471" t="s">
        <v>534</v>
      </c>
      <c r="C137" s="470"/>
      <c r="D137" s="471" t="s">
        <v>535</v>
      </c>
      <c r="E137" s="470"/>
      <c r="F137" s="470"/>
      <c r="G137" s="471">
        <v>1875</v>
      </c>
      <c r="H137" s="470">
        <f t="shared" si="2"/>
        <v>1500</v>
      </c>
      <c r="I137" s="470">
        <f t="shared" si="3"/>
        <v>375</v>
      </c>
      <c r="J137" s="237"/>
    </row>
    <row r="138" spans="1:10" ht="15">
      <c r="A138" s="470"/>
      <c r="B138" s="471" t="s">
        <v>534</v>
      </c>
      <c r="C138" s="470"/>
      <c r="D138" s="471" t="s">
        <v>535</v>
      </c>
      <c r="E138" s="470"/>
      <c r="F138" s="470"/>
      <c r="G138" s="471">
        <v>3750</v>
      </c>
      <c r="H138" s="470">
        <f t="shared" ref="H138:H145" si="4">G138*0.8</f>
        <v>3000</v>
      </c>
      <c r="I138" s="470">
        <f t="shared" ref="I138:I145" si="5">G138*0.2</f>
        <v>750</v>
      </c>
      <c r="J138" s="237"/>
    </row>
    <row r="139" spans="1:10" ht="15">
      <c r="A139" s="470"/>
      <c r="B139" s="471" t="s">
        <v>906</v>
      </c>
      <c r="C139" s="470"/>
      <c r="D139" s="471" t="s">
        <v>907</v>
      </c>
      <c r="E139" s="470"/>
      <c r="F139" s="470"/>
      <c r="G139" s="471">
        <v>1250</v>
      </c>
      <c r="H139" s="470">
        <f t="shared" si="4"/>
        <v>1000</v>
      </c>
      <c r="I139" s="470">
        <f t="shared" si="5"/>
        <v>250</v>
      </c>
      <c r="J139" s="237"/>
    </row>
    <row r="140" spans="1:10" ht="15">
      <c r="A140" s="470"/>
      <c r="B140" s="471" t="s">
        <v>906</v>
      </c>
      <c r="C140" s="470"/>
      <c r="D140" s="471" t="s">
        <v>907</v>
      </c>
      <c r="E140" s="470"/>
      <c r="F140" s="470"/>
      <c r="G140" s="471">
        <v>1250</v>
      </c>
      <c r="H140" s="470">
        <f t="shared" si="4"/>
        <v>1000</v>
      </c>
      <c r="I140" s="470">
        <f t="shared" si="5"/>
        <v>250</v>
      </c>
      <c r="J140" s="237"/>
    </row>
    <row r="141" spans="1:10" ht="15">
      <c r="A141" s="470"/>
      <c r="B141" s="471" t="s">
        <v>908</v>
      </c>
      <c r="C141" s="470"/>
      <c r="D141" s="471" t="s">
        <v>909</v>
      </c>
      <c r="E141" s="470"/>
      <c r="F141" s="470"/>
      <c r="G141" s="471">
        <v>1875</v>
      </c>
      <c r="H141" s="470">
        <f t="shared" si="4"/>
        <v>1500</v>
      </c>
      <c r="I141" s="470">
        <f t="shared" si="5"/>
        <v>375</v>
      </c>
      <c r="J141" s="237"/>
    </row>
    <row r="142" spans="1:10" ht="15">
      <c r="A142" s="470"/>
      <c r="B142" s="471" t="s">
        <v>908</v>
      </c>
      <c r="C142" s="470"/>
      <c r="D142" s="471" t="s">
        <v>909</v>
      </c>
      <c r="E142" s="470"/>
      <c r="F142" s="470"/>
      <c r="G142" s="471">
        <v>1875</v>
      </c>
      <c r="H142" s="470">
        <f t="shared" si="4"/>
        <v>1500</v>
      </c>
      <c r="I142" s="470">
        <f t="shared" si="5"/>
        <v>375</v>
      </c>
      <c r="J142" s="237"/>
    </row>
    <row r="143" spans="1:10" ht="15">
      <c r="A143" s="470"/>
      <c r="B143" s="471" t="s">
        <v>910</v>
      </c>
      <c r="C143" s="470"/>
      <c r="D143" s="471" t="s">
        <v>911</v>
      </c>
      <c r="E143" s="470"/>
      <c r="F143" s="470"/>
      <c r="G143" s="471">
        <v>1250</v>
      </c>
      <c r="H143" s="470">
        <f t="shared" si="4"/>
        <v>1000</v>
      </c>
      <c r="I143" s="470">
        <f t="shared" si="5"/>
        <v>250</v>
      </c>
      <c r="J143" s="237"/>
    </row>
    <row r="144" spans="1:10" ht="15">
      <c r="A144" s="470"/>
      <c r="B144" s="471" t="s">
        <v>910</v>
      </c>
      <c r="C144" s="470"/>
      <c r="D144" s="471" t="s">
        <v>911</v>
      </c>
      <c r="E144" s="470"/>
      <c r="F144" s="470"/>
      <c r="G144" s="471">
        <v>1250</v>
      </c>
      <c r="H144" s="470">
        <f t="shared" si="4"/>
        <v>1000</v>
      </c>
      <c r="I144" s="470">
        <f t="shared" si="5"/>
        <v>250</v>
      </c>
      <c r="J144" s="237"/>
    </row>
    <row r="145" spans="1:10" ht="15">
      <c r="A145" s="470"/>
      <c r="B145" s="471" t="s">
        <v>541</v>
      </c>
      <c r="C145" s="470"/>
      <c r="D145" s="471" t="s">
        <v>542</v>
      </c>
      <c r="E145" s="470"/>
      <c r="F145" s="470"/>
      <c r="G145" s="471">
        <v>2500</v>
      </c>
      <c r="H145" s="470">
        <f t="shared" si="4"/>
        <v>2000</v>
      </c>
      <c r="I145" s="470">
        <f t="shared" si="5"/>
        <v>500</v>
      </c>
      <c r="J145" s="237"/>
    </row>
    <row r="146" spans="1:10" ht="15">
      <c r="A146" s="470"/>
      <c r="B146" s="471" t="s">
        <v>880</v>
      </c>
      <c r="C146" s="470"/>
      <c r="D146" s="471" t="s">
        <v>881</v>
      </c>
      <c r="E146" s="470"/>
      <c r="F146" s="470"/>
      <c r="G146" s="471">
        <v>1250</v>
      </c>
      <c r="H146" s="470">
        <f>G146*0.8</f>
        <v>1000</v>
      </c>
      <c r="I146" s="470">
        <f>G146*0.2</f>
        <v>250</v>
      </c>
      <c r="J146" s="237"/>
    </row>
    <row r="147" spans="1:10" ht="15">
      <c r="A147" s="470"/>
      <c r="B147" s="471" t="s">
        <v>880</v>
      </c>
      <c r="C147" s="470"/>
      <c r="D147" s="471" t="s">
        <v>881</v>
      </c>
      <c r="E147" s="470"/>
      <c r="F147" s="470"/>
      <c r="G147" s="471">
        <v>1250</v>
      </c>
      <c r="H147" s="470">
        <f t="shared" ref="H147:H210" si="6">G147*0.8</f>
        <v>1000</v>
      </c>
      <c r="I147" s="470">
        <f t="shared" ref="I147:I210" si="7">G147*0.2</f>
        <v>250</v>
      </c>
      <c r="J147" s="237"/>
    </row>
    <row r="148" spans="1:10" ht="15">
      <c r="A148" s="470"/>
      <c r="B148" s="471" t="s">
        <v>882</v>
      </c>
      <c r="C148" s="470"/>
      <c r="D148" s="471" t="s">
        <v>883</v>
      </c>
      <c r="E148" s="470"/>
      <c r="F148" s="470"/>
      <c r="G148" s="471">
        <v>2500</v>
      </c>
      <c r="H148" s="470">
        <f t="shared" si="6"/>
        <v>2000</v>
      </c>
      <c r="I148" s="470">
        <f t="shared" si="7"/>
        <v>500</v>
      </c>
    </row>
    <row r="149" spans="1:10" ht="15">
      <c r="A149" s="470"/>
      <c r="B149" s="471" t="s">
        <v>884</v>
      </c>
      <c r="C149" s="470"/>
      <c r="D149" s="471" t="s">
        <v>885</v>
      </c>
      <c r="E149" s="470"/>
      <c r="F149" s="470"/>
      <c r="G149" s="471">
        <v>1250</v>
      </c>
      <c r="H149" s="470">
        <f t="shared" si="6"/>
        <v>1000</v>
      </c>
      <c r="I149" s="470">
        <f t="shared" si="7"/>
        <v>250</v>
      </c>
    </row>
    <row r="150" spans="1:10" ht="15">
      <c r="A150" s="470"/>
      <c r="B150" s="471" t="s">
        <v>884</v>
      </c>
      <c r="C150" s="470"/>
      <c r="D150" s="471" t="s">
        <v>885</v>
      </c>
      <c r="E150" s="470"/>
      <c r="F150" s="470"/>
      <c r="G150" s="471">
        <v>1250</v>
      </c>
      <c r="H150" s="470">
        <f t="shared" si="6"/>
        <v>1000</v>
      </c>
      <c r="I150" s="470">
        <f t="shared" si="7"/>
        <v>250</v>
      </c>
    </row>
    <row r="151" spans="1:10" ht="15">
      <c r="A151" s="470"/>
      <c r="B151" s="471" t="s">
        <v>912</v>
      </c>
      <c r="C151" s="470"/>
      <c r="D151" s="471" t="s">
        <v>913</v>
      </c>
      <c r="E151" s="470"/>
      <c r="F151" s="470"/>
      <c r="G151" s="471">
        <v>3750</v>
      </c>
      <c r="H151" s="470">
        <f t="shared" si="6"/>
        <v>3000</v>
      </c>
      <c r="I151" s="470">
        <f t="shared" si="7"/>
        <v>750</v>
      </c>
    </row>
    <row r="152" spans="1:10" ht="15">
      <c r="A152" s="470"/>
      <c r="B152" s="471" t="s">
        <v>912</v>
      </c>
      <c r="C152" s="470"/>
      <c r="D152" s="471" t="s">
        <v>913</v>
      </c>
      <c r="E152" s="470"/>
      <c r="F152" s="470"/>
      <c r="G152" s="471">
        <v>2500</v>
      </c>
      <c r="H152" s="470">
        <f t="shared" si="6"/>
        <v>2000</v>
      </c>
      <c r="I152" s="470">
        <f t="shared" si="7"/>
        <v>500</v>
      </c>
    </row>
    <row r="153" spans="1:10" ht="15">
      <c r="A153" s="470"/>
      <c r="B153" s="471" t="s">
        <v>886</v>
      </c>
      <c r="C153" s="470"/>
      <c r="D153" s="471" t="s">
        <v>887</v>
      </c>
      <c r="E153" s="470"/>
      <c r="F153" s="470"/>
      <c r="G153" s="471">
        <v>1250</v>
      </c>
      <c r="H153" s="470">
        <f t="shared" si="6"/>
        <v>1000</v>
      </c>
      <c r="I153" s="470">
        <f t="shared" si="7"/>
        <v>250</v>
      </c>
    </row>
    <row r="154" spans="1:10" ht="15">
      <c r="A154" s="470"/>
      <c r="B154" s="471" t="s">
        <v>886</v>
      </c>
      <c r="C154" s="470"/>
      <c r="D154" s="471" t="s">
        <v>887</v>
      </c>
      <c r="E154" s="470"/>
      <c r="F154" s="470"/>
      <c r="G154" s="471">
        <v>1250</v>
      </c>
      <c r="H154" s="470">
        <f t="shared" si="6"/>
        <v>1000</v>
      </c>
      <c r="I154" s="470">
        <f t="shared" si="7"/>
        <v>250</v>
      </c>
    </row>
    <row r="155" spans="1:10" ht="15">
      <c r="A155" s="470"/>
      <c r="B155" s="471" t="s">
        <v>930</v>
      </c>
      <c r="C155" s="470"/>
      <c r="D155" s="471" t="s">
        <v>931</v>
      </c>
      <c r="E155" s="470"/>
      <c r="F155" s="470"/>
      <c r="G155" s="471">
        <v>1750</v>
      </c>
      <c r="H155" s="470">
        <f t="shared" si="6"/>
        <v>1400</v>
      </c>
      <c r="I155" s="470">
        <f t="shared" si="7"/>
        <v>350</v>
      </c>
    </row>
    <row r="156" spans="1:10" ht="15">
      <c r="A156" s="470"/>
      <c r="B156" s="471" t="s">
        <v>916</v>
      </c>
      <c r="C156" s="470"/>
      <c r="D156" s="471" t="s">
        <v>917</v>
      </c>
      <c r="E156" s="470"/>
      <c r="F156" s="470"/>
      <c r="G156" s="471">
        <v>2500</v>
      </c>
      <c r="H156" s="470">
        <f t="shared" si="6"/>
        <v>2000</v>
      </c>
      <c r="I156" s="470">
        <f t="shared" si="7"/>
        <v>500</v>
      </c>
    </row>
    <row r="157" spans="1:10" ht="15">
      <c r="A157" s="470"/>
      <c r="B157" s="471" t="s">
        <v>916</v>
      </c>
      <c r="C157" s="470"/>
      <c r="D157" s="471" t="s">
        <v>917</v>
      </c>
      <c r="E157" s="470"/>
      <c r="F157" s="470"/>
      <c r="G157" s="471">
        <v>2500</v>
      </c>
      <c r="H157" s="470">
        <f t="shared" si="6"/>
        <v>2000</v>
      </c>
      <c r="I157" s="470">
        <f t="shared" si="7"/>
        <v>500</v>
      </c>
    </row>
    <row r="158" spans="1:10" ht="15">
      <c r="A158" s="470"/>
      <c r="B158" s="471" t="s">
        <v>888</v>
      </c>
      <c r="C158" s="470"/>
      <c r="D158" s="471" t="s">
        <v>889</v>
      </c>
      <c r="E158" s="470"/>
      <c r="F158" s="470"/>
      <c r="G158" s="471">
        <v>1250</v>
      </c>
      <c r="H158" s="470">
        <f t="shared" si="6"/>
        <v>1000</v>
      </c>
      <c r="I158" s="470">
        <f t="shared" si="7"/>
        <v>250</v>
      </c>
    </row>
    <row r="159" spans="1:10" ht="15">
      <c r="A159" s="470"/>
      <c r="B159" s="471" t="s">
        <v>932</v>
      </c>
      <c r="C159" s="470"/>
      <c r="D159" s="471" t="s">
        <v>933</v>
      </c>
      <c r="E159" s="470"/>
      <c r="F159" s="470"/>
      <c r="G159" s="471">
        <v>2500</v>
      </c>
      <c r="H159" s="470">
        <f t="shared" si="6"/>
        <v>2000</v>
      </c>
      <c r="I159" s="470">
        <f t="shared" si="7"/>
        <v>500</v>
      </c>
    </row>
    <row r="160" spans="1:10" ht="15">
      <c r="A160" s="470"/>
      <c r="B160" s="471" t="s">
        <v>918</v>
      </c>
      <c r="C160" s="470"/>
      <c r="D160" s="471" t="s">
        <v>919</v>
      </c>
      <c r="E160" s="470"/>
      <c r="F160" s="470"/>
      <c r="G160" s="471">
        <v>1000</v>
      </c>
      <c r="H160" s="470">
        <f t="shared" si="6"/>
        <v>800</v>
      </c>
      <c r="I160" s="470">
        <f t="shared" si="7"/>
        <v>200</v>
      </c>
    </row>
    <row r="161" spans="1:9" ht="15">
      <c r="A161" s="470"/>
      <c r="B161" s="471" t="s">
        <v>920</v>
      </c>
      <c r="C161" s="470"/>
      <c r="D161" s="471" t="s">
        <v>921</v>
      </c>
      <c r="E161" s="470"/>
      <c r="F161" s="470"/>
      <c r="G161" s="471">
        <v>1250</v>
      </c>
      <c r="H161" s="470">
        <f t="shared" si="6"/>
        <v>1000</v>
      </c>
      <c r="I161" s="470">
        <f t="shared" si="7"/>
        <v>250</v>
      </c>
    </row>
    <row r="162" spans="1:9" ht="15">
      <c r="A162" s="470"/>
      <c r="B162" s="471" t="s">
        <v>920</v>
      </c>
      <c r="C162" s="470"/>
      <c r="D162" s="471" t="s">
        <v>921</v>
      </c>
      <c r="E162" s="470"/>
      <c r="F162" s="470"/>
      <c r="G162" s="471">
        <v>1250</v>
      </c>
      <c r="H162" s="470">
        <f t="shared" si="6"/>
        <v>1000</v>
      </c>
      <c r="I162" s="470">
        <f t="shared" si="7"/>
        <v>250</v>
      </c>
    </row>
    <row r="163" spans="1:9" ht="15">
      <c r="A163" s="470"/>
      <c r="B163" s="471" t="s">
        <v>890</v>
      </c>
      <c r="C163" s="470"/>
      <c r="D163" s="471" t="s">
        <v>891</v>
      </c>
      <c r="E163" s="470"/>
      <c r="F163" s="470"/>
      <c r="G163" s="471">
        <v>1250</v>
      </c>
      <c r="H163" s="470">
        <f t="shared" si="6"/>
        <v>1000</v>
      </c>
      <c r="I163" s="470">
        <f t="shared" si="7"/>
        <v>250</v>
      </c>
    </row>
    <row r="164" spans="1:9" ht="15">
      <c r="A164" s="470"/>
      <c r="B164" s="471" t="s">
        <v>890</v>
      </c>
      <c r="C164" s="470"/>
      <c r="D164" s="471" t="s">
        <v>891</v>
      </c>
      <c r="E164" s="470"/>
      <c r="F164" s="470"/>
      <c r="G164" s="471">
        <v>1250</v>
      </c>
      <c r="H164" s="470">
        <f t="shared" si="6"/>
        <v>1000</v>
      </c>
      <c r="I164" s="470">
        <f t="shared" si="7"/>
        <v>250</v>
      </c>
    </row>
    <row r="165" spans="1:9" ht="15">
      <c r="A165" s="470"/>
      <c r="B165" s="471" t="s">
        <v>934</v>
      </c>
      <c r="C165" s="470"/>
      <c r="D165" s="471" t="s">
        <v>935</v>
      </c>
      <c r="E165" s="470"/>
      <c r="F165" s="470"/>
      <c r="G165" s="471">
        <v>2500</v>
      </c>
      <c r="H165" s="470">
        <f t="shared" si="6"/>
        <v>2000</v>
      </c>
      <c r="I165" s="470">
        <f t="shared" si="7"/>
        <v>500</v>
      </c>
    </row>
    <row r="166" spans="1:9" ht="15">
      <c r="A166" s="470"/>
      <c r="B166" s="471" t="s">
        <v>936</v>
      </c>
      <c r="C166" s="470"/>
      <c r="D166" s="471" t="s">
        <v>937</v>
      </c>
      <c r="E166" s="470"/>
      <c r="F166" s="470"/>
      <c r="G166" s="471">
        <v>2500</v>
      </c>
      <c r="H166" s="470">
        <f t="shared" si="6"/>
        <v>2000</v>
      </c>
      <c r="I166" s="470">
        <f t="shared" si="7"/>
        <v>500</v>
      </c>
    </row>
    <row r="167" spans="1:9" ht="15">
      <c r="A167" s="470"/>
      <c r="B167" s="471" t="s">
        <v>914</v>
      </c>
      <c r="C167" s="470"/>
      <c r="D167" s="471" t="s">
        <v>915</v>
      </c>
      <c r="E167" s="470"/>
      <c r="F167" s="470"/>
      <c r="G167" s="471">
        <v>2500</v>
      </c>
      <c r="H167" s="470">
        <f t="shared" si="6"/>
        <v>2000</v>
      </c>
      <c r="I167" s="470">
        <f t="shared" si="7"/>
        <v>500</v>
      </c>
    </row>
    <row r="168" spans="1:9" ht="15">
      <c r="A168" s="470"/>
      <c r="B168" s="471" t="s">
        <v>892</v>
      </c>
      <c r="C168" s="470"/>
      <c r="D168" s="471" t="s">
        <v>893</v>
      </c>
      <c r="E168" s="470"/>
      <c r="F168" s="470"/>
      <c r="G168" s="471">
        <v>1250</v>
      </c>
      <c r="H168" s="470">
        <f t="shared" si="6"/>
        <v>1000</v>
      </c>
      <c r="I168" s="470">
        <f t="shared" si="7"/>
        <v>250</v>
      </c>
    </row>
    <row r="169" spans="1:9" ht="15">
      <c r="A169" s="470"/>
      <c r="B169" s="471" t="s">
        <v>892</v>
      </c>
      <c r="C169" s="470"/>
      <c r="D169" s="471" t="s">
        <v>893</v>
      </c>
      <c r="E169" s="470"/>
      <c r="F169" s="470"/>
      <c r="G169" s="471">
        <v>1250</v>
      </c>
      <c r="H169" s="470">
        <f t="shared" si="6"/>
        <v>1000</v>
      </c>
      <c r="I169" s="470">
        <f t="shared" si="7"/>
        <v>250</v>
      </c>
    </row>
    <row r="170" spans="1:9" ht="15">
      <c r="A170" s="470"/>
      <c r="B170" s="471" t="s">
        <v>923</v>
      </c>
      <c r="C170" s="470"/>
      <c r="D170" s="471" t="s">
        <v>924</v>
      </c>
      <c r="E170" s="470"/>
      <c r="F170" s="470"/>
      <c r="G170" s="471">
        <v>250</v>
      </c>
      <c r="H170" s="470">
        <f t="shared" si="6"/>
        <v>200</v>
      </c>
      <c r="I170" s="470">
        <f t="shared" si="7"/>
        <v>50</v>
      </c>
    </row>
    <row r="171" spans="1:9" ht="15">
      <c r="A171" s="470"/>
      <c r="B171" s="471" t="s">
        <v>894</v>
      </c>
      <c r="C171" s="470"/>
      <c r="D171" s="471" t="s">
        <v>895</v>
      </c>
      <c r="E171" s="470"/>
      <c r="F171" s="470"/>
      <c r="G171" s="471">
        <v>1250</v>
      </c>
      <c r="H171" s="470">
        <f t="shared" si="6"/>
        <v>1000</v>
      </c>
      <c r="I171" s="470">
        <f t="shared" si="7"/>
        <v>250</v>
      </c>
    </row>
    <row r="172" spans="1:9" ht="15">
      <c r="A172" s="470"/>
      <c r="B172" s="471" t="s">
        <v>531</v>
      </c>
      <c r="C172" s="470"/>
      <c r="D172" s="471" t="s">
        <v>532</v>
      </c>
      <c r="E172" s="470"/>
      <c r="F172" s="470"/>
      <c r="G172" s="471">
        <v>2500</v>
      </c>
      <c r="H172" s="470">
        <f t="shared" si="6"/>
        <v>2000</v>
      </c>
      <c r="I172" s="470">
        <f t="shared" si="7"/>
        <v>500</v>
      </c>
    </row>
    <row r="173" spans="1:9" ht="15">
      <c r="A173" s="470"/>
      <c r="B173" s="471" t="s">
        <v>531</v>
      </c>
      <c r="C173" s="470"/>
      <c r="D173" s="471" t="s">
        <v>532</v>
      </c>
      <c r="E173" s="470"/>
      <c r="F173" s="470"/>
      <c r="G173" s="471">
        <v>2500</v>
      </c>
      <c r="H173" s="470">
        <f t="shared" si="6"/>
        <v>2000</v>
      </c>
      <c r="I173" s="470">
        <f t="shared" si="7"/>
        <v>500</v>
      </c>
    </row>
    <row r="174" spans="1:9" ht="15">
      <c r="A174" s="470"/>
      <c r="B174" s="471" t="s">
        <v>518</v>
      </c>
      <c r="C174" s="470"/>
      <c r="D174" s="471" t="s">
        <v>519</v>
      </c>
      <c r="E174" s="470"/>
      <c r="F174" s="470"/>
      <c r="G174" s="471">
        <v>2750</v>
      </c>
      <c r="H174" s="470">
        <f t="shared" si="6"/>
        <v>2200</v>
      </c>
      <c r="I174" s="470">
        <f t="shared" si="7"/>
        <v>550</v>
      </c>
    </row>
    <row r="175" spans="1:9" ht="15">
      <c r="A175" s="470"/>
      <c r="B175" s="471" t="s">
        <v>518</v>
      </c>
      <c r="C175" s="470"/>
      <c r="D175" s="471" t="s">
        <v>519</v>
      </c>
      <c r="E175" s="470"/>
      <c r="F175" s="470"/>
      <c r="G175" s="471">
        <v>2500</v>
      </c>
      <c r="H175" s="470">
        <f t="shared" si="6"/>
        <v>2000</v>
      </c>
      <c r="I175" s="470">
        <f t="shared" si="7"/>
        <v>500</v>
      </c>
    </row>
    <row r="176" spans="1:9" ht="15">
      <c r="A176" s="470"/>
      <c r="B176" s="471" t="s">
        <v>896</v>
      </c>
      <c r="C176" s="470"/>
      <c r="D176" s="471" t="s">
        <v>897</v>
      </c>
      <c r="E176" s="470"/>
      <c r="F176" s="470"/>
      <c r="G176" s="471">
        <v>1250</v>
      </c>
      <c r="H176" s="470">
        <f t="shared" si="6"/>
        <v>1000</v>
      </c>
      <c r="I176" s="470">
        <f t="shared" si="7"/>
        <v>250</v>
      </c>
    </row>
    <row r="177" spans="1:9" ht="15">
      <c r="A177" s="470"/>
      <c r="B177" s="471" t="s">
        <v>896</v>
      </c>
      <c r="C177" s="470"/>
      <c r="D177" s="471" t="s">
        <v>897</v>
      </c>
      <c r="E177" s="470"/>
      <c r="F177" s="470"/>
      <c r="G177" s="471">
        <v>1250</v>
      </c>
      <c r="H177" s="470">
        <f t="shared" si="6"/>
        <v>1000</v>
      </c>
      <c r="I177" s="470">
        <f t="shared" si="7"/>
        <v>250</v>
      </c>
    </row>
    <row r="178" spans="1:9" ht="15">
      <c r="A178" s="470"/>
      <c r="B178" s="471" t="s">
        <v>938</v>
      </c>
      <c r="C178" s="470"/>
      <c r="D178" s="471" t="s">
        <v>939</v>
      </c>
      <c r="E178" s="470"/>
      <c r="F178" s="470"/>
      <c r="G178" s="471">
        <v>2500</v>
      </c>
      <c r="H178" s="470">
        <f t="shared" si="6"/>
        <v>2000</v>
      </c>
      <c r="I178" s="470">
        <f t="shared" si="7"/>
        <v>500</v>
      </c>
    </row>
    <row r="179" spans="1:9" ht="15">
      <c r="A179" s="470"/>
      <c r="B179" s="471" t="s">
        <v>525</v>
      </c>
      <c r="C179" s="470"/>
      <c r="D179" s="471" t="s">
        <v>526</v>
      </c>
      <c r="E179" s="470"/>
      <c r="F179" s="470"/>
      <c r="G179" s="471">
        <v>2500</v>
      </c>
      <c r="H179" s="470">
        <f t="shared" si="6"/>
        <v>2000</v>
      </c>
      <c r="I179" s="470">
        <f t="shared" si="7"/>
        <v>500</v>
      </c>
    </row>
    <row r="180" spans="1:9" ht="15">
      <c r="A180" s="470"/>
      <c r="B180" s="471" t="s">
        <v>525</v>
      </c>
      <c r="C180" s="470"/>
      <c r="D180" s="471" t="s">
        <v>526</v>
      </c>
      <c r="E180" s="470"/>
      <c r="F180" s="470"/>
      <c r="G180" s="471">
        <v>1875</v>
      </c>
      <c r="H180" s="470">
        <f t="shared" si="6"/>
        <v>1500</v>
      </c>
      <c r="I180" s="470">
        <f t="shared" si="7"/>
        <v>375</v>
      </c>
    </row>
    <row r="181" spans="1:9" ht="15">
      <c r="A181" s="470"/>
      <c r="B181" s="471" t="s">
        <v>925</v>
      </c>
      <c r="C181" s="470"/>
      <c r="D181" s="471" t="s">
        <v>926</v>
      </c>
      <c r="E181" s="470"/>
      <c r="F181" s="470"/>
      <c r="G181" s="471">
        <v>2500</v>
      </c>
      <c r="H181" s="470">
        <f t="shared" si="6"/>
        <v>2000</v>
      </c>
      <c r="I181" s="470">
        <f t="shared" si="7"/>
        <v>500</v>
      </c>
    </row>
    <row r="182" spans="1:9" ht="15">
      <c r="A182" s="470"/>
      <c r="B182" s="471" t="s">
        <v>900</v>
      </c>
      <c r="C182" s="470"/>
      <c r="D182" s="471" t="s">
        <v>901</v>
      </c>
      <c r="E182" s="470"/>
      <c r="F182" s="470"/>
      <c r="G182" s="471">
        <v>1875</v>
      </c>
      <c r="H182" s="470">
        <f t="shared" si="6"/>
        <v>1500</v>
      </c>
      <c r="I182" s="470">
        <f t="shared" si="7"/>
        <v>375</v>
      </c>
    </row>
    <row r="183" spans="1:9" ht="15">
      <c r="A183" s="470"/>
      <c r="B183" s="471" t="s">
        <v>904</v>
      </c>
      <c r="C183" s="470"/>
      <c r="D183" s="471" t="s">
        <v>905</v>
      </c>
      <c r="E183" s="470"/>
      <c r="F183" s="470"/>
      <c r="G183" s="471">
        <v>1250</v>
      </c>
      <c r="H183" s="470">
        <f t="shared" si="6"/>
        <v>1000</v>
      </c>
      <c r="I183" s="470">
        <f t="shared" si="7"/>
        <v>250</v>
      </c>
    </row>
    <row r="184" spans="1:9" ht="15">
      <c r="A184" s="470"/>
      <c r="B184" s="471" t="s">
        <v>904</v>
      </c>
      <c r="C184" s="470"/>
      <c r="D184" s="471" t="s">
        <v>905</v>
      </c>
      <c r="E184" s="470"/>
      <c r="F184" s="470"/>
      <c r="G184" s="471">
        <v>1250</v>
      </c>
      <c r="H184" s="470">
        <f t="shared" si="6"/>
        <v>1000</v>
      </c>
      <c r="I184" s="470">
        <f t="shared" si="7"/>
        <v>250</v>
      </c>
    </row>
    <row r="185" spans="1:9" ht="15">
      <c r="A185" s="470"/>
      <c r="B185" s="471" t="s">
        <v>528</v>
      </c>
      <c r="C185" s="470"/>
      <c r="D185" s="471" t="s">
        <v>529</v>
      </c>
      <c r="E185" s="470"/>
      <c r="F185" s="470"/>
      <c r="G185" s="471">
        <v>2500</v>
      </c>
      <c r="H185" s="470">
        <f t="shared" si="6"/>
        <v>2000</v>
      </c>
      <c r="I185" s="470">
        <f t="shared" si="7"/>
        <v>500</v>
      </c>
    </row>
    <row r="186" spans="1:9" ht="15">
      <c r="A186" s="470"/>
      <c r="B186" s="471" t="s">
        <v>927</v>
      </c>
      <c r="C186" s="470"/>
      <c r="D186" s="471" t="s">
        <v>928</v>
      </c>
      <c r="E186" s="470"/>
      <c r="F186" s="470"/>
      <c r="G186" s="471">
        <v>2500</v>
      </c>
      <c r="H186" s="470">
        <f t="shared" si="6"/>
        <v>2000</v>
      </c>
      <c r="I186" s="470">
        <f t="shared" si="7"/>
        <v>500</v>
      </c>
    </row>
    <row r="187" spans="1:9" ht="15">
      <c r="A187" s="470"/>
      <c r="B187" s="471" t="s">
        <v>922</v>
      </c>
      <c r="C187" s="470"/>
      <c r="D187" s="471" t="s">
        <v>522</v>
      </c>
      <c r="E187" s="470"/>
      <c r="F187" s="470"/>
      <c r="G187" s="471">
        <v>2500</v>
      </c>
      <c r="H187" s="470">
        <f t="shared" si="6"/>
        <v>2000</v>
      </c>
      <c r="I187" s="470">
        <f t="shared" si="7"/>
        <v>500</v>
      </c>
    </row>
    <row r="188" spans="1:9" ht="15">
      <c r="A188" s="470"/>
      <c r="B188" s="471" t="s">
        <v>922</v>
      </c>
      <c r="C188" s="470"/>
      <c r="D188" s="471" t="s">
        <v>522</v>
      </c>
      <c r="E188" s="470"/>
      <c r="F188" s="470"/>
      <c r="G188" s="471">
        <v>2500</v>
      </c>
      <c r="H188" s="470">
        <f t="shared" si="6"/>
        <v>2000</v>
      </c>
      <c r="I188" s="470">
        <f t="shared" si="7"/>
        <v>500</v>
      </c>
    </row>
    <row r="189" spans="1:9" ht="15">
      <c r="A189" s="470"/>
      <c r="B189" s="471" t="s">
        <v>534</v>
      </c>
      <c r="C189" s="470"/>
      <c r="D189" s="471" t="s">
        <v>535</v>
      </c>
      <c r="E189" s="470"/>
      <c r="F189" s="470"/>
      <c r="G189" s="471">
        <v>3750</v>
      </c>
      <c r="H189" s="470">
        <f t="shared" si="6"/>
        <v>3000</v>
      </c>
      <c r="I189" s="470">
        <f t="shared" si="7"/>
        <v>750</v>
      </c>
    </row>
    <row r="190" spans="1:9" ht="15">
      <c r="A190" s="470"/>
      <c r="B190" s="471" t="s">
        <v>534</v>
      </c>
      <c r="C190" s="470"/>
      <c r="D190" s="471" t="s">
        <v>535</v>
      </c>
      <c r="E190" s="470"/>
      <c r="F190" s="470"/>
      <c r="G190" s="471">
        <v>3750</v>
      </c>
      <c r="H190" s="470">
        <f t="shared" si="6"/>
        <v>3000</v>
      </c>
      <c r="I190" s="470">
        <f t="shared" si="7"/>
        <v>750</v>
      </c>
    </row>
    <row r="191" spans="1:9" ht="15">
      <c r="A191" s="470"/>
      <c r="B191" s="471" t="s">
        <v>940</v>
      </c>
      <c r="C191" s="470"/>
      <c r="D191" s="471" t="s">
        <v>941</v>
      </c>
      <c r="E191" s="470"/>
      <c r="F191" s="470"/>
      <c r="G191" s="471">
        <v>2500</v>
      </c>
      <c r="H191" s="470">
        <f t="shared" si="6"/>
        <v>2000</v>
      </c>
      <c r="I191" s="470">
        <f t="shared" si="7"/>
        <v>500</v>
      </c>
    </row>
    <row r="192" spans="1:9" ht="15">
      <c r="A192" s="470"/>
      <c r="B192" s="471" t="s">
        <v>908</v>
      </c>
      <c r="C192" s="470"/>
      <c r="D192" s="471" t="s">
        <v>909</v>
      </c>
      <c r="E192" s="470"/>
      <c r="F192" s="470"/>
      <c r="G192" s="471">
        <v>1875</v>
      </c>
      <c r="H192" s="470">
        <f t="shared" si="6"/>
        <v>1500</v>
      </c>
      <c r="I192" s="470">
        <f t="shared" si="7"/>
        <v>375</v>
      </c>
    </row>
    <row r="193" spans="1:9" ht="15">
      <c r="A193" s="470"/>
      <c r="B193" s="471" t="s">
        <v>908</v>
      </c>
      <c r="C193" s="470"/>
      <c r="D193" s="471" t="s">
        <v>909</v>
      </c>
      <c r="E193" s="470"/>
      <c r="F193" s="470"/>
      <c r="G193" s="471">
        <v>1875</v>
      </c>
      <c r="H193" s="470">
        <f t="shared" si="6"/>
        <v>1500</v>
      </c>
      <c r="I193" s="470">
        <f t="shared" si="7"/>
        <v>375</v>
      </c>
    </row>
    <row r="194" spans="1:9" ht="15">
      <c r="A194" s="470"/>
      <c r="B194" s="471" t="s">
        <v>910</v>
      </c>
      <c r="C194" s="470"/>
      <c r="D194" s="471" t="s">
        <v>911</v>
      </c>
      <c r="E194" s="470"/>
      <c r="F194" s="470"/>
      <c r="G194" s="471">
        <v>1250</v>
      </c>
      <c r="H194" s="470">
        <f t="shared" si="6"/>
        <v>1000</v>
      </c>
      <c r="I194" s="470">
        <f t="shared" si="7"/>
        <v>250</v>
      </c>
    </row>
    <row r="195" spans="1:9" ht="15">
      <c r="A195" s="470"/>
      <c r="B195" s="471" t="s">
        <v>910</v>
      </c>
      <c r="C195" s="470"/>
      <c r="D195" s="471" t="s">
        <v>911</v>
      </c>
      <c r="E195" s="470"/>
      <c r="F195" s="470"/>
      <c r="G195" s="471">
        <v>1250</v>
      </c>
      <c r="H195" s="470">
        <f t="shared" si="6"/>
        <v>1000</v>
      </c>
      <c r="I195" s="470">
        <f t="shared" si="7"/>
        <v>250</v>
      </c>
    </row>
    <row r="196" spans="1:9" ht="15">
      <c r="A196" s="470"/>
      <c r="B196" s="471" t="s">
        <v>541</v>
      </c>
      <c r="C196" s="470"/>
      <c r="D196" s="471" t="s">
        <v>542</v>
      </c>
      <c r="E196" s="470"/>
      <c r="F196" s="470"/>
      <c r="G196" s="471">
        <v>2500</v>
      </c>
      <c r="H196" s="470">
        <f t="shared" si="6"/>
        <v>2000</v>
      </c>
      <c r="I196" s="470">
        <f t="shared" si="7"/>
        <v>500</v>
      </c>
    </row>
    <row r="197" spans="1:9" ht="15">
      <c r="A197" s="470"/>
      <c r="B197" s="471" t="s">
        <v>541</v>
      </c>
      <c r="C197" s="470"/>
      <c r="D197" s="471" t="s">
        <v>542</v>
      </c>
      <c r="E197" s="470"/>
      <c r="F197" s="470"/>
      <c r="G197" s="471">
        <v>2500</v>
      </c>
      <c r="H197" s="470">
        <f t="shared" si="6"/>
        <v>2000</v>
      </c>
      <c r="I197" s="470">
        <f t="shared" si="7"/>
        <v>500</v>
      </c>
    </row>
    <row r="198" spans="1:9" ht="15">
      <c r="A198" s="470"/>
      <c r="B198" s="471" t="s">
        <v>882</v>
      </c>
      <c r="C198" s="470"/>
      <c r="D198" s="471" t="s">
        <v>883</v>
      </c>
      <c r="E198" s="470"/>
      <c r="F198" s="470"/>
      <c r="G198" s="471">
        <v>2500</v>
      </c>
      <c r="H198" s="470">
        <f t="shared" si="6"/>
        <v>2000</v>
      </c>
      <c r="I198" s="470">
        <f t="shared" si="7"/>
        <v>500</v>
      </c>
    </row>
    <row r="199" spans="1:9" ht="15">
      <c r="A199" s="470"/>
      <c r="B199" s="471" t="s">
        <v>942</v>
      </c>
      <c r="C199" s="470"/>
      <c r="D199" s="471" t="s">
        <v>943</v>
      </c>
      <c r="E199" s="470"/>
      <c r="F199" s="470"/>
      <c r="G199" s="471">
        <v>251.25</v>
      </c>
      <c r="H199" s="470">
        <f t="shared" si="6"/>
        <v>201</v>
      </c>
      <c r="I199" s="470">
        <f t="shared" si="7"/>
        <v>50.25</v>
      </c>
    </row>
    <row r="200" spans="1:9" ht="15">
      <c r="A200" s="470"/>
      <c r="B200" s="471" t="s">
        <v>942</v>
      </c>
      <c r="C200" s="470"/>
      <c r="D200" s="471" t="s">
        <v>943</v>
      </c>
      <c r="E200" s="470"/>
      <c r="F200" s="470"/>
      <c r="G200" s="471">
        <v>356.25</v>
      </c>
      <c r="H200" s="470">
        <f t="shared" si="6"/>
        <v>285</v>
      </c>
      <c r="I200" s="470">
        <f t="shared" si="7"/>
        <v>71.25</v>
      </c>
    </row>
    <row r="201" spans="1:9" ht="15">
      <c r="A201" s="470"/>
      <c r="B201" s="471" t="s">
        <v>944</v>
      </c>
      <c r="C201" s="470"/>
      <c r="D201" s="471" t="s">
        <v>945</v>
      </c>
      <c r="E201" s="470"/>
      <c r="F201" s="470"/>
      <c r="G201" s="471">
        <v>2500</v>
      </c>
      <c r="H201" s="470">
        <f t="shared" si="6"/>
        <v>2000</v>
      </c>
      <c r="I201" s="470">
        <f t="shared" si="7"/>
        <v>500</v>
      </c>
    </row>
    <row r="202" spans="1:9" ht="15">
      <c r="A202" s="470"/>
      <c r="B202" s="471" t="s">
        <v>912</v>
      </c>
      <c r="C202" s="470"/>
      <c r="D202" s="471" t="s">
        <v>913</v>
      </c>
      <c r="E202" s="470"/>
      <c r="F202" s="470"/>
      <c r="G202" s="471">
        <v>1250</v>
      </c>
      <c r="H202" s="470">
        <f t="shared" si="6"/>
        <v>1000</v>
      </c>
      <c r="I202" s="470">
        <f t="shared" si="7"/>
        <v>250</v>
      </c>
    </row>
    <row r="203" spans="1:9" ht="15">
      <c r="A203" s="470"/>
      <c r="B203" s="471" t="s">
        <v>912</v>
      </c>
      <c r="C203" s="470"/>
      <c r="D203" s="471" t="s">
        <v>913</v>
      </c>
      <c r="E203" s="470"/>
      <c r="F203" s="470"/>
      <c r="G203" s="471">
        <v>2500</v>
      </c>
      <c r="H203" s="470">
        <f t="shared" si="6"/>
        <v>2000</v>
      </c>
      <c r="I203" s="470">
        <f t="shared" si="7"/>
        <v>500</v>
      </c>
    </row>
    <row r="204" spans="1:9" ht="15">
      <c r="A204" s="470"/>
      <c r="B204" s="471" t="s">
        <v>914</v>
      </c>
      <c r="C204" s="470"/>
      <c r="D204" s="471" t="s">
        <v>915</v>
      </c>
      <c r="E204" s="470"/>
      <c r="F204" s="470"/>
      <c r="G204" s="471">
        <v>2500</v>
      </c>
      <c r="H204" s="470">
        <f t="shared" si="6"/>
        <v>2000</v>
      </c>
      <c r="I204" s="470">
        <f t="shared" si="7"/>
        <v>500</v>
      </c>
    </row>
    <row r="205" spans="1:9" ht="15">
      <c r="A205" s="470"/>
      <c r="B205" s="471" t="s">
        <v>916</v>
      </c>
      <c r="C205" s="470"/>
      <c r="D205" s="471" t="s">
        <v>917</v>
      </c>
      <c r="E205" s="470"/>
      <c r="F205" s="470"/>
      <c r="G205" s="471">
        <v>3750</v>
      </c>
      <c r="H205" s="470">
        <f t="shared" si="6"/>
        <v>3000</v>
      </c>
      <c r="I205" s="470">
        <f t="shared" si="7"/>
        <v>750</v>
      </c>
    </row>
    <row r="206" spans="1:9" ht="15">
      <c r="A206" s="470"/>
      <c r="B206" s="471" t="s">
        <v>888</v>
      </c>
      <c r="C206" s="470"/>
      <c r="D206" s="471" t="s">
        <v>889</v>
      </c>
      <c r="E206" s="470"/>
      <c r="F206" s="470"/>
      <c r="G206" s="471">
        <v>1250</v>
      </c>
      <c r="H206" s="470">
        <f t="shared" si="6"/>
        <v>1000</v>
      </c>
      <c r="I206" s="470">
        <f t="shared" si="7"/>
        <v>250</v>
      </c>
    </row>
    <row r="207" spans="1:9" ht="15">
      <c r="A207" s="470"/>
      <c r="B207" s="471" t="s">
        <v>888</v>
      </c>
      <c r="C207" s="470"/>
      <c r="D207" s="471" t="s">
        <v>889</v>
      </c>
      <c r="E207" s="470"/>
      <c r="F207" s="470"/>
      <c r="G207" s="471">
        <v>1250</v>
      </c>
      <c r="H207" s="470">
        <f t="shared" si="6"/>
        <v>1000</v>
      </c>
      <c r="I207" s="470">
        <f t="shared" si="7"/>
        <v>250</v>
      </c>
    </row>
    <row r="208" spans="1:9" ht="15">
      <c r="A208" s="470"/>
      <c r="B208" s="471" t="s">
        <v>932</v>
      </c>
      <c r="C208" s="470"/>
      <c r="D208" s="471" t="s">
        <v>933</v>
      </c>
      <c r="E208" s="470"/>
      <c r="F208" s="470"/>
      <c r="G208" s="471">
        <v>2500</v>
      </c>
      <c r="H208" s="470">
        <f t="shared" si="6"/>
        <v>2000</v>
      </c>
      <c r="I208" s="470">
        <f t="shared" si="7"/>
        <v>500</v>
      </c>
    </row>
    <row r="209" spans="1:9" ht="15">
      <c r="A209" s="470"/>
      <c r="B209" s="471" t="s">
        <v>946</v>
      </c>
      <c r="C209" s="470"/>
      <c r="D209" s="471" t="s">
        <v>947</v>
      </c>
      <c r="E209" s="470"/>
      <c r="F209" s="470"/>
      <c r="G209" s="471">
        <v>2500</v>
      </c>
      <c r="H209" s="470">
        <f t="shared" si="6"/>
        <v>2000</v>
      </c>
      <c r="I209" s="470">
        <f t="shared" si="7"/>
        <v>500</v>
      </c>
    </row>
    <row r="210" spans="1:9" ht="15">
      <c r="A210" s="470"/>
      <c r="B210" s="471" t="s">
        <v>918</v>
      </c>
      <c r="C210" s="470"/>
      <c r="D210" s="471" t="s">
        <v>919</v>
      </c>
      <c r="E210" s="470"/>
      <c r="F210" s="470"/>
      <c r="G210" s="471">
        <v>1000</v>
      </c>
      <c r="H210" s="470">
        <f t="shared" si="6"/>
        <v>800</v>
      </c>
      <c r="I210" s="470">
        <f t="shared" si="7"/>
        <v>200</v>
      </c>
    </row>
    <row r="211" spans="1:9" ht="15">
      <c r="A211" s="470"/>
      <c r="B211" s="471" t="s">
        <v>948</v>
      </c>
      <c r="C211" s="470"/>
      <c r="D211" s="471" t="s">
        <v>949</v>
      </c>
      <c r="E211" s="470"/>
      <c r="F211" s="470"/>
      <c r="G211" s="471">
        <v>2500</v>
      </c>
      <c r="H211" s="470">
        <f t="shared" ref="H211:H274" si="8">G211*0.8</f>
        <v>2000</v>
      </c>
      <c r="I211" s="470">
        <f t="shared" ref="I211:I239" si="9">G211*0.2</f>
        <v>500</v>
      </c>
    </row>
    <row r="212" spans="1:9" ht="15">
      <c r="A212" s="470"/>
      <c r="B212" s="471" t="s">
        <v>934</v>
      </c>
      <c r="C212" s="470"/>
      <c r="D212" s="471" t="s">
        <v>935</v>
      </c>
      <c r="E212" s="470"/>
      <c r="F212" s="470"/>
      <c r="G212" s="471">
        <v>2500</v>
      </c>
      <c r="H212" s="470">
        <f t="shared" si="8"/>
        <v>2000</v>
      </c>
      <c r="I212" s="470">
        <f t="shared" si="9"/>
        <v>500</v>
      </c>
    </row>
    <row r="213" spans="1:9" ht="15">
      <c r="A213" s="470"/>
      <c r="B213" s="471" t="s">
        <v>936</v>
      </c>
      <c r="C213" s="470"/>
      <c r="D213" s="471" t="s">
        <v>937</v>
      </c>
      <c r="E213" s="470"/>
      <c r="F213" s="470"/>
      <c r="G213" s="471">
        <v>2500</v>
      </c>
      <c r="H213" s="470">
        <f t="shared" si="8"/>
        <v>2000</v>
      </c>
      <c r="I213" s="470">
        <f t="shared" si="9"/>
        <v>500</v>
      </c>
    </row>
    <row r="214" spans="1:9" ht="15">
      <c r="A214" s="470"/>
      <c r="B214" s="471" t="s">
        <v>923</v>
      </c>
      <c r="C214" s="470"/>
      <c r="D214" s="471" t="s">
        <v>924</v>
      </c>
      <c r="E214" s="470"/>
      <c r="F214" s="470"/>
      <c r="G214" s="471">
        <v>250</v>
      </c>
      <c r="H214" s="470">
        <f t="shared" si="8"/>
        <v>200</v>
      </c>
      <c r="I214" s="470">
        <f t="shared" si="9"/>
        <v>50</v>
      </c>
    </row>
    <row r="215" spans="1:9" ht="15">
      <c r="A215" s="470"/>
      <c r="B215" s="471" t="s">
        <v>531</v>
      </c>
      <c r="C215" s="470"/>
      <c r="D215" s="471" t="s">
        <v>532</v>
      </c>
      <c r="E215" s="470"/>
      <c r="F215" s="470"/>
      <c r="G215" s="471">
        <v>6250</v>
      </c>
      <c r="H215" s="470">
        <f t="shared" si="8"/>
        <v>5000</v>
      </c>
      <c r="I215" s="470">
        <f t="shared" si="9"/>
        <v>1250</v>
      </c>
    </row>
    <row r="216" spans="1:9" ht="15">
      <c r="A216" s="470"/>
      <c r="B216" s="471" t="s">
        <v>531</v>
      </c>
      <c r="C216" s="470"/>
      <c r="D216" s="471" t="s">
        <v>532</v>
      </c>
      <c r="E216" s="470"/>
      <c r="F216" s="470"/>
      <c r="G216" s="471">
        <v>1250</v>
      </c>
      <c r="H216" s="470">
        <f t="shared" si="8"/>
        <v>1000</v>
      </c>
      <c r="I216" s="470">
        <f t="shared" si="9"/>
        <v>250</v>
      </c>
    </row>
    <row r="217" spans="1:9" ht="15">
      <c r="A217" s="470"/>
      <c r="B217" s="471" t="s">
        <v>518</v>
      </c>
      <c r="C217" s="470"/>
      <c r="D217" s="471" t="s">
        <v>519</v>
      </c>
      <c r="E217" s="470"/>
      <c r="F217" s="470"/>
      <c r="G217" s="471">
        <v>2500</v>
      </c>
      <c r="H217" s="470">
        <f t="shared" si="8"/>
        <v>2000</v>
      </c>
      <c r="I217" s="470">
        <f t="shared" si="9"/>
        <v>500</v>
      </c>
    </row>
    <row r="218" spans="1:9" ht="15">
      <c r="A218" s="470"/>
      <c r="B218" s="471" t="s">
        <v>518</v>
      </c>
      <c r="C218" s="470"/>
      <c r="D218" s="471" t="s">
        <v>519</v>
      </c>
      <c r="E218" s="470"/>
      <c r="F218" s="470"/>
      <c r="G218" s="471">
        <v>2750</v>
      </c>
      <c r="H218" s="470">
        <f t="shared" si="8"/>
        <v>2200</v>
      </c>
      <c r="I218" s="470">
        <f t="shared" si="9"/>
        <v>550</v>
      </c>
    </row>
    <row r="219" spans="1:9" ht="15">
      <c r="A219" s="470"/>
      <c r="B219" s="471" t="s">
        <v>896</v>
      </c>
      <c r="C219" s="470"/>
      <c r="D219" s="471" t="s">
        <v>897</v>
      </c>
      <c r="E219" s="470"/>
      <c r="F219" s="470"/>
      <c r="G219" s="471">
        <v>1250</v>
      </c>
      <c r="H219" s="470">
        <f t="shared" si="8"/>
        <v>1000</v>
      </c>
      <c r="I219" s="470">
        <f t="shared" si="9"/>
        <v>250</v>
      </c>
    </row>
    <row r="220" spans="1:9" ht="15">
      <c r="A220" s="470"/>
      <c r="B220" s="471" t="s">
        <v>896</v>
      </c>
      <c r="C220" s="470"/>
      <c r="D220" s="471" t="s">
        <v>897</v>
      </c>
      <c r="E220" s="470"/>
      <c r="F220" s="470"/>
      <c r="G220" s="471">
        <v>1250</v>
      </c>
      <c r="H220" s="470">
        <f t="shared" si="8"/>
        <v>1000</v>
      </c>
      <c r="I220" s="470">
        <f t="shared" si="9"/>
        <v>250</v>
      </c>
    </row>
    <row r="221" spans="1:9" ht="15">
      <c r="A221" s="470"/>
      <c r="B221" s="471" t="s">
        <v>938</v>
      </c>
      <c r="C221" s="470"/>
      <c r="D221" s="471" t="s">
        <v>939</v>
      </c>
      <c r="E221" s="470"/>
      <c r="F221" s="470"/>
      <c r="G221" s="471">
        <v>2500</v>
      </c>
      <c r="H221" s="470">
        <f t="shared" si="8"/>
        <v>2000</v>
      </c>
      <c r="I221" s="470">
        <f t="shared" si="9"/>
        <v>500</v>
      </c>
    </row>
    <row r="222" spans="1:9" ht="15">
      <c r="A222" s="470"/>
      <c r="B222" s="471" t="s">
        <v>898</v>
      </c>
      <c r="C222" s="470"/>
      <c r="D222" s="471" t="s">
        <v>899</v>
      </c>
      <c r="E222" s="470"/>
      <c r="F222" s="470"/>
      <c r="G222" s="471">
        <v>1125</v>
      </c>
      <c r="H222" s="470">
        <f t="shared" si="8"/>
        <v>900</v>
      </c>
      <c r="I222" s="470">
        <f t="shared" si="9"/>
        <v>225</v>
      </c>
    </row>
    <row r="223" spans="1:9" ht="15">
      <c r="A223" s="470"/>
      <c r="B223" s="471" t="s">
        <v>525</v>
      </c>
      <c r="C223" s="470"/>
      <c r="D223" s="471" t="s">
        <v>526</v>
      </c>
      <c r="E223" s="470"/>
      <c r="F223" s="470"/>
      <c r="G223" s="471">
        <v>2500</v>
      </c>
      <c r="H223" s="470">
        <f t="shared" si="8"/>
        <v>2000</v>
      </c>
      <c r="I223" s="470">
        <f t="shared" si="9"/>
        <v>500</v>
      </c>
    </row>
    <row r="224" spans="1:9" ht="15">
      <c r="A224" s="470"/>
      <c r="B224" s="471" t="s">
        <v>525</v>
      </c>
      <c r="C224" s="470"/>
      <c r="D224" s="471" t="s">
        <v>526</v>
      </c>
      <c r="E224" s="470"/>
      <c r="F224" s="470"/>
      <c r="G224" s="471">
        <v>2500</v>
      </c>
      <c r="H224" s="470">
        <f t="shared" si="8"/>
        <v>2000</v>
      </c>
      <c r="I224" s="470">
        <f t="shared" si="9"/>
        <v>500</v>
      </c>
    </row>
    <row r="225" spans="1:9" ht="15">
      <c r="A225" s="470"/>
      <c r="B225" s="471" t="s">
        <v>900</v>
      </c>
      <c r="C225" s="470"/>
      <c r="D225" s="471" t="s">
        <v>901</v>
      </c>
      <c r="E225" s="470"/>
      <c r="F225" s="470"/>
      <c r="G225" s="471">
        <v>1875</v>
      </c>
      <c r="H225" s="470">
        <f t="shared" si="8"/>
        <v>1500</v>
      </c>
      <c r="I225" s="470">
        <f t="shared" si="9"/>
        <v>375</v>
      </c>
    </row>
    <row r="226" spans="1:9" ht="15">
      <c r="A226" s="470"/>
      <c r="B226" s="471" t="s">
        <v>902</v>
      </c>
      <c r="C226" s="470"/>
      <c r="D226" s="471" t="s">
        <v>903</v>
      </c>
      <c r="E226" s="470"/>
      <c r="F226" s="470"/>
      <c r="G226" s="471">
        <v>1250</v>
      </c>
      <c r="H226" s="470">
        <f t="shared" si="8"/>
        <v>1000</v>
      </c>
      <c r="I226" s="470">
        <f t="shared" si="9"/>
        <v>250</v>
      </c>
    </row>
    <row r="227" spans="1:9" ht="15">
      <c r="A227" s="470"/>
      <c r="B227" s="471" t="s">
        <v>902</v>
      </c>
      <c r="C227" s="470"/>
      <c r="D227" s="471" t="s">
        <v>903</v>
      </c>
      <c r="E227" s="470"/>
      <c r="F227" s="470"/>
      <c r="G227" s="471">
        <v>1250</v>
      </c>
      <c r="H227" s="470">
        <f t="shared" si="8"/>
        <v>1000</v>
      </c>
      <c r="I227" s="470">
        <f t="shared" si="9"/>
        <v>250</v>
      </c>
    </row>
    <row r="228" spans="1:9" ht="15">
      <c r="A228" s="470"/>
      <c r="B228" s="471" t="s">
        <v>528</v>
      </c>
      <c r="C228" s="470"/>
      <c r="D228" s="471" t="s">
        <v>529</v>
      </c>
      <c r="E228" s="470"/>
      <c r="F228" s="470"/>
      <c r="G228" s="471">
        <v>2500</v>
      </c>
      <c r="H228" s="470">
        <f t="shared" si="8"/>
        <v>2000</v>
      </c>
      <c r="I228" s="470">
        <f t="shared" si="9"/>
        <v>500</v>
      </c>
    </row>
    <row r="229" spans="1:9" ht="15">
      <c r="A229" s="470"/>
      <c r="B229" s="471" t="s">
        <v>528</v>
      </c>
      <c r="C229" s="470"/>
      <c r="D229" s="471" t="s">
        <v>529</v>
      </c>
      <c r="E229" s="470"/>
      <c r="F229" s="470"/>
      <c r="G229" s="471">
        <v>2500</v>
      </c>
      <c r="H229" s="470">
        <f t="shared" si="8"/>
        <v>2000</v>
      </c>
      <c r="I229" s="470">
        <f t="shared" si="9"/>
        <v>500</v>
      </c>
    </row>
    <row r="230" spans="1:9" ht="15">
      <c r="A230" s="470"/>
      <c r="B230" s="471" t="s">
        <v>927</v>
      </c>
      <c r="C230" s="470"/>
      <c r="D230" s="471" t="s">
        <v>928</v>
      </c>
      <c r="E230" s="470"/>
      <c r="F230" s="470"/>
      <c r="G230" s="471">
        <v>2500</v>
      </c>
      <c r="H230" s="470">
        <f t="shared" si="8"/>
        <v>2000</v>
      </c>
      <c r="I230" s="470">
        <f t="shared" si="9"/>
        <v>500</v>
      </c>
    </row>
    <row r="231" spans="1:9" ht="15">
      <c r="A231" s="470"/>
      <c r="B231" s="471" t="s">
        <v>927</v>
      </c>
      <c r="C231" s="470"/>
      <c r="D231" s="471" t="s">
        <v>928</v>
      </c>
      <c r="E231" s="470"/>
      <c r="F231" s="470"/>
      <c r="G231" s="471">
        <v>2500</v>
      </c>
      <c r="H231" s="470">
        <f t="shared" si="8"/>
        <v>2000</v>
      </c>
      <c r="I231" s="470">
        <f t="shared" si="9"/>
        <v>500</v>
      </c>
    </row>
    <row r="232" spans="1:9" ht="15">
      <c r="A232" s="470"/>
      <c r="B232" s="471" t="s">
        <v>922</v>
      </c>
      <c r="C232" s="470"/>
      <c r="D232" s="471" t="s">
        <v>522</v>
      </c>
      <c r="E232" s="470"/>
      <c r="F232" s="470"/>
      <c r="G232" s="471">
        <v>2500</v>
      </c>
      <c r="H232" s="470">
        <f t="shared" si="8"/>
        <v>2000</v>
      </c>
      <c r="I232" s="470">
        <f t="shared" si="9"/>
        <v>500</v>
      </c>
    </row>
    <row r="233" spans="1:9" ht="15">
      <c r="A233" s="470"/>
      <c r="B233" s="471" t="s">
        <v>534</v>
      </c>
      <c r="C233" s="470"/>
      <c r="D233" s="471" t="s">
        <v>535</v>
      </c>
      <c r="E233" s="470"/>
      <c r="F233" s="470"/>
      <c r="G233" s="471">
        <v>6250</v>
      </c>
      <c r="H233" s="470">
        <f t="shared" si="8"/>
        <v>5000</v>
      </c>
      <c r="I233" s="470">
        <f t="shared" si="9"/>
        <v>1250</v>
      </c>
    </row>
    <row r="234" spans="1:9" ht="15">
      <c r="A234" s="470"/>
      <c r="B234" s="471" t="s">
        <v>908</v>
      </c>
      <c r="C234" s="470"/>
      <c r="D234" s="471" t="s">
        <v>909</v>
      </c>
      <c r="E234" s="470"/>
      <c r="F234" s="470"/>
      <c r="G234" s="471">
        <v>1875</v>
      </c>
      <c r="H234" s="470">
        <f t="shared" si="8"/>
        <v>1500</v>
      </c>
      <c r="I234" s="470">
        <f t="shared" si="9"/>
        <v>375</v>
      </c>
    </row>
    <row r="235" spans="1:9" ht="15">
      <c r="A235" s="470"/>
      <c r="B235" s="471" t="s">
        <v>541</v>
      </c>
      <c r="C235" s="470"/>
      <c r="D235" s="471" t="s">
        <v>542</v>
      </c>
      <c r="E235" s="470"/>
      <c r="F235" s="470"/>
      <c r="G235" s="471">
        <v>2500</v>
      </c>
      <c r="H235" s="470">
        <f t="shared" si="8"/>
        <v>2000</v>
      </c>
      <c r="I235" s="470">
        <f t="shared" si="9"/>
        <v>500</v>
      </c>
    </row>
    <row r="236" spans="1:9" ht="15">
      <c r="A236" s="470"/>
      <c r="B236" s="471" t="s">
        <v>541</v>
      </c>
      <c r="C236" s="470"/>
      <c r="D236" s="471" t="s">
        <v>542</v>
      </c>
      <c r="E236" s="470"/>
      <c r="F236" s="470"/>
      <c r="G236" s="471">
        <v>2500</v>
      </c>
      <c r="H236" s="470">
        <f t="shared" si="8"/>
        <v>2000</v>
      </c>
      <c r="I236" s="470">
        <f t="shared" si="9"/>
        <v>500</v>
      </c>
    </row>
    <row r="237" spans="1:9" ht="15">
      <c r="A237" s="470"/>
      <c r="B237" s="471" t="s">
        <v>541</v>
      </c>
      <c r="C237" s="470"/>
      <c r="D237" s="471" t="s">
        <v>542</v>
      </c>
      <c r="E237" s="470"/>
      <c r="F237" s="470"/>
      <c r="G237" s="471">
        <v>2500</v>
      </c>
      <c r="H237" s="470">
        <f t="shared" si="8"/>
        <v>2000</v>
      </c>
      <c r="I237" s="470">
        <f t="shared" si="9"/>
        <v>500</v>
      </c>
    </row>
    <row r="238" spans="1:9" ht="15">
      <c r="A238" s="470"/>
      <c r="B238" s="471" t="s">
        <v>912</v>
      </c>
      <c r="C238" s="470"/>
      <c r="D238" s="471" t="s">
        <v>913</v>
      </c>
      <c r="E238" s="470"/>
      <c r="F238" s="470"/>
      <c r="G238" s="472">
        <v>3750</v>
      </c>
      <c r="H238" s="470">
        <f t="shared" si="8"/>
        <v>3000</v>
      </c>
      <c r="I238" s="470">
        <f t="shared" si="9"/>
        <v>750</v>
      </c>
    </row>
    <row r="239" spans="1:9" ht="15">
      <c r="A239" s="470"/>
      <c r="B239" s="471" t="s">
        <v>910</v>
      </c>
      <c r="C239" s="470"/>
      <c r="D239" s="471" t="s">
        <v>911</v>
      </c>
      <c r="E239" s="470"/>
      <c r="F239" s="470"/>
      <c r="G239" s="472">
        <v>1250</v>
      </c>
      <c r="H239" s="470">
        <f t="shared" si="8"/>
        <v>1000</v>
      </c>
      <c r="I239" s="470">
        <f t="shared" si="9"/>
        <v>250</v>
      </c>
    </row>
    <row r="240" spans="1:9" ht="15">
      <c r="A240" s="470"/>
      <c r="B240" s="506" t="s">
        <v>971</v>
      </c>
      <c r="C240" s="470"/>
      <c r="D240" s="506" t="s">
        <v>972</v>
      </c>
      <c r="E240" s="470"/>
      <c r="F240" s="470"/>
      <c r="G240" s="506">
        <v>267.5</v>
      </c>
      <c r="H240" s="470">
        <f t="shared" si="8"/>
        <v>214</v>
      </c>
      <c r="I240" s="506">
        <v>53.5</v>
      </c>
    </row>
    <row r="241" spans="1:9" ht="15">
      <c r="A241" s="470"/>
      <c r="B241" s="506" t="s">
        <v>1026</v>
      </c>
      <c r="C241" s="470"/>
      <c r="D241" s="506" t="s">
        <v>1029</v>
      </c>
      <c r="E241" s="470"/>
      <c r="F241" s="470"/>
      <c r="G241" s="506">
        <v>2500</v>
      </c>
      <c r="H241" s="470">
        <f t="shared" si="8"/>
        <v>2000</v>
      </c>
      <c r="I241" s="506">
        <v>500</v>
      </c>
    </row>
    <row r="242" spans="1:9" ht="15">
      <c r="A242" s="470"/>
      <c r="B242" s="506" t="s">
        <v>1026</v>
      </c>
      <c r="C242" s="470"/>
      <c r="D242" s="506" t="s">
        <v>1029</v>
      </c>
      <c r="E242" s="470"/>
      <c r="F242" s="470"/>
      <c r="G242" s="506">
        <v>1250</v>
      </c>
      <c r="H242" s="470">
        <f t="shared" si="8"/>
        <v>1000</v>
      </c>
      <c r="I242" s="506">
        <v>250</v>
      </c>
    </row>
    <row r="243" spans="1:9" ht="15">
      <c r="A243" s="470"/>
      <c r="B243" s="506" t="s">
        <v>1026</v>
      </c>
      <c r="C243" s="470"/>
      <c r="D243" s="506" t="s">
        <v>1029</v>
      </c>
      <c r="E243" s="470"/>
      <c r="F243" s="470"/>
      <c r="G243" s="506">
        <v>1250</v>
      </c>
      <c r="H243" s="470">
        <f t="shared" si="8"/>
        <v>1000</v>
      </c>
      <c r="I243" s="506">
        <v>250</v>
      </c>
    </row>
    <row r="244" spans="1:9" ht="15">
      <c r="A244" s="470"/>
      <c r="B244" s="506" t="s">
        <v>882</v>
      </c>
      <c r="C244" s="470"/>
      <c r="D244" s="506" t="s">
        <v>883</v>
      </c>
      <c r="E244" s="470"/>
      <c r="F244" s="470"/>
      <c r="G244" s="506">
        <v>2500</v>
      </c>
      <c r="H244" s="470">
        <f t="shared" si="8"/>
        <v>2000</v>
      </c>
      <c r="I244" s="506">
        <v>500</v>
      </c>
    </row>
    <row r="245" spans="1:9" ht="15">
      <c r="A245" s="470"/>
      <c r="B245" s="506" t="s">
        <v>912</v>
      </c>
      <c r="C245" s="470"/>
      <c r="D245" s="506" t="s">
        <v>913</v>
      </c>
      <c r="E245" s="470"/>
      <c r="F245" s="470"/>
      <c r="G245" s="506">
        <v>6750</v>
      </c>
      <c r="H245" s="470">
        <f t="shared" si="8"/>
        <v>5400</v>
      </c>
      <c r="I245" s="506">
        <v>1350</v>
      </c>
    </row>
    <row r="246" spans="1:9" ht="15">
      <c r="A246" s="470"/>
      <c r="B246" s="506" t="s">
        <v>886</v>
      </c>
      <c r="C246" s="470"/>
      <c r="D246" s="506" t="s">
        <v>887</v>
      </c>
      <c r="E246" s="470"/>
      <c r="F246" s="470"/>
      <c r="G246" s="506">
        <v>2500</v>
      </c>
      <c r="H246" s="470">
        <f t="shared" si="8"/>
        <v>2000</v>
      </c>
      <c r="I246" s="506">
        <v>500</v>
      </c>
    </row>
    <row r="247" spans="1:9" ht="15">
      <c r="A247" s="470"/>
      <c r="B247" s="506" t="s">
        <v>914</v>
      </c>
      <c r="C247" s="470"/>
      <c r="D247" s="506" t="s">
        <v>915</v>
      </c>
      <c r="E247" s="470"/>
      <c r="F247" s="470"/>
      <c r="G247" s="506">
        <v>3500</v>
      </c>
      <c r="H247" s="470">
        <f t="shared" si="8"/>
        <v>2800</v>
      </c>
      <c r="I247" s="506">
        <v>700</v>
      </c>
    </row>
    <row r="248" spans="1:9" ht="15">
      <c r="A248" s="470"/>
      <c r="B248" s="506" t="s">
        <v>916</v>
      </c>
      <c r="C248" s="470"/>
      <c r="D248" s="506" t="s">
        <v>917</v>
      </c>
      <c r="E248" s="470"/>
      <c r="F248" s="470"/>
      <c r="G248" s="506">
        <v>2500</v>
      </c>
      <c r="H248" s="470">
        <f t="shared" si="8"/>
        <v>2000</v>
      </c>
      <c r="I248" s="506">
        <v>500</v>
      </c>
    </row>
    <row r="249" spans="1:9" ht="15">
      <c r="A249" s="470"/>
      <c r="B249" s="506" t="s">
        <v>888</v>
      </c>
      <c r="C249" s="470"/>
      <c r="D249" s="506" t="s">
        <v>889</v>
      </c>
      <c r="E249" s="470"/>
      <c r="F249" s="470"/>
      <c r="G249" s="506">
        <v>1250</v>
      </c>
      <c r="H249" s="470">
        <f t="shared" si="8"/>
        <v>1000</v>
      </c>
      <c r="I249" s="506">
        <v>250</v>
      </c>
    </row>
    <row r="250" spans="1:9" ht="15">
      <c r="A250" s="470"/>
      <c r="B250" s="506" t="s">
        <v>918</v>
      </c>
      <c r="C250" s="470"/>
      <c r="D250" s="506" t="s">
        <v>919</v>
      </c>
      <c r="E250" s="470"/>
      <c r="F250" s="470"/>
      <c r="G250" s="506">
        <v>1000</v>
      </c>
      <c r="H250" s="470">
        <f t="shared" si="8"/>
        <v>800</v>
      </c>
      <c r="I250" s="506">
        <v>200</v>
      </c>
    </row>
    <row r="251" spans="1:9" ht="15">
      <c r="A251" s="470"/>
      <c r="B251" s="506" t="s">
        <v>890</v>
      </c>
      <c r="C251" s="470"/>
      <c r="D251" s="506" t="s">
        <v>891</v>
      </c>
      <c r="E251" s="470"/>
      <c r="F251" s="470"/>
      <c r="G251" s="506">
        <v>2500</v>
      </c>
      <c r="H251" s="470">
        <f t="shared" si="8"/>
        <v>2000</v>
      </c>
      <c r="I251" s="506">
        <v>500</v>
      </c>
    </row>
    <row r="252" spans="1:9" ht="15">
      <c r="A252" s="470"/>
      <c r="B252" s="506" t="s">
        <v>890</v>
      </c>
      <c r="C252" s="470"/>
      <c r="D252" s="506" t="s">
        <v>891</v>
      </c>
      <c r="E252" s="470"/>
      <c r="F252" s="470"/>
      <c r="G252" s="506">
        <v>2500</v>
      </c>
      <c r="H252" s="470">
        <f t="shared" si="8"/>
        <v>2000</v>
      </c>
      <c r="I252" s="506">
        <v>500</v>
      </c>
    </row>
    <row r="253" spans="1:9" ht="15">
      <c r="A253" s="470"/>
      <c r="B253" s="506" t="s">
        <v>1027</v>
      </c>
      <c r="C253" s="470"/>
      <c r="D253" s="506" t="s">
        <v>1030</v>
      </c>
      <c r="E253" s="470"/>
      <c r="F253" s="470"/>
      <c r="G253" s="506">
        <v>3750</v>
      </c>
      <c r="H253" s="470">
        <f t="shared" si="8"/>
        <v>3000</v>
      </c>
      <c r="I253" s="506">
        <v>750</v>
      </c>
    </row>
    <row r="254" spans="1:9" ht="15">
      <c r="A254" s="470"/>
      <c r="B254" s="506" t="s">
        <v>1027</v>
      </c>
      <c r="C254" s="470"/>
      <c r="D254" s="506" t="s">
        <v>1030</v>
      </c>
      <c r="E254" s="470"/>
      <c r="F254" s="470"/>
      <c r="G254" s="506">
        <v>3750</v>
      </c>
      <c r="H254" s="470">
        <f t="shared" si="8"/>
        <v>3000</v>
      </c>
      <c r="I254" s="506">
        <v>750</v>
      </c>
    </row>
    <row r="255" spans="1:9" ht="15">
      <c r="A255" s="470"/>
      <c r="B255" s="506" t="s">
        <v>934</v>
      </c>
      <c r="C255" s="470"/>
      <c r="D255" s="506" t="s">
        <v>935</v>
      </c>
      <c r="E255" s="470"/>
      <c r="F255" s="470"/>
      <c r="G255" s="506">
        <v>2375</v>
      </c>
      <c r="H255" s="470">
        <f t="shared" si="8"/>
        <v>1900</v>
      </c>
      <c r="I255" s="506">
        <v>475</v>
      </c>
    </row>
    <row r="256" spans="1:9" ht="15">
      <c r="A256" s="470"/>
      <c r="B256" s="506" t="s">
        <v>894</v>
      </c>
      <c r="C256" s="470"/>
      <c r="D256" s="506" t="s">
        <v>895</v>
      </c>
      <c r="E256" s="470"/>
      <c r="F256" s="470"/>
      <c r="G256" s="506">
        <v>2500</v>
      </c>
      <c r="H256" s="470">
        <f t="shared" si="8"/>
        <v>2000</v>
      </c>
      <c r="I256" s="506">
        <v>500</v>
      </c>
    </row>
    <row r="257" spans="1:9" ht="15">
      <c r="A257" s="470"/>
      <c r="B257" s="506" t="s">
        <v>894</v>
      </c>
      <c r="C257" s="470"/>
      <c r="D257" s="506" t="s">
        <v>895</v>
      </c>
      <c r="E257" s="470"/>
      <c r="F257" s="470"/>
      <c r="G257" s="506">
        <v>1250</v>
      </c>
      <c r="H257" s="470">
        <f t="shared" si="8"/>
        <v>1000</v>
      </c>
      <c r="I257" s="506">
        <v>250</v>
      </c>
    </row>
    <row r="258" spans="1:9" ht="15">
      <c r="A258" s="470"/>
      <c r="B258" s="506" t="s">
        <v>531</v>
      </c>
      <c r="C258" s="470"/>
      <c r="D258" s="506" t="s">
        <v>532</v>
      </c>
      <c r="E258" s="470"/>
      <c r="F258" s="470"/>
      <c r="G258" s="506">
        <v>2500</v>
      </c>
      <c r="H258" s="470">
        <f t="shared" si="8"/>
        <v>2000</v>
      </c>
      <c r="I258" s="506">
        <v>500</v>
      </c>
    </row>
    <row r="259" spans="1:9" ht="15">
      <c r="A259" s="470"/>
      <c r="B259" s="506" t="s">
        <v>531</v>
      </c>
      <c r="C259" s="470"/>
      <c r="D259" s="506" t="s">
        <v>532</v>
      </c>
      <c r="E259" s="470"/>
      <c r="F259" s="470"/>
      <c r="G259" s="506">
        <v>2500</v>
      </c>
      <c r="H259" s="470">
        <f t="shared" si="8"/>
        <v>2000</v>
      </c>
      <c r="I259" s="506">
        <v>500</v>
      </c>
    </row>
    <row r="260" spans="1:9" ht="15">
      <c r="A260" s="470"/>
      <c r="B260" s="506" t="s">
        <v>518</v>
      </c>
      <c r="C260" s="470"/>
      <c r="D260" s="506" t="s">
        <v>519</v>
      </c>
      <c r="E260" s="470"/>
      <c r="F260" s="470"/>
      <c r="G260" s="506">
        <v>2750</v>
      </c>
      <c r="H260" s="470">
        <f t="shared" si="8"/>
        <v>2200</v>
      </c>
      <c r="I260" s="506">
        <v>550</v>
      </c>
    </row>
    <row r="261" spans="1:9" ht="15">
      <c r="A261" s="470"/>
      <c r="B261" s="506" t="s">
        <v>896</v>
      </c>
      <c r="C261" s="470"/>
      <c r="D261" s="506" t="s">
        <v>897</v>
      </c>
      <c r="E261" s="470"/>
      <c r="F261" s="470"/>
      <c r="G261" s="506">
        <v>2500</v>
      </c>
      <c r="H261" s="470">
        <f t="shared" si="8"/>
        <v>2000</v>
      </c>
      <c r="I261" s="506">
        <v>500</v>
      </c>
    </row>
    <row r="262" spans="1:9" ht="15">
      <c r="A262" s="470"/>
      <c r="B262" s="506" t="s">
        <v>525</v>
      </c>
      <c r="C262" s="470"/>
      <c r="D262" s="506" t="s">
        <v>526</v>
      </c>
      <c r="E262" s="470"/>
      <c r="F262" s="470"/>
      <c r="G262" s="506">
        <v>3750</v>
      </c>
      <c r="H262" s="470">
        <f t="shared" si="8"/>
        <v>3000</v>
      </c>
      <c r="I262" s="506">
        <v>750</v>
      </c>
    </row>
    <row r="263" spans="1:9" ht="15">
      <c r="A263" s="470"/>
      <c r="B263" s="506" t="s">
        <v>900</v>
      </c>
      <c r="C263" s="470"/>
      <c r="D263" s="506" t="s">
        <v>901</v>
      </c>
      <c r="E263" s="470"/>
      <c r="F263" s="470"/>
      <c r="G263" s="506">
        <v>1625</v>
      </c>
      <c r="H263" s="470">
        <f t="shared" si="8"/>
        <v>1300</v>
      </c>
      <c r="I263" s="506">
        <v>325</v>
      </c>
    </row>
    <row r="264" spans="1:9" ht="15">
      <c r="A264" s="470"/>
      <c r="B264" s="506" t="s">
        <v>902</v>
      </c>
      <c r="C264" s="470"/>
      <c r="D264" s="506" t="s">
        <v>903</v>
      </c>
      <c r="E264" s="470"/>
      <c r="F264" s="470"/>
      <c r="G264" s="506">
        <v>2500</v>
      </c>
      <c r="H264" s="470">
        <f t="shared" si="8"/>
        <v>2000</v>
      </c>
      <c r="I264" s="506">
        <v>500</v>
      </c>
    </row>
    <row r="265" spans="1:9" ht="15">
      <c r="A265" s="470"/>
      <c r="B265" s="506" t="s">
        <v>1028</v>
      </c>
      <c r="C265" s="470"/>
      <c r="D265" s="506" t="s">
        <v>1031</v>
      </c>
      <c r="E265" s="470"/>
      <c r="F265" s="470"/>
      <c r="G265" s="506">
        <v>1625</v>
      </c>
      <c r="H265" s="470">
        <f t="shared" si="8"/>
        <v>1300</v>
      </c>
      <c r="I265" s="506">
        <v>325</v>
      </c>
    </row>
    <row r="266" spans="1:9" ht="15">
      <c r="A266" s="470"/>
      <c r="B266" s="506" t="s">
        <v>528</v>
      </c>
      <c r="C266" s="470"/>
      <c r="D266" s="506" t="s">
        <v>529</v>
      </c>
      <c r="E266" s="470"/>
      <c r="F266" s="470"/>
      <c r="G266" s="506">
        <v>2250</v>
      </c>
      <c r="H266" s="470">
        <f t="shared" si="8"/>
        <v>1800</v>
      </c>
      <c r="I266" s="506">
        <v>450</v>
      </c>
    </row>
    <row r="267" spans="1:9" ht="15">
      <c r="A267" s="470"/>
      <c r="B267" s="506" t="s">
        <v>927</v>
      </c>
      <c r="C267" s="470"/>
      <c r="D267" s="506" t="s">
        <v>928</v>
      </c>
      <c r="E267" s="470"/>
      <c r="F267" s="470"/>
      <c r="G267" s="506">
        <v>2750</v>
      </c>
      <c r="H267" s="470">
        <f t="shared" si="8"/>
        <v>2200</v>
      </c>
      <c r="I267" s="506">
        <v>550</v>
      </c>
    </row>
    <row r="268" spans="1:9" ht="15">
      <c r="A268" s="470"/>
      <c r="B268" s="506" t="s">
        <v>922</v>
      </c>
      <c r="C268" s="470"/>
      <c r="D268" s="506" t="s">
        <v>522</v>
      </c>
      <c r="E268" s="470"/>
      <c r="F268" s="470"/>
      <c r="G268" s="506">
        <v>2500</v>
      </c>
      <c r="H268" s="470">
        <f t="shared" si="8"/>
        <v>2000</v>
      </c>
      <c r="I268" s="506">
        <v>500</v>
      </c>
    </row>
    <row r="269" spans="1:9" ht="15">
      <c r="A269" s="470"/>
      <c r="B269" s="506" t="s">
        <v>534</v>
      </c>
      <c r="C269" s="470"/>
      <c r="D269" s="506" t="s">
        <v>535</v>
      </c>
      <c r="E269" s="470"/>
      <c r="F269" s="470"/>
      <c r="G269" s="506">
        <v>1875</v>
      </c>
      <c r="H269" s="470">
        <f t="shared" si="8"/>
        <v>1500</v>
      </c>
      <c r="I269" s="506">
        <v>375</v>
      </c>
    </row>
    <row r="270" spans="1:9" ht="15">
      <c r="A270" s="470"/>
      <c r="B270" s="506" t="s">
        <v>534</v>
      </c>
      <c r="C270" s="470"/>
      <c r="D270" s="506" t="s">
        <v>535</v>
      </c>
      <c r="E270" s="470"/>
      <c r="F270" s="470"/>
      <c r="G270" s="506">
        <v>2500</v>
      </c>
      <c r="H270" s="470">
        <f t="shared" si="8"/>
        <v>2000</v>
      </c>
      <c r="I270" s="506">
        <v>500</v>
      </c>
    </row>
    <row r="271" spans="1:9" ht="15">
      <c r="A271" s="470"/>
      <c r="B271" s="506" t="s">
        <v>906</v>
      </c>
      <c r="C271" s="470"/>
      <c r="D271" s="506" t="s">
        <v>907</v>
      </c>
      <c r="E271" s="470"/>
      <c r="F271" s="470"/>
      <c r="G271" s="506">
        <v>2500</v>
      </c>
      <c r="H271" s="470">
        <f t="shared" si="8"/>
        <v>2000</v>
      </c>
      <c r="I271" s="506">
        <v>500</v>
      </c>
    </row>
    <row r="272" spans="1:9" ht="15">
      <c r="A272" s="470"/>
      <c r="B272" s="506" t="s">
        <v>908</v>
      </c>
      <c r="C272" s="470"/>
      <c r="D272" s="506" t="s">
        <v>909</v>
      </c>
      <c r="E272" s="470"/>
      <c r="F272" s="470"/>
      <c r="G272" s="506">
        <v>3750</v>
      </c>
      <c r="H272" s="470">
        <f t="shared" si="8"/>
        <v>3000</v>
      </c>
      <c r="I272" s="506">
        <v>750</v>
      </c>
    </row>
    <row r="273" spans="1:9" ht="15">
      <c r="A273" s="470"/>
      <c r="B273" s="506" t="s">
        <v>908</v>
      </c>
      <c r="C273" s="470"/>
      <c r="D273" s="506" t="s">
        <v>909</v>
      </c>
      <c r="E273" s="470"/>
      <c r="F273" s="470"/>
      <c r="G273" s="506">
        <v>1250</v>
      </c>
      <c r="H273" s="470">
        <f t="shared" si="8"/>
        <v>1000</v>
      </c>
      <c r="I273" s="506">
        <v>250</v>
      </c>
    </row>
    <row r="274" spans="1:9" ht="15">
      <c r="A274" s="470"/>
      <c r="B274" s="506" t="s">
        <v>908</v>
      </c>
      <c r="C274" s="470"/>
      <c r="D274" s="506" t="s">
        <v>909</v>
      </c>
      <c r="E274" s="470"/>
      <c r="F274" s="470"/>
      <c r="G274" s="506">
        <v>1875</v>
      </c>
      <c r="H274" s="470">
        <f t="shared" si="8"/>
        <v>1500</v>
      </c>
      <c r="I274" s="506">
        <v>375</v>
      </c>
    </row>
    <row r="275" spans="1:9" ht="15">
      <c r="A275" s="470"/>
      <c r="B275" s="506" t="s">
        <v>908</v>
      </c>
      <c r="C275" s="470"/>
      <c r="D275" s="506" t="s">
        <v>909</v>
      </c>
      <c r="E275" s="470"/>
      <c r="F275" s="470"/>
      <c r="G275" s="506">
        <v>1875</v>
      </c>
      <c r="H275" s="470">
        <f t="shared" ref="H275:H280" si="10">G275*0.8</f>
        <v>1500</v>
      </c>
      <c r="I275" s="506">
        <v>375</v>
      </c>
    </row>
    <row r="276" spans="1:9" ht="15">
      <c r="A276" s="470"/>
      <c r="B276" s="506" t="s">
        <v>910</v>
      </c>
      <c r="C276" s="470"/>
      <c r="D276" s="506" t="s">
        <v>911</v>
      </c>
      <c r="E276" s="470"/>
      <c r="F276" s="470"/>
      <c r="G276" s="506">
        <v>2500</v>
      </c>
      <c r="H276" s="470">
        <f t="shared" si="10"/>
        <v>2000</v>
      </c>
      <c r="I276" s="506">
        <v>500</v>
      </c>
    </row>
    <row r="277" spans="1:9" ht="15">
      <c r="A277" s="470"/>
      <c r="B277" s="506" t="s">
        <v>541</v>
      </c>
      <c r="C277" s="470"/>
      <c r="D277" s="506" t="s">
        <v>542</v>
      </c>
      <c r="E277" s="470"/>
      <c r="F277" s="470"/>
      <c r="G277" s="506">
        <v>2500</v>
      </c>
      <c r="H277" s="470">
        <f t="shared" si="10"/>
        <v>2000</v>
      </c>
      <c r="I277" s="506">
        <v>500</v>
      </c>
    </row>
    <row r="278" spans="1:9" ht="15">
      <c r="A278" s="470"/>
      <c r="B278" s="506" t="s">
        <v>541</v>
      </c>
      <c r="C278" s="470"/>
      <c r="D278" s="506" t="s">
        <v>542</v>
      </c>
      <c r="E278" s="470"/>
      <c r="F278" s="470"/>
      <c r="G278" s="506">
        <v>1625</v>
      </c>
      <c r="H278" s="470">
        <f t="shared" si="10"/>
        <v>1300</v>
      </c>
      <c r="I278" s="506">
        <v>325</v>
      </c>
    </row>
    <row r="279" spans="1:9" ht="15">
      <c r="A279" s="470"/>
      <c r="B279" s="506" t="s">
        <v>541</v>
      </c>
      <c r="C279" s="470"/>
      <c r="D279" s="506" t="s">
        <v>542</v>
      </c>
      <c r="E279" s="470"/>
      <c r="F279" s="470"/>
      <c r="G279" s="506">
        <v>2500</v>
      </c>
      <c r="H279" s="470">
        <f t="shared" si="10"/>
        <v>2000</v>
      </c>
      <c r="I279" s="506">
        <v>500</v>
      </c>
    </row>
    <row r="280" spans="1:9" ht="15">
      <c r="A280" s="470"/>
      <c r="B280" s="506" t="s">
        <v>541</v>
      </c>
      <c r="C280" s="470"/>
      <c r="D280" s="506" t="s">
        <v>542</v>
      </c>
      <c r="E280" s="470"/>
      <c r="F280" s="470"/>
      <c r="G280" s="506">
        <v>2500</v>
      </c>
      <c r="H280" s="470">
        <f t="shared" si="10"/>
        <v>2000</v>
      </c>
      <c r="I280" s="506">
        <v>500</v>
      </c>
    </row>
    <row r="281" spans="1:9" ht="15">
      <c r="A281" s="470"/>
      <c r="B281" s="471"/>
      <c r="C281" s="470"/>
      <c r="D281" s="471"/>
      <c r="E281" s="470"/>
      <c r="F281" s="470"/>
      <c r="G281" s="472"/>
      <c r="H281" s="470"/>
      <c r="I281" s="470"/>
    </row>
    <row r="282" spans="1:9" ht="15">
      <c r="A282" s="14"/>
      <c r="B282" s="473"/>
      <c r="C282" s="473"/>
      <c r="D282" s="473"/>
      <c r="E282" s="473"/>
      <c r="F282" s="14" t="s">
        <v>455</v>
      </c>
      <c r="G282" s="507">
        <f>SUM(G9:G280)</f>
        <v>529500</v>
      </c>
      <c r="H282" s="474">
        <f>SUM(H9:H280)</f>
        <v>423600</v>
      </c>
      <c r="I282" s="474">
        <f>SUM(I9:I280)</f>
        <v>105900</v>
      </c>
    </row>
    <row r="283" spans="1:9" ht="15">
      <c r="A283" s="235"/>
      <c r="B283" s="235"/>
      <c r="C283" s="235"/>
      <c r="D283" s="235"/>
      <c r="E283" s="235"/>
      <c r="F283" s="235"/>
      <c r="G283" s="235"/>
      <c r="H283" s="190"/>
      <c r="I283" s="190"/>
    </row>
    <row r="284" spans="1:9" ht="15">
      <c r="A284" s="236" t="s">
        <v>444</v>
      </c>
      <c r="B284" s="236"/>
      <c r="C284" s="235"/>
      <c r="D284" s="235"/>
      <c r="E284" s="235"/>
      <c r="F284" s="235"/>
      <c r="G284" s="235"/>
      <c r="H284" s="190"/>
      <c r="I284" s="190"/>
    </row>
    <row r="285" spans="1:9" ht="15">
      <c r="A285" s="236"/>
      <c r="B285" s="236"/>
      <c r="C285" s="235"/>
      <c r="D285" s="235"/>
      <c r="E285" s="235"/>
      <c r="F285" s="235"/>
      <c r="G285" s="235"/>
      <c r="H285" s="190"/>
      <c r="I285" s="190"/>
    </row>
    <row r="286" spans="1:9" ht="15">
      <c r="A286" s="236"/>
      <c r="B286" s="236"/>
      <c r="C286" s="190"/>
      <c r="D286" s="190"/>
      <c r="E286" s="190"/>
      <c r="F286" s="190"/>
      <c r="G286" s="190"/>
      <c r="H286" s="190"/>
      <c r="I286" s="190"/>
    </row>
    <row r="287" spans="1:9" ht="15">
      <c r="A287" s="236"/>
      <c r="B287" s="236"/>
      <c r="C287" s="190"/>
      <c r="D287" s="190"/>
      <c r="E287" s="190"/>
      <c r="F287" s="190"/>
      <c r="G287" s="190"/>
      <c r="H287" s="190"/>
      <c r="I287" s="190"/>
    </row>
    <row r="288" spans="1:9">
      <c r="A288" s="233"/>
      <c r="B288" s="233"/>
      <c r="C288" s="233"/>
      <c r="D288" s="233"/>
      <c r="E288" s="233"/>
      <c r="F288" s="233"/>
      <c r="G288" s="233"/>
      <c r="H288" s="233"/>
      <c r="I288" s="233"/>
    </row>
    <row r="289" spans="1:9" ht="15">
      <c r="A289" s="196" t="s">
        <v>106</v>
      </c>
      <c r="B289" s="196"/>
      <c r="C289" s="190"/>
      <c r="D289" s="190"/>
      <c r="E289" s="190"/>
      <c r="F289" s="190"/>
      <c r="G289" s="190"/>
      <c r="H289" s="190"/>
      <c r="I289" s="190"/>
    </row>
    <row r="290" spans="1:9" ht="15">
      <c r="A290" s="190"/>
      <c r="B290" s="190"/>
      <c r="C290" s="190"/>
      <c r="D290" s="190"/>
      <c r="E290" s="190"/>
      <c r="F290" s="190"/>
      <c r="G290" s="190"/>
      <c r="H290" s="190"/>
      <c r="I290" s="190"/>
    </row>
    <row r="291" spans="1:9" ht="15">
      <c r="A291" s="190"/>
      <c r="B291" s="190"/>
      <c r="C291" s="190"/>
      <c r="D291" s="190"/>
      <c r="E291" s="194"/>
      <c r="F291" s="194"/>
      <c r="G291" s="194"/>
      <c r="H291" s="190"/>
      <c r="I291" s="190"/>
    </row>
    <row r="292" spans="1:9" ht="15">
      <c r="A292" s="196"/>
      <c r="B292" s="196"/>
      <c r="C292" s="196" t="s">
        <v>394</v>
      </c>
      <c r="D292" s="196"/>
      <c r="E292" s="196"/>
      <c r="F292" s="196"/>
      <c r="G292" s="196"/>
      <c r="H292" s="190"/>
      <c r="I292" s="190"/>
    </row>
    <row r="293" spans="1:9" ht="15">
      <c r="A293" s="190"/>
      <c r="B293" s="190"/>
      <c r="C293" s="190" t="s">
        <v>393</v>
      </c>
      <c r="D293" s="190"/>
      <c r="E293" s="190"/>
      <c r="F293" s="190"/>
      <c r="G293" s="190"/>
      <c r="H293" s="190"/>
      <c r="I293" s="190"/>
    </row>
    <row r="294" spans="1:9">
      <c r="A294" s="198"/>
      <c r="B294" s="198"/>
      <c r="C294" s="198" t="s">
        <v>138</v>
      </c>
      <c r="D294" s="198"/>
      <c r="E294" s="198"/>
      <c r="F294" s="198"/>
      <c r="G294" s="198"/>
    </row>
  </sheetData>
  <mergeCells count="2">
    <mergeCell ref="I1:J1"/>
    <mergeCell ref="I2:J2"/>
  </mergeCells>
  <printOptions gridLines="1"/>
  <pageMargins left="0.25" right="0.25" top="0.51" bottom="0.31" header="0.3" footer="0.19"/>
  <pageSetup scale="84" fitToHeight="0" orientation="landscape" r:id="rId1"/>
  <rowBreaks count="2" manualBreakCount="2">
    <brk id="178" max="8" man="1"/>
    <brk id="217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D26" sqref="D26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18" t="s">
        <v>108</v>
      </c>
      <c r="H1" s="518"/>
      <c r="I1" s="375"/>
    </row>
    <row r="2" spans="1:9" ht="15">
      <c r="A2" s="78" t="s">
        <v>139</v>
      </c>
      <c r="B2" s="79"/>
      <c r="C2" s="79"/>
      <c r="D2" s="79"/>
      <c r="E2" s="79"/>
      <c r="F2" s="79"/>
      <c r="G2" s="516" t="s">
        <v>515</v>
      </c>
      <c r="H2" s="516"/>
      <c r="I2" s="78"/>
    </row>
    <row r="3" spans="1:9" ht="15">
      <c r="A3" s="78"/>
      <c r="B3" s="78"/>
      <c r="C3" s="78"/>
      <c r="D3" s="78"/>
      <c r="E3" s="78"/>
      <c r="F3" s="78"/>
      <c r="G3" s="168"/>
      <c r="H3" s="168"/>
      <c r="I3" s="375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375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7"/>
      <c r="B7" s="167"/>
      <c r="C7" s="280"/>
      <c r="D7" s="167"/>
      <c r="E7" s="167"/>
      <c r="F7" s="167"/>
      <c r="G7" s="80"/>
      <c r="H7" s="80"/>
      <c r="I7" s="78"/>
    </row>
    <row r="8" spans="1:9" ht="45">
      <c r="A8" s="371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2"/>
      <c r="B9" s="100" t="s">
        <v>646</v>
      </c>
      <c r="C9" s="100" t="s">
        <v>950</v>
      </c>
      <c r="D9" s="475" t="s">
        <v>539</v>
      </c>
      <c r="E9" s="100"/>
      <c r="F9" s="100" t="s">
        <v>951</v>
      </c>
      <c r="G9" s="15">
        <v>8</v>
      </c>
      <c r="H9" s="476">
        <v>3447.9</v>
      </c>
      <c r="I9" s="476">
        <v>3447.9</v>
      </c>
    </row>
    <row r="10" spans="1:9" ht="15">
      <c r="A10" s="372"/>
      <c r="B10" s="100" t="s">
        <v>646</v>
      </c>
      <c r="C10" s="100" t="s">
        <v>950</v>
      </c>
      <c r="D10" s="475" t="s">
        <v>539</v>
      </c>
      <c r="E10" s="100"/>
      <c r="F10" s="100" t="s">
        <v>952</v>
      </c>
      <c r="G10" s="15">
        <v>4</v>
      </c>
      <c r="H10" s="476">
        <v>6828</v>
      </c>
      <c r="I10" s="476">
        <v>6828</v>
      </c>
    </row>
    <row r="11" spans="1:9" ht="15">
      <c r="A11" s="372"/>
      <c r="B11" s="100" t="s">
        <v>953</v>
      </c>
      <c r="C11" s="100" t="s">
        <v>954</v>
      </c>
      <c r="D11" s="475" t="s">
        <v>955</v>
      </c>
      <c r="E11" s="100"/>
      <c r="F11" s="100" t="s">
        <v>952</v>
      </c>
      <c r="G11" s="15">
        <v>4</v>
      </c>
      <c r="H11" s="476">
        <v>6828</v>
      </c>
      <c r="I11" s="476">
        <v>6828</v>
      </c>
    </row>
    <row r="12" spans="1:9" ht="15">
      <c r="A12" s="372"/>
      <c r="B12" s="89" t="s">
        <v>747</v>
      </c>
      <c r="C12" s="89" t="s">
        <v>956</v>
      </c>
      <c r="D12" s="477" t="s">
        <v>957</v>
      </c>
      <c r="E12" s="89"/>
      <c r="F12" s="89" t="s">
        <v>958</v>
      </c>
      <c r="G12" s="14">
        <v>2</v>
      </c>
      <c r="H12" s="4">
        <v>150</v>
      </c>
      <c r="I12" s="4"/>
    </row>
    <row r="13" spans="1:9" ht="15">
      <c r="A13" s="372"/>
      <c r="B13" s="89" t="s">
        <v>959</v>
      </c>
      <c r="C13" s="89" t="s">
        <v>960</v>
      </c>
      <c r="D13" s="477" t="s">
        <v>961</v>
      </c>
      <c r="E13" s="89"/>
      <c r="F13" s="89" t="s">
        <v>958</v>
      </c>
      <c r="G13" s="14">
        <v>2</v>
      </c>
      <c r="H13" s="4">
        <v>150</v>
      </c>
      <c r="I13" s="4"/>
    </row>
    <row r="14" spans="1:9" ht="15">
      <c r="A14" s="372"/>
      <c r="B14" s="89" t="s">
        <v>962</v>
      </c>
      <c r="C14" s="89" t="s">
        <v>963</v>
      </c>
      <c r="D14" s="89">
        <v>40001005904</v>
      </c>
      <c r="E14" s="89"/>
      <c r="F14" s="89" t="s">
        <v>958</v>
      </c>
      <c r="G14" s="89">
        <v>2</v>
      </c>
      <c r="H14" s="4">
        <v>150</v>
      </c>
      <c r="I14" s="4"/>
    </row>
    <row r="15" spans="1:9" ht="15">
      <c r="A15" s="372"/>
      <c r="B15" s="89" t="s">
        <v>964</v>
      </c>
      <c r="C15" s="89" t="s">
        <v>965</v>
      </c>
      <c r="D15" s="89">
        <v>62001000351</v>
      </c>
      <c r="E15" s="89"/>
      <c r="F15" s="89" t="s">
        <v>958</v>
      </c>
      <c r="G15" s="89">
        <v>2</v>
      </c>
      <c r="H15" s="4">
        <v>150</v>
      </c>
      <c r="I15" s="4"/>
    </row>
    <row r="16" spans="1:9" ht="15">
      <c r="A16" s="372"/>
      <c r="B16" s="100" t="s">
        <v>646</v>
      </c>
      <c r="C16" s="100" t="s">
        <v>950</v>
      </c>
      <c r="D16" s="475" t="s">
        <v>539</v>
      </c>
      <c r="E16" s="100"/>
      <c r="F16" s="100" t="s">
        <v>952</v>
      </c>
      <c r="G16" s="15">
        <v>2</v>
      </c>
      <c r="H16" s="476">
        <v>3080</v>
      </c>
      <c r="I16" s="476">
        <v>3080</v>
      </c>
    </row>
    <row r="17" spans="1:9" ht="15">
      <c r="A17" s="372"/>
      <c r="B17" s="100" t="s">
        <v>953</v>
      </c>
      <c r="C17" s="100" t="s">
        <v>954</v>
      </c>
      <c r="D17" s="475" t="s">
        <v>955</v>
      </c>
      <c r="E17" s="100"/>
      <c r="F17" s="100" t="s">
        <v>952</v>
      </c>
      <c r="G17" s="15">
        <v>2</v>
      </c>
      <c r="H17" s="476">
        <v>3080</v>
      </c>
      <c r="I17" s="476">
        <v>3080</v>
      </c>
    </row>
    <row r="18" spans="1:9" ht="15">
      <c r="A18" s="372"/>
      <c r="B18" s="89" t="s">
        <v>747</v>
      </c>
      <c r="C18" s="89" t="s">
        <v>956</v>
      </c>
      <c r="D18" s="477" t="s">
        <v>957</v>
      </c>
      <c r="E18" s="89"/>
      <c r="F18" s="89" t="s">
        <v>958</v>
      </c>
      <c r="G18" s="14">
        <v>2</v>
      </c>
      <c r="H18" s="478"/>
      <c r="I18" s="4">
        <v>150</v>
      </c>
    </row>
    <row r="19" spans="1:9" ht="15">
      <c r="A19" s="372"/>
      <c r="B19" s="89" t="s">
        <v>959</v>
      </c>
      <c r="C19" s="89" t="s">
        <v>960</v>
      </c>
      <c r="D19" s="477" t="s">
        <v>961</v>
      </c>
      <c r="E19" s="89"/>
      <c r="F19" s="89" t="s">
        <v>958</v>
      </c>
      <c r="G19" s="14">
        <v>2</v>
      </c>
      <c r="H19" s="478"/>
      <c r="I19" s="4">
        <v>150</v>
      </c>
    </row>
    <row r="20" spans="1:9" ht="15">
      <c r="A20" s="372"/>
      <c r="B20" s="89" t="s">
        <v>962</v>
      </c>
      <c r="C20" s="89" t="s">
        <v>963</v>
      </c>
      <c r="D20" s="89">
        <v>40001005904</v>
      </c>
      <c r="E20" s="89"/>
      <c r="F20" s="89" t="s">
        <v>958</v>
      </c>
      <c r="G20" s="89">
        <v>2</v>
      </c>
      <c r="H20" s="478"/>
      <c r="I20" s="4">
        <v>150</v>
      </c>
    </row>
    <row r="21" spans="1:9" ht="15">
      <c r="A21" s="372"/>
      <c r="B21" s="89" t="s">
        <v>964</v>
      </c>
      <c r="C21" s="89" t="s">
        <v>965</v>
      </c>
      <c r="D21" s="89">
        <v>62001000351</v>
      </c>
      <c r="E21" s="89"/>
      <c r="F21" s="89" t="s">
        <v>958</v>
      </c>
      <c r="G21" s="89">
        <v>2</v>
      </c>
      <c r="H21" s="478"/>
      <c r="I21" s="4">
        <v>150</v>
      </c>
    </row>
    <row r="22" spans="1:9" ht="15">
      <c r="A22" s="372"/>
      <c r="B22" s="89" t="s">
        <v>959</v>
      </c>
      <c r="C22" s="89" t="s">
        <v>960</v>
      </c>
      <c r="D22" s="477" t="s">
        <v>961</v>
      </c>
      <c r="E22" s="89"/>
      <c r="F22" s="89" t="s">
        <v>966</v>
      </c>
      <c r="G22" s="14">
        <v>2</v>
      </c>
      <c r="H22" s="427">
        <v>130</v>
      </c>
      <c r="I22" s="4">
        <v>130</v>
      </c>
    </row>
    <row r="23" spans="1:9" ht="15">
      <c r="A23" s="372"/>
      <c r="B23" s="89" t="s">
        <v>573</v>
      </c>
      <c r="C23" s="89" t="s">
        <v>787</v>
      </c>
      <c r="D23" s="479" t="s">
        <v>529</v>
      </c>
      <c r="E23" s="89"/>
      <c r="F23" s="89" t="s">
        <v>966</v>
      </c>
      <c r="G23" s="89">
        <v>2</v>
      </c>
      <c r="H23" s="4">
        <v>130</v>
      </c>
      <c r="I23" s="4">
        <v>130</v>
      </c>
    </row>
    <row r="24" spans="1:9" ht="15">
      <c r="A24" s="372"/>
      <c r="B24" s="373"/>
      <c r="C24" s="89"/>
      <c r="D24" s="89"/>
      <c r="E24" s="89"/>
      <c r="F24" s="89"/>
      <c r="G24" s="89"/>
      <c r="H24" s="4"/>
      <c r="I24" s="4"/>
    </row>
    <row r="25" spans="1:9" ht="15">
      <c r="A25" s="372"/>
      <c r="B25" s="373"/>
      <c r="C25" s="89"/>
      <c r="D25" s="89"/>
      <c r="E25" s="89"/>
      <c r="F25" s="89"/>
      <c r="G25" s="89"/>
      <c r="H25" s="4"/>
      <c r="I25" s="4"/>
    </row>
    <row r="26" spans="1:9" ht="15">
      <c r="A26" s="372"/>
      <c r="B26" s="373"/>
      <c r="C26" s="89"/>
      <c r="D26" s="89"/>
      <c r="E26" s="89"/>
      <c r="F26" s="89"/>
      <c r="G26" s="89"/>
      <c r="H26" s="4"/>
      <c r="I26" s="4"/>
    </row>
    <row r="27" spans="1:9" ht="15">
      <c r="A27" s="372"/>
      <c r="B27" s="373"/>
      <c r="C27" s="89"/>
      <c r="D27" s="89"/>
      <c r="E27" s="89"/>
      <c r="F27" s="89"/>
      <c r="G27" s="89"/>
      <c r="H27" s="4"/>
      <c r="I27" s="4"/>
    </row>
    <row r="28" spans="1:9" ht="15">
      <c r="A28" s="372"/>
      <c r="B28" s="373"/>
      <c r="C28" s="89"/>
      <c r="D28" s="89"/>
      <c r="E28" s="89"/>
      <c r="F28" s="89"/>
      <c r="G28" s="89"/>
      <c r="H28" s="4"/>
      <c r="I28" s="4"/>
    </row>
    <row r="29" spans="1:9" ht="15">
      <c r="A29" s="372"/>
      <c r="B29" s="373"/>
      <c r="C29" s="89"/>
      <c r="D29" s="89"/>
      <c r="E29" s="89"/>
      <c r="F29" s="89"/>
      <c r="G29" s="89"/>
      <c r="H29" s="4"/>
      <c r="I29" s="4"/>
    </row>
    <row r="30" spans="1:9" ht="15">
      <c r="A30" s="372"/>
      <c r="B30" s="373"/>
      <c r="C30" s="89"/>
      <c r="D30" s="89"/>
      <c r="E30" s="89"/>
      <c r="F30" s="89"/>
      <c r="G30" s="89"/>
      <c r="H30" s="4"/>
      <c r="I30" s="4"/>
    </row>
    <row r="31" spans="1:9" ht="15">
      <c r="A31" s="372"/>
      <c r="B31" s="373"/>
      <c r="C31" s="89"/>
      <c r="D31" s="89"/>
      <c r="E31" s="89"/>
      <c r="F31" s="89"/>
      <c r="G31" s="89"/>
      <c r="H31" s="4"/>
      <c r="I31" s="4"/>
    </row>
    <row r="32" spans="1:9" ht="15">
      <c r="A32" s="372"/>
      <c r="B32" s="373"/>
      <c r="C32" s="89"/>
      <c r="D32" s="89"/>
      <c r="E32" s="89"/>
      <c r="F32" s="89"/>
      <c r="G32" s="89"/>
      <c r="H32" s="4"/>
      <c r="I32" s="4"/>
    </row>
    <row r="33" spans="1:9" ht="15">
      <c r="A33" s="372"/>
      <c r="B33" s="373"/>
      <c r="C33" s="89"/>
      <c r="D33" s="89"/>
      <c r="E33" s="89"/>
      <c r="F33" s="89"/>
      <c r="G33" s="89"/>
      <c r="H33" s="4"/>
      <c r="I33" s="4"/>
    </row>
    <row r="34" spans="1:9" ht="15">
      <c r="A34" s="372"/>
      <c r="B34" s="374"/>
      <c r="C34" s="101"/>
      <c r="D34" s="101"/>
      <c r="E34" s="101"/>
      <c r="F34" s="101"/>
      <c r="G34" s="101" t="s">
        <v>338</v>
      </c>
      <c r="H34" s="88">
        <f>SUM(H9:H33)</f>
        <v>24123.9</v>
      </c>
      <c r="I34" s="88">
        <f>SUM(I9:I33)</f>
        <v>24123.9</v>
      </c>
    </row>
    <row r="35" spans="1:9" ht="15">
      <c r="A35" s="235"/>
      <c r="B35" s="235"/>
      <c r="C35" s="235"/>
      <c r="D35" s="235"/>
      <c r="E35" s="235"/>
      <c r="F35" s="235"/>
      <c r="G35" s="190"/>
      <c r="H35" s="190"/>
      <c r="I35" s="195"/>
    </row>
    <row r="36" spans="1:9" ht="15">
      <c r="A36" s="236" t="s">
        <v>349</v>
      </c>
      <c r="B36" s="235"/>
      <c r="C36" s="235"/>
      <c r="D36" s="235"/>
      <c r="E36" s="235"/>
      <c r="F36" s="235"/>
      <c r="G36" s="190"/>
      <c r="H36" s="190"/>
      <c r="I36" s="195"/>
    </row>
    <row r="37" spans="1:9" ht="15">
      <c r="A37" s="236" t="s">
        <v>352</v>
      </c>
      <c r="B37" s="235"/>
      <c r="C37" s="235"/>
      <c r="D37" s="235"/>
      <c r="E37" s="235"/>
      <c r="F37" s="235"/>
      <c r="G37" s="190"/>
      <c r="H37" s="190"/>
      <c r="I37" s="195"/>
    </row>
    <row r="38" spans="1:9" ht="15">
      <c r="A38" s="236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6"/>
      <c r="B39" s="190"/>
      <c r="C39" s="190"/>
      <c r="D39" s="190"/>
      <c r="E39" s="190"/>
      <c r="G39" s="190"/>
      <c r="H39" s="190"/>
      <c r="I39" s="195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195"/>
    </row>
    <row r="41" spans="1:9" ht="15">
      <c r="A41" s="196" t="s">
        <v>106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270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269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138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18" t="s">
        <v>108</v>
      </c>
      <c r="H1" s="518"/>
    </row>
    <row r="2" spans="1:10" ht="15">
      <c r="A2" s="78" t="s">
        <v>139</v>
      </c>
      <c r="B2" s="76"/>
      <c r="C2" s="79"/>
      <c r="D2" s="79"/>
      <c r="E2" s="79"/>
      <c r="F2" s="79"/>
      <c r="G2" s="516" t="s">
        <v>515</v>
      </c>
      <c r="H2" s="516"/>
    </row>
    <row r="3" spans="1:10" ht="15">
      <c r="A3" s="78"/>
      <c r="B3" s="78"/>
      <c r="C3" s="78"/>
      <c r="D3" s="78"/>
      <c r="E3" s="78"/>
      <c r="F3" s="78"/>
      <c r="G3" s="226"/>
      <c r="H3" s="226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5"/>
      <c r="B7" s="225"/>
      <c r="C7" s="225"/>
      <c r="D7" s="228"/>
      <c r="E7" s="225"/>
      <c r="F7" s="225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7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7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0"/>
      <c r="I35" s="190"/>
    </row>
    <row r="36" spans="1:9" ht="15">
      <c r="A36" s="236" t="s">
        <v>400</v>
      </c>
      <c r="B36" s="236"/>
      <c r="C36" s="235"/>
      <c r="D36" s="235"/>
      <c r="E36" s="235"/>
      <c r="F36" s="235"/>
      <c r="G36" s="235"/>
      <c r="H36" s="190"/>
      <c r="I36" s="190"/>
    </row>
    <row r="37" spans="1:9" ht="15">
      <c r="A37" s="236" t="s">
        <v>345</v>
      </c>
      <c r="B37" s="236"/>
      <c r="C37" s="235"/>
      <c r="D37" s="235"/>
      <c r="E37" s="235"/>
      <c r="F37" s="235"/>
      <c r="G37" s="235"/>
      <c r="H37" s="190"/>
      <c r="I37" s="190"/>
    </row>
    <row r="38" spans="1:9" ht="15">
      <c r="A38" s="236"/>
      <c r="B38" s="236"/>
      <c r="C38" s="190"/>
      <c r="D38" s="190"/>
      <c r="E38" s="190"/>
      <c r="F38" s="190"/>
      <c r="G38" s="190"/>
      <c r="H38" s="190"/>
      <c r="I38" s="190"/>
    </row>
    <row r="39" spans="1:9" ht="15">
      <c r="A39" s="236"/>
      <c r="B39" s="236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5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3" t="s">
        <v>511</v>
      </c>
      <c r="B2" s="523"/>
      <c r="C2" s="523"/>
      <c r="D2" s="523"/>
      <c r="E2" s="379"/>
      <c r="F2" s="79"/>
      <c r="G2" s="79"/>
      <c r="H2" s="79"/>
      <c r="I2" s="79"/>
      <c r="J2" s="380"/>
      <c r="K2" s="381"/>
      <c r="L2" s="381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80"/>
      <c r="K3" s="516" t="s">
        <v>515</v>
      </c>
      <c r="L3" s="51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80"/>
      <c r="K4" s="380"/>
      <c r="L4" s="380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77"/>
      <c r="B8" s="377"/>
      <c r="C8" s="377"/>
      <c r="D8" s="377"/>
      <c r="E8" s="377"/>
      <c r="F8" s="377"/>
      <c r="G8" s="377"/>
      <c r="H8" s="377"/>
      <c r="I8" s="377"/>
      <c r="J8" s="80"/>
      <c r="K8" s="80"/>
      <c r="L8" s="80"/>
    </row>
    <row r="9" spans="1:12" ht="45">
      <c r="A9" s="92" t="s">
        <v>63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64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64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64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64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64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64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64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64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64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64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64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64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64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64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64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64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64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64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64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64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64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64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64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64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64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64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0"/>
    </row>
    <row r="37" spans="1:12" ht="15">
      <c r="A37" s="236" t="s">
        <v>493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0"/>
    </row>
    <row r="38" spans="1:12" ht="15">
      <c r="A38" s="236" t="s">
        <v>494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0"/>
    </row>
    <row r="39" spans="1:12" ht="15">
      <c r="A39" s="222" t="s">
        <v>495</v>
      </c>
      <c r="B39" s="236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512</v>
      </c>
      <c r="B40" s="236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528" t="s">
        <v>513</v>
      </c>
      <c r="B41" s="528"/>
      <c r="C41" s="528"/>
      <c r="D41" s="528"/>
      <c r="E41" s="528"/>
      <c r="F41" s="528"/>
      <c r="G41" s="528"/>
      <c r="H41" s="528"/>
      <c r="I41" s="528"/>
      <c r="J41" s="528"/>
      <c r="K41" s="528"/>
    </row>
    <row r="42" spans="1:12" ht="15.75" customHeight="1">
      <c r="A42" s="528"/>
      <c r="B42" s="528"/>
      <c r="C42" s="528"/>
      <c r="D42" s="528"/>
      <c r="E42" s="528"/>
      <c r="F42" s="528"/>
      <c r="G42" s="528"/>
      <c r="H42" s="528"/>
      <c r="I42" s="528"/>
      <c r="J42" s="528"/>
      <c r="K42" s="528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>
      <c r="A44" s="524" t="s">
        <v>106</v>
      </c>
      <c r="B44" s="524"/>
      <c r="C44" s="365"/>
      <c r="D44" s="366"/>
      <c r="E44" s="366"/>
      <c r="F44" s="365"/>
      <c r="G44" s="365"/>
      <c r="H44" s="365"/>
      <c r="I44" s="365"/>
      <c r="J44" s="365"/>
      <c r="K44" s="190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90"/>
    </row>
    <row r="46" spans="1:12" ht="15" customHeight="1">
      <c r="A46" s="365"/>
      <c r="B46" s="366"/>
      <c r="C46" s="525" t="s">
        <v>267</v>
      </c>
      <c r="D46" s="525"/>
      <c r="E46" s="378"/>
      <c r="F46" s="368"/>
      <c r="G46" s="526" t="s">
        <v>497</v>
      </c>
      <c r="H46" s="526"/>
      <c r="I46" s="526"/>
      <c r="J46" s="369"/>
      <c r="K46" s="190"/>
    </row>
    <row r="47" spans="1:12" ht="15">
      <c r="A47" s="365"/>
      <c r="B47" s="366"/>
      <c r="C47" s="365"/>
      <c r="D47" s="366"/>
      <c r="E47" s="366"/>
      <c r="F47" s="365"/>
      <c r="G47" s="527"/>
      <c r="H47" s="527"/>
      <c r="I47" s="527"/>
      <c r="J47" s="369"/>
      <c r="K47" s="190"/>
    </row>
    <row r="48" spans="1:12" ht="15">
      <c r="A48" s="365"/>
      <c r="B48" s="366"/>
      <c r="C48" s="522" t="s">
        <v>138</v>
      </c>
      <c r="D48" s="522"/>
      <c r="E48" s="378"/>
      <c r="F48" s="368"/>
      <c r="G48" s="365"/>
      <c r="H48" s="365"/>
      <c r="I48" s="365"/>
      <c r="J48" s="365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2017-01-30T11:56:32Z</cp:lastPrinted>
  <dcterms:created xsi:type="dcterms:W3CDTF">2011-12-27T13:20:18Z</dcterms:created>
  <dcterms:modified xsi:type="dcterms:W3CDTF">2017-02-03T11:23:19Z</dcterms:modified>
</cp:coreProperties>
</file>