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022 REACT\05\00B Entwurf\Daten für Programmierer zum Testen\20250204_Haus_der_Jugend\Haus der Jugend\"/>
    </mc:Choice>
  </mc:AlternateContent>
  <xr:revisionPtr revIDLastSave="0" documentId="13_ncr:1_{0AB786C8-BB6F-46F5-A85B-4F4F46B36CC9}" xr6:coauthVersionLast="47" xr6:coauthVersionMax="47" xr10:uidLastSave="{00000000-0000-0000-0000-000000000000}"/>
  <bookViews>
    <workbookView xWindow="-12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Gesamtauswertung!$L$11:$L$45</definedName>
    <definedName name="_xlchart.v1.1" hidden="1">Gesamtauswertung!$U$10</definedName>
    <definedName name="_xlchart.v1.2" hidden="1">Gesamtauswertung!$U$11:$U$45</definedName>
    <definedName name="ExterneDaten_1" localSheetId="19">DateienEinlese!$D$13</definedName>
    <definedName name="ExterneDaten_1" localSheetId="7" hidden="1">'Fensterberechnungen '!$A$12:$C$13</definedName>
    <definedName name="ExterneDaten_1" localSheetId="0" hidden="1">Gesamtauswertung!$L$10:$T$45</definedName>
    <definedName name="ExterneDaten_1" localSheetId="4" hidden="1">'Materialien ex Beton und Fenste'!$A$1:$E$33</definedName>
    <definedName name="ExterneDaten_2" localSheetId="5" hidden="1">'Beton-Vergleich'!$A$1:$E$3</definedName>
    <definedName name="ExterneDaten_2" localSheetId="2" hidden="1">'R.O.S.E'!$B$13:$C$15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5" l="1"/>
  <c r="D13" i="15"/>
  <c r="F13" i="15"/>
  <c r="G13" i="15" s="1"/>
  <c r="I13" i="15"/>
  <c r="E4" i="18"/>
  <c r="F2" i="18"/>
  <c r="F3" i="18"/>
  <c r="G2" i="18"/>
  <c r="I2" i="18" s="1"/>
  <c r="G3" i="18"/>
  <c r="H2" i="18"/>
  <c r="H3" i="18"/>
  <c r="J2" i="18"/>
  <c r="J3" i="18"/>
  <c r="K2" i="18"/>
  <c r="K3" i="18"/>
  <c r="L2" i="18"/>
  <c r="L3" i="18"/>
  <c r="M2" i="18"/>
  <c r="M3" i="18"/>
  <c r="N2" i="18"/>
  <c r="N3" i="18"/>
  <c r="E34" i="10"/>
  <c r="F11" i="10"/>
  <c r="F12" i="10"/>
  <c r="F17" i="10"/>
  <c r="F26" i="10"/>
  <c r="F20" i="10"/>
  <c r="F13" i="10"/>
  <c r="F28" i="10"/>
  <c r="F10" i="10"/>
  <c r="F8" i="10"/>
  <c r="F9" i="10"/>
  <c r="F29" i="10"/>
  <c r="F6" i="10"/>
  <c r="F2" i="10"/>
  <c r="F3" i="10"/>
  <c r="F4" i="10"/>
  <c r="F24" i="10"/>
  <c r="F27" i="10"/>
  <c r="F22" i="10"/>
  <c r="F14" i="10"/>
  <c r="F19" i="10"/>
  <c r="F31" i="10"/>
  <c r="F16" i="10"/>
  <c r="F18" i="10"/>
  <c r="F23" i="10"/>
  <c r="F21" i="10"/>
  <c r="F32" i="10"/>
  <c r="F5" i="10"/>
  <c r="F15" i="10"/>
  <c r="F25" i="10"/>
  <c r="F7" i="10"/>
  <c r="F33" i="10"/>
  <c r="F30" i="10"/>
  <c r="G11" i="10"/>
  <c r="G12" i="10"/>
  <c r="G17" i="10"/>
  <c r="G26" i="10"/>
  <c r="G20" i="10"/>
  <c r="I20" i="10" s="1"/>
  <c r="G13" i="10"/>
  <c r="G28" i="10"/>
  <c r="G10" i="10"/>
  <c r="I10" i="10" s="1"/>
  <c r="G8" i="10"/>
  <c r="I8" i="10" s="1"/>
  <c r="G9" i="10"/>
  <c r="I9" i="10" s="1"/>
  <c r="G29" i="10"/>
  <c r="I29" i="10" s="1"/>
  <c r="G6" i="10"/>
  <c r="G2" i="10"/>
  <c r="I2" i="10" s="1"/>
  <c r="G3" i="10"/>
  <c r="I3" i="10" s="1"/>
  <c r="G4" i="10"/>
  <c r="G24" i="10"/>
  <c r="I24" i="10" s="1"/>
  <c r="G27" i="10"/>
  <c r="G22" i="10"/>
  <c r="G14" i="10"/>
  <c r="G19" i="10"/>
  <c r="G31" i="10"/>
  <c r="I31" i="10" s="1"/>
  <c r="G16" i="10"/>
  <c r="G18" i="10"/>
  <c r="G23" i="10"/>
  <c r="I23" i="10" s="1"/>
  <c r="G21" i="10"/>
  <c r="I21" i="10" s="1"/>
  <c r="G32" i="10"/>
  <c r="I32" i="10" s="1"/>
  <c r="G5" i="10"/>
  <c r="I5" i="10" s="1"/>
  <c r="G15" i="10"/>
  <c r="I15" i="10" s="1"/>
  <c r="G25" i="10"/>
  <c r="I25" i="10" s="1"/>
  <c r="G7" i="10"/>
  <c r="I7" i="10" s="1"/>
  <c r="G33" i="10"/>
  <c r="G30" i="10"/>
  <c r="I30" i="10" s="1"/>
  <c r="H11" i="10"/>
  <c r="H12" i="10"/>
  <c r="H17" i="10"/>
  <c r="H26" i="10"/>
  <c r="H20" i="10"/>
  <c r="H13" i="10"/>
  <c r="H28" i="10"/>
  <c r="I28" i="10" s="1"/>
  <c r="H10" i="10"/>
  <c r="H8" i="10"/>
  <c r="H9" i="10"/>
  <c r="H29" i="10"/>
  <c r="H6" i="10"/>
  <c r="H2" i="10"/>
  <c r="H3" i="10"/>
  <c r="H4" i="10"/>
  <c r="H24" i="10"/>
  <c r="H27" i="10"/>
  <c r="H22" i="10"/>
  <c r="H14" i="10"/>
  <c r="I14" i="10" s="1"/>
  <c r="H19" i="10"/>
  <c r="H31" i="10"/>
  <c r="H16" i="10"/>
  <c r="H18" i="10"/>
  <c r="H23" i="10"/>
  <c r="H21" i="10"/>
  <c r="H32" i="10"/>
  <c r="H5" i="10"/>
  <c r="H15" i="10"/>
  <c r="H25" i="10"/>
  <c r="H7" i="10"/>
  <c r="H33" i="10"/>
  <c r="H30" i="10"/>
  <c r="I11" i="10"/>
  <c r="I12" i="10"/>
  <c r="I26" i="10"/>
  <c r="I13" i="10"/>
  <c r="I27" i="10"/>
  <c r="I22" i="10"/>
  <c r="I19" i="10"/>
  <c r="I16" i="10"/>
  <c r="I18" i="10"/>
  <c r="M46" i="13"/>
  <c r="N46" i="13"/>
  <c r="O46" i="13"/>
  <c r="P46" i="13"/>
  <c r="Q46" i="13"/>
  <c r="R46" i="13"/>
  <c r="S46" i="13"/>
  <c r="T46" i="13"/>
  <c r="U20" i="13" a="1"/>
  <c r="U20" i="13" s="1"/>
  <c r="W20" i="13" s="1"/>
  <c r="U40" i="13" a="1"/>
  <c r="U40" i="13" s="1"/>
  <c r="W40" i="13" s="1"/>
  <c r="U41" i="13" a="1"/>
  <c r="U41" i="13" s="1"/>
  <c r="W41" i="13" s="1"/>
  <c r="U11" i="13" a="1"/>
  <c r="U11" i="13" s="1"/>
  <c r="W11" i="13" s="1"/>
  <c r="U12" i="13" a="1"/>
  <c r="U12" i="13" s="1"/>
  <c r="W12" i="13" s="1"/>
  <c r="U13" i="13" a="1"/>
  <c r="U13" i="13" s="1"/>
  <c r="W13" i="13" s="1"/>
  <c r="U14" i="13" a="1"/>
  <c r="U14" i="13" s="1"/>
  <c r="W14" i="13" s="1"/>
  <c r="U15" i="13" a="1"/>
  <c r="U15" i="13" s="1"/>
  <c r="W15" i="13" s="1"/>
  <c r="U16" i="13" a="1"/>
  <c r="U16" i="13" s="1"/>
  <c r="W16" i="13" s="1"/>
  <c r="U17" i="13" a="1"/>
  <c r="U17" i="13" s="1"/>
  <c r="W17" i="13" s="1"/>
  <c r="U18" i="13" a="1"/>
  <c r="U18" i="13" s="1"/>
  <c r="W18" i="13" s="1"/>
  <c r="U19" i="13" a="1"/>
  <c r="U19" i="13" s="1"/>
  <c r="W19" i="13" s="1"/>
  <c r="U21" i="13" a="1"/>
  <c r="U21" i="13" s="1"/>
  <c r="W21" i="13" s="1"/>
  <c r="U22" i="13" a="1"/>
  <c r="U22" i="13" s="1"/>
  <c r="W22" i="13" s="1"/>
  <c r="U23" i="13" a="1"/>
  <c r="U23" i="13" s="1"/>
  <c r="W23" i="13" s="1"/>
  <c r="U24" i="13" a="1"/>
  <c r="U24" i="13" s="1"/>
  <c r="W24" i="13" s="1"/>
  <c r="U25" i="13" a="1"/>
  <c r="U25" i="13" s="1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2" i="13" a="1"/>
  <c r="U32" i="13" s="1"/>
  <c r="W32" i="13" s="1"/>
  <c r="U33" i="13" a="1"/>
  <c r="U33" i="13" s="1"/>
  <c r="W33" i="13" s="1"/>
  <c r="U34" i="13" a="1"/>
  <c r="U34" i="13" s="1"/>
  <c r="W34" i="13" s="1"/>
  <c r="U35" i="13" a="1"/>
  <c r="U35" i="13" s="1"/>
  <c r="W35" i="13" s="1"/>
  <c r="U36" i="13" a="1"/>
  <c r="U36" i="13" s="1"/>
  <c r="W36" i="13" s="1"/>
  <c r="U37" i="13" a="1"/>
  <c r="U37" i="13" s="1"/>
  <c r="W37" i="13" s="1"/>
  <c r="U38" i="13" a="1"/>
  <c r="U38" i="13" s="1"/>
  <c r="W38" i="13" s="1"/>
  <c r="U39" i="13" a="1"/>
  <c r="U39" i="13" s="1"/>
  <c r="W39" i="13" s="1"/>
  <c r="U42" i="13" a="1"/>
  <c r="U42" i="13" s="1"/>
  <c r="W42" i="13" s="1"/>
  <c r="U43" i="13" a="1"/>
  <c r="U43" i="13" s="1"/>
  <c r="W43" i="13" s="1"/>
  <c r="U44" i="13" a="1"/>
  <c r="U44" i="13" s="1"/>
  <c r="W44" i="13" s="1"/>
  <c r="U45" i="13" a="1"/>
  <c r="U45" i="13" s="1"/>
  <c r="W45" i="13" s="1"/>
  <c r="E4" i="17"/>
  <c r="K3" i="17"/>
  <c r="J13" i="15" l="1"/>
  <c r="K13" i="15" s="1"/>
  <c r="H13" i="15"/>
  <c r="I3" i="18"/>
  <c r="I33" i="10"/>
  <c r="I6" i="10"/>
  <c r="I17" i="10"/>
  <c r="I4" i="10"/>
  <c r="C79" i="17"/>
  <c r="E81" i="17" s="1"/>
  <c r="C9" i="33"/>
  <c r="C11" i="33" s="1"/>
  <c r="C23" i="33"/>
  <c r="C25" i="33" s="1"/>
  <c r="C23" i="34"/>
  <c r="C25" i="34" s="1"/>
  <c r="N42" i="17"/>
  <c r="C9" i="34"/>
  <c r="C11" i="34" s="1"/>
  <c r="M55" i="13" l="1"/>
  <c r="M56" i="13"/>
  <c r="M59" i="13"/>
  <c r="M60" i="13"/>
  <c r="M61" i="13"/>
  <c r="C5" i="13" s="1"/>
  <c r="B9" i="18"/>
  <c r="M58" i="13"/>
  <c r="M57" i="13"/>
  <c r="G25" i="35"/>
  <c r="G24" i="35"/>
  <c r="C18" i="35"/>
  <c r="D5" i="13" l="1"/>
  <c r="P33" i="32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42" i="18"/>
  <c r="E8" i="18" l="1"/>
  <c r="K28" i="35"/>
  <c r="E9" i="18" s="1"/>
  <c r="E11" i="18"/>
  <c r="K29" i="35"/>
  <c r="E10" i="18" s="1"/>
  <c r="C27" i="33"/>
  <c r="C13" i="33"/>
  <c r="D14" i="35"/>
  <c r="D6" i="35"/>
  <c r="F4" i="18"/>
  <c r="B7" i="18" s="1"/>
  <c r="J4" i="18"/>
  <c r="B8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B5" i="15"/>
  <c r="D26" i="9"/>
  <c r="B30" i="9"/>
  <c r="E30" i="9" s="1"/>
  <c r="J7" i="15"/>
  <c r="D5" i="9"/>
  <c r="E80" i="17" s="1"/>
  <c r="A22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44" i="18"/>
  <c r="B54" i="18" s="1"/>
  <c r="I26" i="13"/>
  <c r="C3" i="12" a="1"/>
  <c r="C3" i="12" s="1"/>
  <c r="B3" i="12" a="1"/>
  <c r="B3" i="12" s="1"/>
  <c r="K7" i="17"/>
  <c r="H57" i="17"/>
  <c r="H56" i="17"/>
  <c r="F15" i="9"/>
  <c r="K9" i="17" s="1"/>
  <c r="I7" i="13" s="1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E23" i="17" l="1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O3" i="13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46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I4" i="18" l="1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4" i="18"/>
  <c r="B13" i="18" s="1"/>
  <c r="K4" i="18"/>
  <c r="B10" i="18" s="1"/>
  <c r="L4" i="18"/>
  <c r="B11" i="18" s="1"/>
  <c r="M4" i="18"/>
  <c r="B12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34" i="10"/>
  <c r="B15" i="13"/>
  <c r="E15" i="13"/>
  <c r="E26" i="32"/>
  <c r="I21" i="13" s="1"/>
  <c r="Z7" i="22"/>
  <c r="Y7" i="22"/>
  <c r="W7" i="22"/>
  <c r="B19" i="13"/>
  <c r="E19" i="13"/>
  <c r="J24" i="10" l="1"/>
  <c r="J30" i="10"/>
  <c r="J22" i="10"/>
  <c r="J19" i="10"/>
  <c r="J11" i="10"/>
  <c r="J27" i="10"/>
  <c r="J12" i="10"/>
  <c r="J26" i="10"/>
  <c r="J20" i="10"/>
  <c r="J31" i="10"/>
  <c r="J13" i="10"/>
  <c r="J28" i="10"/>
  <c r="J18" i="10"/>
  <c r="J29" i="10"/>
  <c r="J10" i="10"/>
  <c r="J23" i="10"/>
  <c r="J8" i="10"/>
  <c r="J9" i="10"/>
  <c r="J5" i="10"/>
  <c r="J6" i="10"/>
  <c r="J4" i="10"/>
  <c r="J15" i="10"/>
  <c r="J33" i="10"/>
  <c r="J3" i="10"/>
  <c r="J2" i="10"/>
  <c r="J21" i="10"/>
  <c r="J25" i="10"/>
  <c r="J14" i="10"/>
  <c r="J16" i="10"/>
  <c r="J32" i="10"/>
  <c r="J17" i="10"/>
  <c r="J7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4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35" i="10"/>
  <c r="F35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<sst xmlns="http://schemas.openxmlformats.org/spreadsheetml/2006/main" count="2950" uniqueCount="1211">
  <si>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</si>
  <si>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</si>
  <si>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</si>
  <si>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</si>
  <si>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</si>
  <si>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</si>
  <si>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</si>
  <si>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</si>
  <si>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</si>
  <si>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</si>
  <si>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</si>
  <si>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</si>
  <si>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</si>
  <si>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</si>
  <si>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</si>
  <si>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</si>
  <si>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</si>
  <si>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</si>
  <si>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</si>
  <si>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</si>
  <si>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</si>
  <si>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</si>
  <si>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</si>
  <si>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</si>
  <si>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</si>
  <si>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</si>
  <si>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</si>
  <si>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</si>
  <si>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</si>
  <si>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</si>
  <si>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</si>
  <si>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</si>
  <si>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</si>
  <si>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</si>
  <si>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</si>
  <si>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</si>
  <si>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</si>
  <si>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</si>
  <si>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</si>
  <si>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</si>
  <si>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</si>
  <si>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</si>
  <si>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</si>
  <si>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</si>
  <si>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</si>
  <si>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</si>
  <si>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</si>
  <si>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</si>
  <si>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</si>
  <si>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</si>
  <si>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</si>
  <si>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</si>
  <si>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</si>
  <si>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</si>
  <si>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</si>
  <si>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</si>
  <si>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</si>
  <si>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</si>
  <si>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</si>
  <si>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</si>
  <si>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</si>
  <si>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</si>
  <si>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</si>
  <si>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</si>
  <si>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</si>
  <si>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</si>
  <si>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</si>
  <si>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</si>
  <si>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</si>
  <si>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</si>
  <si>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</si>
  <si>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</si>
  <si>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</si>
  <si>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</si>
  <si>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</si>
  <si>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</si>
  <si>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</si>
  <si>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</si>
  <si>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</si>
  <si>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</si>
  <si>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</si>
  <si>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</si>
  <si>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</si>
  <si>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</si>
  <si>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</si>
  <si>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</si>
  <si>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</si>
  <si>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</si>
  <si>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</si>
  <si>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</si>
  <si>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</si>
  <si>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</si>
  <si>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</si>
  <si>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</si>
  <si>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</si>
  <si>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</si>
  <si>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</si>
  <si>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</si>
  <si>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</si>
  <si>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</si>
  <si>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</si>
  <si>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</si>
  <si>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</si>
  <si>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</si>
  <si>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</si>
  <si>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</si>
  <si>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</si>
  <si>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</si>
  <si>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</si>
  <si>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</si>
  <si>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</si>
  <si>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</si>
  <si>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</si>
  <si>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</si>
  <si>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</si>
  <si>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</si>
  <si>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</si>
  <si>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</si>
  <si>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</si>
  <si>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</si>
  <si>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</si>
  <si>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</si>
  <si>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</si>
  <si>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</si>
  <si>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</si>
  <si>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</si>
  <si>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</si>
  <si>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</si>
  <si>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</si>
  <si>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</si>
  <si>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</si>
  <si>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</si>
  <si>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</si>
  <si>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</si>
  <si>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</si>
  <si>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</si>
  <si>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</si>
  <si>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</si>
  <si>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</si>
  <si>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</si>
  <si>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</si>
  <si>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</si>
  <si>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</si>
  <si>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</si>
  <si>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</si>
  <si>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</si>
  <si>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</si>
  <si>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</si>
  <si>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</si>
  <si>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</si>
  <si>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</si>
  <si>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</si>
  <si>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</si>
  <si>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</si>
  <si>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</si>
  <si>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</si>
  <si>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</si>
  <si>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</si>
  <si>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</si>
  <si>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</si>
  <si>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</si>
  <si>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</si>
  <si>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</si>
  <si>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</si>
  <si>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</si>
  <si>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</si>
  <si>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</si>
  <si>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</si>
  <si>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</si>
  <si>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</si>
  <si>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</si>
  <si>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</si>
  <si>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</si>
  <si>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</si>
  <si>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</si>
  <si>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</si>
  <si>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</si>
  <si>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</si>
  <si>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</si>
  <si>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</si>
  <si>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</si>
  <si>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</si>
  <si>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</si>
  <si>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</si>
  <si>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</si>
  <si>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</si>
  <si>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</si>
  <si>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</si>
  <si>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</si>
  <si>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</si>
  <si>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</si>
  <si>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</si>
  <si>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</si>
  <si>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</si>
  <si>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</si>
  <si>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</si>
  <si>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</si>
  <si>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</si>
  <si>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</si>
  <si>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</si>
  <si>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</si>
  <si>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</si>
  <si>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</si>
  <si>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</si>
  <si>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</si>
  <si>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</si>
  <si>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</si>
  <si>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</si>
  <si>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</si>
  <si>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</si>
  <si>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</si>
  <si>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</si>
  <si>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</si>
  <si>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</si>
  <si>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</si>
  <si>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</si>
  <si>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</si>
  <si>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</si>
  <si>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</si>
  <si>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</si>
  <si>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</si>
  <si>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</si>
  <si>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</si>
  <si>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</si>
  <si>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</si>
  <si>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</si>
  <si>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</si>
  <si>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</si>
  <si>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</si>
  <si>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</si>
  <si>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</si>
  <si>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</si>
  <si>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</si>
  <si>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</si>
  <si>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</si>
  <si>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</si>
  <si>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</si>
  <si>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</si>
  <si>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</si>
  <si>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</si>
  <si>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</si>
  <si>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</si>
  <si>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</si>
  <si>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</si>
  <si>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</si>
  <si>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</si>
  <si>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</si>
  <si>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</si>
  <si>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</si>
  <si>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</si>
  <si>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</si>
  <si>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</si>
  <si>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</si>
  <si>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</si>
  <si>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</si>
  <si>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</si>
  <si>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</si>
  <si>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</si>
  <si>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</si>
  <si>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</si>
  <si>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</si>
  <si>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</si>
  <si>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</si>
  <si>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</si>
  <si>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</si>
  <si>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</si>
  <si>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</si>
  <si>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</si>
  <si>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</si>
  <si>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</si>
  <si>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</si>
  <si>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</si>
  <si>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</si>
  <si>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</si>
  <si>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</si>
  <si>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</si>
  <si>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</si>
  <si>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</si>
  <si>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</si>
  <si>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</si>
  <si>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</si>
  <si>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</si>
  <si>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</si>
  <si>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</si>
  <si>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</si>
  <si>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</si>
  <si>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</si>
  <si>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</si>
  <si>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</si>
  <si>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</si>
  <si>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</si>
  <si>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</si>
  <si>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</si>
  <si>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</si>
  <si>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</si>
  <si>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</si>
  <si>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</si>
  <si>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</si>
  <si>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</si>
  <si>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</si>
  <si>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</si>
  <si>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</si>
  <si>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</si>
  <si>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</si>
  <si>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</si>
  <si>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</si>
  <si>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</si>
  <si>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</si>
  <si>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</si>
  <si>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</si>
  <si>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</si>
  <si>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</si>
  <si>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</si>
  <si>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</si>
  <si>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</si>
  <si>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</si>
  <si>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</si>
  <si>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</si>
  <si>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</si>
  <si>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</si>
  <si>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</si>
  <si>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</si>
  <si>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</si>
  <si>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</si>
  <si>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</si>
  <si>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</si>
  <si>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</si>
  <si>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</si>
  <si>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</si>
  <si>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</si>
  <si>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</si>
  <si>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</si>
  <si>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</si>
  <si>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</si>
  <si>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</si>
  <si>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</si>
  <si>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</si>
  <si>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</si>
  <si>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</si>
  <si>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</si>
  <si>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</si>
  <si>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</si>
  <si>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</si>
  <si>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</si>
  <si>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</si>
  <si>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</si>
  <si>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</si>
  <si>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</si>
  <si>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</si>
  <si>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</si>
  <si>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</si>
  <si>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</si>
  <si>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</si>
  <si>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</si>
  <si>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</si>
  <si>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</si>
  <si>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</si>
  <si>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</si>
  <si>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</si>
  <si>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</si>
  <si>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</si>
  <si>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</si>
  <si>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</si>
  <si>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</si>
  <si>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</si>
  <si>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</si>
  <si>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</si>
  <si>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</si>
  <si>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</si>
  <si>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</si>
  <si>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</si>
  <si>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</si>
  <si>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</si>
  <si>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</si>
  <si>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</si>
  <si>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</si>
  <si>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</si>
  <si>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</si>
  <si>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</si>
  <si>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</si>
  <si>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</si>
  <si>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</si>
  <si>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</si>
  <si>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</si>
  <si>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</si>
  <si>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</si>
  <si>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</si>
  <si>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</si>
  <si>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</si>
  <si>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</si>
  <si>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</si>
  <si>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</si>
  <si>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</si>
  <si>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</si>
  <si>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</si>
  <si>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</si>
  <si>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</si>
  <si>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</si>
  <si>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</si>
  <si>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</si>
  <si>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</si>
  <si>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</si>
  <si>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</si>
  <si>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</si>
  <si>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</si>
  <si>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</si>
  <si>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</si>
  <si>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</si>
  <si>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</si>
  <si>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</si>
  <si>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</si>
  <si>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</si>
  <si>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</si>
  <si>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</si>
  <si>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</si>
  <si>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</si>
  <si>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</si>
  <si>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</si>
  <si>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</si>
  <si>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</si>
  <si>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</si>
  <si>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</si>
  <si>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</si>
  <si>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</si>
  <si>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</si>
  <si>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</si>
  <si>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</si>
  <si>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</si>
  <si>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</si>
  <si>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</si>
  <si>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</si>
  <si>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</si>
  <si>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</si>
  <si>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</si>
  <si>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</si>
  <si>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</si>
  <si>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</si>
  <si>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</si>
  <si>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</si>
  <si>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</si>
  <si>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</si>
  <si>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</si>
  <si>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</si>
  <si>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</si>
  <si>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</si>
  <si>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</si>
  <si>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</si>
  <si>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</si>
  <si>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</si>
  <si>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</si>
  <si>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</si>
  <si>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</si>
  <si>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</si>
  <si>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</si>
  <si>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</si>
  <si>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</si>
  <si>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</si>
  <si>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</si>
  <si>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</si>
  <si>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</si>
  <si>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</si>
  <si>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</si>
  <si>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</si>
  <si>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</si>
  <si>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</si>
  <si>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</si>
  <si>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</si>
  <si>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</si>
  <si>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</si>
  <si>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</si>
  <si>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</si>
  <si>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</si>
  <si>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</si>
  <si>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</si>
  <si>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</si>
  <si>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</si>
  <si>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</si>
  <si>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</si>
  <si>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</si>
  <si>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</si>
  <si>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</si>
  <si>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</si>
  <si>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</si>
  <si>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</si>
  <si>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</si>
  <si>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</si>
  <si>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</si>
  <si>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</si>
  <si>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</si>
  <si>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</si>
  <si>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</si>
  <si>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</si>
  <si>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</si>
  <si>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</si>
  <si>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</si>
  <si>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</si>
  <si>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</si>
  <si>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</si>
  <si>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</si>
  <si>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</si>
  <si>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</si>
  <si>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</si>
  <si>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</si>
  <si>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</si>
  <si>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</si>
  <si>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</si>
  <si>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</si>
  <si>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</si>
  <si>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</si>
  <si>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</si>
  <si>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</si>
  <si>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</si>
  <si>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</si>
  <si>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</si>
  <si>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</si>
  <si>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</si>
  <si>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</si>
  <si>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</si>
  <si>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</si>
  <si>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</si>
  <si>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</si>
  <si>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</si>
  <si>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</si>
  <si>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</si>
  <si>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</si>
  <si>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</si>
  <si>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</si>
  <si>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</si>
  <si>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</si>
  <si>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</si>
  <si>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</si>
  <si>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</si>
  <si>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</si>
  <si>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</si>
  <si>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</si>
  <si>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</si>
  <si>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</si>
  <si>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</si>
  <si>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</si>
  <si>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</si>
  <si>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</si>
  <si>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</si>
  <si>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</si>
  <si>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</si>
  <si>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</si>
  <si>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</si>
  <si>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</si>
  <si>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</si>
  <si>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</si>
  <si>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</si>
  <si>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</si>
  <si>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</si>
  <si>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</si>
  <si>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</si>
  <si>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</si>
  <si>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</si>
  <si>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</si>
  <si>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</si>
  <si>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</si>
  <si>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</si>
  <si>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</si>
  <si>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</si>
  <si>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</si>
  <si>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</si>
  <si>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</si>
  <si>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</si>
  <si>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</si>
  <si>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</si>
  <si>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</si>
  <si>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</si>
  <si>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</si>
  <si>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</si>
  <si>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</si>
  <si>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</si>
  <si>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</si>
  <si>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</si>
  <si>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</si>
  <si>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</si>
  <si>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</si>
  <si>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</si>
  <si>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</si>
  <si>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</si>
  <si>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</si>
  <si>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</si>
  <si>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</si>
  <si>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</si>
  <si>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</si>
  <si>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</si>
  <si>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</si>
  <si>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</si>
  <si>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</si>
  <si>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</si>
  <si>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</si>
  <si>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</si>
  <si>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</si>
  <si>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</si>
  <si>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</si>
  <si>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</si>
  <si>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</si>
  <si>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</si>
  <si>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</si>
  <si>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</si>
  <si>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</si>
  <si>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</si>
  <si>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</si>
  <si>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</si>
  <si>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</si>
  <si>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</si>
  <si>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</si>
  <si>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</si>
  <si>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</si>
  <si>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</si>
  <si>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</si>
  <si>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</si>
  <si>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</si>
  <si>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</si>
  <si>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</si>
  <si>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</si>
  <si>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</si>
  <si>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</si>
  <si>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</si>
  <si>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</si>
  <si>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</si>
  <si>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</si>
  <si>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</si>
  <si>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</si>
  <si>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</si>
  <si>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</si>
  <si>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</si>
  <si>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</si>
  <si>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</si>
  <si>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</si>
  <si>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</si>
  <si>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</si>
  <si>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</si>
  <si>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</si>
  <si>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</si>
  <si>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</si>
  <si>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</si>
  <si>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</si>
  <si>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</si>
  <si>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</si>
  <si>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</si>
  <si>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</si>
  <si>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</si>
  <si>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</si>
  <si>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</si>
  <si>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</si>
  <si>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</si>
  <si>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</si>
  <si>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</si>
  <si>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</si>
  <si>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</si>
  <si>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</si>
  <si>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</si>
  <si>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</si>
  <si>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</si>
  <si>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</si>
  <si>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</si>
  <si>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</si>
  <si>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</si>
  <si>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</si>
  <si>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</si>
  <si>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</si>
  <si>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</si>
  <si>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</si>
  <si>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</si>
  <si>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</si>
  <si>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</si>
  <si>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</si>
  <si>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</si>
  <si>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</si>
  <si>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</si>
  <si>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</si>
  <si>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</si>
  <si>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</si>
  <si>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</si>
  <si>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</si>
  <si>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</si>
  <si>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</si>
  <si>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</si>
  <si>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</si>
  <si>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</si>
  <si>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</si>
  <si>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</si>
  <si>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</si>
  <si>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</si>
  <si>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</si>
  <si>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</si>
  <si>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</si>
  <si>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</si>
  <si>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</si>
  <si>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</si>
  <si>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</si>
  <si>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</si>
  <si>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</si>
  <si>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</si>
  <si>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</si>
  <si>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</si>
  <si>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</si>
  <si>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</si>
  <si>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</si>
  <si>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</si>
  <si>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</si>
  <si>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</si>
  <si>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</si>
  <si>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</si>
  <si>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</si>
  <si>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</si>
  <si>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</si>
  <si>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</si>
  <si>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</si>
  <si>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</si>
  <si>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</si>
  <si>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</si>
  <si>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</si>
  <si>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</si>
  <si>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</si>
  <si>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</si>
  <si>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</si>
  <si>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</si>
  <si>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</si>
  <si>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</si>
  <si>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</si>
  <si>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</si>
  <si>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</si>
  <si>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</si>
  <si>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</si>
  <si>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</si>
  <si>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</si>
  <si>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</si>
  <si>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</si>
  <si>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</si>
  <si>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</si>
  <si>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</si>
  <si>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</si>
  <si>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</si>
  <si>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</si>
  <si>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</si>
  <si>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</si>
  <si>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</si>
  <si>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</si>
  <si>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</si>
  <si>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</si>
  <si>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</si>
  <si>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</si>
  <si>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</si>
  <si>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</si>
  <si>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</si>
  <si>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</si>
  <si>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</si>
  <si>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</si>
  <si>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</si>
  <si>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</si>
  <si>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</si>
  <si>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</si>
  <si>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</si>
  <si>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</si>
  <si>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</si>
  <si>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</si>
  <si>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</si>
  <si>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</si>
  <si>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</si>
  <si>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</si>
  <si>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</si>
  <si>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</si>
  <si>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</si>
  <si>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</si>
  <si>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</si>
  <si>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</si>
  <si>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</si>
  <si>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</si>
  <si>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</si>
  <si>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</si>
  <si>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</si>
  <si>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</si>
  <si>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</si>
  <si>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</si>
  <si>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</si>
  <si>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</si>
  <si>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</si>
  <si>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</si>
  <si>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</si>
  <si>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</si>
  <si>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</si>
  <si>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</si>
  <si>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</si>
  <si>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</si>
  <si>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</si>
  <si>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</si>
  <si>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</si>
  <si>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</si>
  <si>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</si>
  <si>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</si>
  <si>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</si>
  <si>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</si>
  <si>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</si>
  <si>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</si>
  <si>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</si>
  <si>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</si>
  <si>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</si>
  <si>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</si>
  <si>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</si>
  <si>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</si>
  <si>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</si>
  <si>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</si>
  <si>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</si>
  <si>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</si>
  <si>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</si>
  <si>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</si>
  <si>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</si>
  <si>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</si>
  <si>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</si>
  <si>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</si>
  <si>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</si>
  <si>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</si>
  <si>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</si>
  <si>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</si>
  <si>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</si>
  <si>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</si>
  <si>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</si>
  <si>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</si>
  <si>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</si>
  <si>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</si>
  <si>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</si>
  <si>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</si>
  <si>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</si>
  <si>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</si>
  <si>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</si>
  <si>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</si>
  <si>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</si>
  <si>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</si>
  <si>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</si>
  <si>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</si>
  <si>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</si>
  <si>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</si>
  <si>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</si>
  <si>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</si>
  <si>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</si>
  <si>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</si>
  <si>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</si>
  <si>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</si>
  <si>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</si>
  <si>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</si>
  <si>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</si>
  <si>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</si>
  <si>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</si>
  <si>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</si>
  <si>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</si>
  <si>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</si>
  <si>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</si>
  <si>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</si>
  <si>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</si>
  <si>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</si>
  <si>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</si>
  <si>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</si>
  <si>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</si>
  <si>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</si>
  <si>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</si>
  <si>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</si>
  <si>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</si>
  <si>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</si>
  <si>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</si>
  <si>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</si>
  <si>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</si>
  <si>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</si>
  <si>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</si>
  <si>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</si>
  <si>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</si>
  <si>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</si>
  <si>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</si>
  <si>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</si>
  <si>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</si>
  <si>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</si>
  <si>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</si>
  <si>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</si>
  <si>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</si>
  <si>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</si>
  <si>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</si>
  <si>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</si>
  <si>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</si>
  <si>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</si>
  <si>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</si>
  <si>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</si>
  <si>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</si>
  <si>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</si>
  <si>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</si>
  <si>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</si>
  <si>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</si>
  <si>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</si>
  <si>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</si>
  <si>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</si>
  <si>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</si>
  <si>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</si>
  <si>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</si>
  <si>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</si>
  <si>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</si>
  <si>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</si>
  <si>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</si>
  <si>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</si>
  <si>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</si>
  <si>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</si>
  <si>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</si>
  <si>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</si>
  <si>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</si>
  <si>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</si>
  <si>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</si>
  <si>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</si>
  <si>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</si>
  <si>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</si>
  <si>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</si>
  <si>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</si>
  <si>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</si>
  <si>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</si>
  <si>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</si>
  <si>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</si>
  <si>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</si>
  <si>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</si>
  <si>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</si>
  <si>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</si>
  <si>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</si>
  <si>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</si>
  <si>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</si>
  <si>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</si>
  <si>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</si>
  <si>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</si>
  <si>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</si>
  <si>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</si>
  <si>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</si>
  <si>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</si>
  <si>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</si>
  <si>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</si>
  <si>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</si>
  <si>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</si>
  <si>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</si>
  <si>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</si>
  <si>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</si>
  <si>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</si>
  <si>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</si>
  <si>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</si>
  <si>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</si>
  <si>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</si>
  <si>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</si>
  <si>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</si>
  <si>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</si>
  <si>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</si>
  <si>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</si>
  <si>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</si>
  <si>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</si>
  <si>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</si>
  <si>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</si>
  <si>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</si>
  <si>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</si>
  <si>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</si>
  <si>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</si>
  <si>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</si>
  <si>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</si>
  <si>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</si>
  <si>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</si>
  <si>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</si>
  <si>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</si>
  <si>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</si>
  <si>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</si>
  <si>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</si>
  <si>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</si>
  <si>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</si>
  <si>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</si>
  <si>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</si>
  <si>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</si>
  <si>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</si>
  <si>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</si>
  <si>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</si>
  <si>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</si>
  <si>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</si>
  <si>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</si>
  <si>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</si>
  <si>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</si>
  <si>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</si>
  <si>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</si>
  <si>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</si>
  <si>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</si>
  <si>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</si>
  <si>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</si>
  <si>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</si>
  <si>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</si>
  <si>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</si>
  <si>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</si>
  <si>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</si>
  <si>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</si>
  <si>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</si>
  <si>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</si>
  <si>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</si>
  <si>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</si>
  <si>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</si>
  <si>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</si>
  <si>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</si>
  <si>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</si>
  <si>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</si>
  <si>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</si>
  <si>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</si>
  <si>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</si>
  <si>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</si>
  <si>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</si>
  <si>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</si>
  <si>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</si>
  <si>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</si>
  <si>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</si>
  <si>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</si>
  <si>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</si>
  <si>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</si>
  <si>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</si>
  <si>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</si>
  <si>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</si>
  <si>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</si>
  <si>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</si>
  <si>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</si>
  <si>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</si>
  <si>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</si>
  <si>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</si>
  <si>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</si>
  <si>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</si>
  <si>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</si>
  <si>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</si>
  <si>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</si>
  <si>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</si>
  <si>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</si>
  <si>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</si>
  <si>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</si>
  <si>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</si>
  <si>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</si>
  <si>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</si>
  <si>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</si>
  <si>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</si>
  <si>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</si>
  <si>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</si>
  <si>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</si>
  <si>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</si>
  <si>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</si>
  <si>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</si>
  <si>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</si>
  <si>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</si>
  <si>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</si>
  <si>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</si>
  <si>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</si>
  <si>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</si>
  <si>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</si>
  <si>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</si>
  <si>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</si>
  <si>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</si>
  <si>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</si>
  <si>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</si>
  <si>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</si>
  <si>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</si>
  <si>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</si>
  <si>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</si>
  <si>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</si>
  <si>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</si>
  <si>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</si>
  <si>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</si>
  <si>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</si>
  <si>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</si>
  <si>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</si>
  <si>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</si>
  <si>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</si>
  <si>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</si>
  <si>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</si>
  <si>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Spachtelung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</si>
  <si>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</si>
  <si>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</si>
  <si>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</si>
  <si>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</si>
  <si>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</si>
  <si>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</si>
  <si>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</si>
  <si>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</si>
  <si>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</si>
  <si>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</si>
  <si>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</si>
  <si>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</si>
  <si>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</si>
  <si>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</si>
  <si>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</si>
  <si>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</si>
  <si>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</si>
  <si>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</si>
  <si>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</si>
  <si>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</si>
  <si>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</si>
  <si>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</si>
  <si>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</si>
  <si>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</si>
  <si>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</si>
  <si>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</si>
  <si>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</si>
  <si>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</si>
  <si>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</si>
  <si>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</si>
  <si>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</si>
  <si>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</si>
  <si>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</si>
  <si>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</si>
  <si>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</si>
  <si>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</si>
  <si>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</si>
  <si>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</si>
  <si>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</si>
  <si>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</si>
  <si>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</si>
  <si>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</si>
  <si>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</si>
  <si>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</si>
  <si>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</si>
  <si>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</si>
  <si>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</si>
  <si>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</si>
  <si>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</si>
  <si>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</si>
  <si>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</si>
  <si>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</si>
  <si>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</si>
  <si>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</si>
  <si>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</si>
  <si>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</si>
  <si>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</si>
  <si>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</si>
  <si>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</si>
  <si>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</si>
  <si>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</si>
  <si>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</si>
  <si>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</si>
  <si>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</si>
  <si>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</si>
  <si>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</si>
  <si>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</si>
  <si>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</si>
  <si>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</si>
  <si>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</si>
  <si>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</si>
  <si>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</si>
  <si>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</si>
  <si>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</si>
  <si>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</si>
  <si>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</si>
  <si>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</si>
  <si>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</si>
  <si>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</si>
  <si>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</si>
  <si>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</si>
  <si>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</si>
  <si>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</si>
  <si>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</si>
  <si>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</si>
  <si>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</si>
  <si>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</si>
  <si>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</si>
  <si>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</si>
  <si>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</si>
  <si>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</si>
  <si>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</si>
  <si>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</si>
  <si>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</si>
  <si>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</si>
  <si>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</si>
  <si>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</si>
  <si>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</si>
  <si>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</si>
  <si>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</si>
  <si>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</si>
  <si>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</si>
  <si>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</si>
  <si>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</si>
  <si>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</si>
  <si>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</si>
  <si>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</si>
  <si>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</si>
  <si>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</si>
  <si>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</si>
  <si>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</si>
  <si>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</si>
  <si>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</si>
  <si>
    <t>Gaulhofer 3-S GM06 Ug=0,6 Wärmeschutzglas</t>
  </si>
  <si>
    <t>Stahlbeton 140 kg/m³ Armierungsstahl (1,75 Vol.%)</t>
  </si>
  <si>
    <t>Gefälledämmung EPS-W 25 [?=0,031W/mK] i.M.</t>
  </si>
  <si>
    <t xml:space="preserve">Gipsplatte </t>
  </si>
  <si>
    <t>Holzspandämmplatte zementgebunden ( Isozell All-in Prozect Fassadenplatte)</t>
  </si>
  <si>
    <t>Plattenbelag</t>
  </si>
  <si>
    <t>Kies i.M.</t>
  </si>
  <si>
    <t>Gummimatte [s'&lt;100MN/m³]</t>
  </si>
  <si>
    <t>Schutz- und Filtervlies</t>
  </si>
  <si>
    <t>Feuchtigkeitsabdichtung (lt. ÖNORM)</t>
  </si>
  <si>
    <t>Dampfdruck-Ausgleichsschicht / Entspannungsschicht</t>
  </si>
  <si>
    <t>Dampfsperre [sd&gt;1500m]</t>
  </si>
  <si>
    <t>Dachabdichtungsbahn</t>
  </si>
  <si>
    <t xml:space="preserve"> Polystyrol EPS</t>
  </si>
  <si>
    <t>Bitumen</t>
  </si>
  <si>
    <t xml:space="preserve">Brettsperrholz </t>
  </si>
  <si>
    <t>Minaralwolle</t>
  </si>
  <si>
    <t>Putze</t>
  </si>
  <si>
    <t>Mauerziegel voll + Normalmauermörtel (1500 kg/m³)</t>
  </si>
  <si>
    <t>ISOCELL Zellulosefaserdämmstoff</t>
  </si>
  <si>
    <t>Unterputz</t>
  </si>
  <si>
    <t xml:space="preserve">Holz Lärche Außenwandverkleidung </t>
  </si>
  <si>
    <t xml:space="preserve">Hoz Fichte Lattung (30/60) Hinterlüftet </t>
  </si>
  <si>
    <t>MDF</t>
  </si>
  <si>
    <t>Konstruktionsholz quer ( 60/160)</t>
  </si>
  <si>
    <t>Brettsperrholz (verklebt) ( min 3-lagig, Decklage mom 30mm)</t>
  </si>
  <si>
    <t xml:space="preserve">Holz Fichte Lattung (50/80) auf Schwingbügel </t>
  </si>
  <si>
    <t>PAROC CGL 20cy Kellerdeckendämmplatte</t>
  </si>
  <si>
    <t>Dämmkork (100 kg/m³)</t>
  </si>
  <si>
    <t>Zement- und Zementfließestrich (1800 kg/m³)</t>
  </si>
  <si>
    <t>Textil-Belag, Teppich (200 kg/m³)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</si>
</sst>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43" fontId="13" fillId="52" borderId="0" xfId="14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66" formatCode="0.0"/>
    </dxf>
    <dxf>
      <numFmt numFmtId="166" formatCode="0.0"/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(Gesamtauswertung!$L$11:$L$45,Gesamtauswertung!$L$3:$L$7)</c:f>
              <c:strCache>
                <c:ptCount val="40"/>
                <c:pt idx="0">
                  <c:v> Polystyrol EPS</c:v>
                </c:pt>
                <c:pt idx="1">
                  <c:v>Bitumen</c:v>
                </c:pt>
                <c:pt idx="2">
                  <c:v>Brettsperrholz </c:v>
                </c:pt>
                <c:pt idx="3">
                  <c:v>Brettsperrholz (verklebt) ( min 3-lagig, Decklage mom 30mm)</c:v>
                </c:pt>
                <c:pt idx="4">
                  <c:v>Dachabdichtungsbahn</c:v>
                </c:pt>
                <c:pt idx="5">
                  <c:v>Dämmkork (100 kg/m³)</c:v>
                </c:pt>
                <c:pt idx="6">
                  <c:v>Dampfdruck-Ausgleichsschicht / Entspannungsschicht</c:v>
                </c:pt>
                <c:pt idx="7">
                  <c:v>Dampfsperre [sd&gt;1500m]</c:v>
                </c:pt>
                <c:pt idx="8">
                  <c:v>Feuchtigkeitsabdichtung (lt. ÖNORM)</c:v>
                </c:pt>
                <c:pt idx="9">
                  <c:v>Gaulhofer 3-S GM06 Ug=0,6 Wärmeschutzglas</c:v>
                </c:pt>
                <c:pt idx="10">
                  <c:v>Gefälledämmung EPS-W 25 [?=0,031W/mK] i.M.</c:v>
                </c:pt>
                <c:pt idx="11">
                  <c:v>Gipsplatte </c:v>
                </c:pt>
                <c:pt idx="12">
                  <c:v>Gummimatte [s'&lt;100MN/m³]</c:v>
                </c:pt>
                <c:pt idx="13">
                  <c:v>Holz </c:v>
                </c:pt>
                <c:pt idx="14">
                  <c:v>Holz Fichte Lattung (50/80) auf Schwingbügel </c:v>
                </c:pt>
                <c:pt idx="15">
                  <c:v>Holz Lärche Außenwandverkleidung </c:v>
                </c:pt>
                <c:pt idx="16">
                  <c:v>Holzspandämmplatte zementgebunden ( Isozell All-in Prozect Fassadenplatte)</c:v>
                </c:pt>
                <c:pt idx="17">
                  <c:v>Hoz Fichte Lattung (30/60) Hinterlüftet </c:v>
                </c:pt>
                <c:pt idx="18">
                  <c:v>ISOCELL Zellulosefaserdämmstoff</c:v>
                </c:pt>
                <c:pt idx="19">
                  <c:v>Kies i.M.</c:v>
                </c:pt>
                <c:pt idx="20">
                  <c:v>Konstruktionsholz quer ( 60/160)</c:v>
                </c:pt>
                <c:pt idx="21">
                  <c:v>Mauerziegel voll + Normalmauermörtel (1500 kg/m³)</c:v>
                </c:pt>
                <c:pt idx="22">
                  <c:v>MDF</c:v>
                </c:pt>
                <c:pt idx="23">
                  <c:v>Minaralwolle</c:v>
                </c:pt>
                <c:pt idx="24">
                  <c:v>PAROC CGL 20cy Kellerdeckendämmplatte</c:v>
                </c:pt>
                <c:pt idx="25">
                  <c:v>Plattenbelag</c:v>
                </c:pt>
                <c:pt idx="26">
                  <c:v>Putze</c:v>
                </c:pt>
                <c:pt idx="27">
                  <c:v>Schutz- und Filtervlies</c:v>
                </c:pt>
                <c:pt idx="28">
                  <c:v>Spachtelung</c:v>
                </c:pt>
                <c:pt idx="29">
                  <c:v>Stahlbeton</c:v>
                </c:pt>
                <c:pt idx="30">
                  <c:v>Stahlbeton 140 kg/m³ Armierungsstahl (1,75 Vol.%)</c:v>
                </c:pt>
                <c:pt idx="31">
                  <c:v>Textil-Belag, Teppich (200 kg/m³)</c:v>
                </c:pt>
                <c:pt idx="32">
                  <c:v>Unterputz</c:v>
                </c:pt>
                <c:pt idx="33">
                  <c:v>Zellulose</c:v>
                </c:pt>
                <c:pt idx="34">
                  <c:v>Zement- und Zementfließestrich (1800 kg/m³)</c:v>
                </c:pt>
                <c:pt idx="35">
                  <c:v>Aushub</c:v>
                </c:pt>
                <c:pt idx="36">
                  <c:v>Baugrubensicherung</c:v>
                </c:pt>
                <c:pt idx="37">
                  <c:v>Gebäude gesamt</c:v>
                </c:pt>
                <c:pt idx="38">
                  <c:v>Betrieb</c:v>
                </c:pt>
                <c:pt idx="39">
                  <c:v>Gesamte Emissionen</c:v>
                </c:pt>
              </c:strCache>
            </c:strRef>
          </c:cat>
          <c:val>
            <c:numRef>
              <c:f>(Gesamtauswertung!$U$11:$U$45,Gesamtauswertung!$Y$3:$Y$7)</c:f>
              <c:numCache>
                <c:formatCode>General</c:formatCode>
                <c:ptCount val="40"/>
                <c:pt idx="0">
                  <c:v>721685.9</c:v>
                </c:pt>
                <c:pt idx="1">
                  <c:v>721685.9</c:v>
                </c:pt>
                <c:pt idx="2">
                  <c:v>559584.14399999997</c:v>
                </c:pt>
                <c:pt idx="3">
                  <c:v>314210.93800000002</c:v>
                </c:pt>
                <c:pt idx="4">
                  <c:v>47853.3266</c:v>
                </c:pt>
                <c:pt idx="5">
                  <c:v>39970.296000000002</c:v>
                </c:pt>
                <c:pt idx="6">
                  <c:v>15544.003999999999</c:v>
                </c:pt>
                <c:pt idx="7">
                  <c:v>45521.725999999995</c:v>
                </c:pt>
                <c:pt idx="8">
                  <c:v>11102.86</c:v>
                </c:pt>
                <c:pt idx="9">
                  <c:v>174203.87340000001</c:v>
                </c:pt>
                <c:pt idx="10">
                  <c:v>403033.81799999997</c:v>
                </c:pt>
                <c:pt idx="11">
                  <c:v>0</c:v>
                </c:pt>
                <c:pt idx="12">
                  <c:v>407474.96200000006</c:v>
                </c:pt>
                <c:pt idx="13">
                  <c:v>4441.1440000000002</c:v>
                </c:pt>
                <c:pt idx="14">
                  <c:v>4441.1440000000002</c:v>
                </c:pt>
                <c:pt idx="15">
                  <c:v>18874.862000000001</c:v>
                </c:pt>
                <c:pt idx="16">
                  <c:v>163212.04199999999</c:v>
                </c:pt>
                <c:pt idx="17">
                  <c:v>2220.5720000000001</c:v>
                </c:pt>
                <c:pt idx="18">
                  <c:v>75499.448000000004</c:v>
                </c:pt>
                <c:pt idx="19">
                  <c:v>25536.577999999998</c:v>
                </c:pt>
                <c:pt idx="20">
                  <c:v>22205.72</c:v>
                </c:pt>
                <c:pt idx="21">
                  <c:v>0</c:v>
                </c:pt>
                <c:pt idx="22">
                  <c:v>77720.02</c:v>
                </c:pt>
                <c:pt idx="23">
                  <c:v>66617.16</c:v>
                </c:pt>
                <c:pt idx="24">
                  <c:v>34085.780200000001</c:v>
                </c:pt>
                <c:pt idx="25">
                  <c:v>55514.3</c:v>
                </c:pt>
                <c:pt idx="26">
                  <c:v>69948.017999999996</c:v>
                </c:pt>
                <c:pt idx="27">
                  <c:v>22205.72</c:v>
                </c:pt>
                <c:pt idx="28">
                  <c:v>12213.146000000002</c:v>
                </c:pt>
                <c:pt idx="29">
                  <c:v>88822.88</c:v>
                </c:pt>
                <c:pt idx="30">
                  <c:v>0</c:v>
                </c:pt>
                <c:pt idx="31">
                  <c:v>82383.2212</c:v>
                </c:pt>
                <c:pt idx="32">
                  <c:v>0</c:v>
                </c:pt>
                <c:pt idx="33">
                  <c:v>113249.17199999999</c:v>
                </c:pt>
                <c:pt idx="34">
                  <c:v>0</c:v>
                </c:pt>
                <c:pt idx="35">
                  <c:v>#N/A</c:v>
                </c:pt>
                <c:pt idx="36">
                  <c:v>#N/A</c:v>
                </c:pt>
                <c:pt idx="37" formatCode="0.0">
                  <c:v>4401062.6754000001</c:v>
                </c:pt>
                <c:pt idx="38">
                  <c:v>#N/A</c:v>
                </c:pt>
                <c:pt idx="3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(Gesamtauswertung!$L$11:$L$45,Gesamtauswertung!$L$3:$L$7)</c:f>
              <c:strCache>
                <c:ptCount val="40"/>
                <c:pt idx="0">
                  <c:v> Polystyrol EPS</c:v>
                </c:pt>
                <c:pt idx="1">
                  <c:v>Bitumen</c:v>
                </c:pt>
                <c:pt idx="2">
                  <c:v>Brettsperrholz </c:v>
                </c:pt>
                <c:pt idx="3">
                  <c:v>Brettsperrholz (verklebt) ( min 3-lagig, Decklage mom 30mm)</c:v>
                </c:pt>
                <c:pt idx="4">
                  <c:v>Dachabdichtungsbahn</c:v>
                </c:pt>
                <c:pt idx="5">
                  <c:v>Dämmkork (100 kg/m³)</c:v>
                </c:pt>
                <c:pt idx="6">
                  <c:v>Dampfdruck-Ausgleichsschicht / Entspannungsschicht</c:v>
                </c:pt>
                <c:pt idx="7">
                  <c:v>Dampfsperre [sd&gt;1500m]</c:v>
                </c:pt>
                <c:pt idx="8">
                  <c:v>Feuchtigkeitsabdichtung (lt. ÖNORM)</c:v>
                </c:pt>
                <c:pt idx="9">
                  <c:v>Gaulhofer 3-S GM06 Ug=0,6 Wärmeschutzglas</c:v>
                </c:pt>
                <c:pt idx="10">
                  <c:v>Gefälledämmung EPS-W 25 [?=0,031W/mK] i.M.</c:v>
                </c:pt>
                <c:pt idx="11">
                  <c:v>Gipsplatte </c:v>
                </c:pt>
                <c:pt idx="12">
                  <c:v>Gummimatte [s'&lt;100MN/m³]</c:v>
                </c:pt>
                <c:pt idx="13">
                  <c:v>Holz </c:v>
                </c:pt>
                <c:pt idx="14">
                  <c:v>Holz Fichte Lattung (50/80) auf Schwingbügel </c:v>
                </c:pt>
                <c:pt idx="15">
                  <c:v>Holz Lärche Außenwandverkleidung </c:v>
                </c:pt>
                <c:pt idx="16">
                  <c:v>Holzspandämmplatte zementgebunden ( Isozell All-in Prozect Fassadenplatte)</c:v>
                </c:pt>
                <c:pt idx="17">
                  <c:v>Hoz Fichte Lattung (30/60) Hinterlüftet </c:v>
                </c:pt>
                <c:pt idx="18">
                  <c:v>ISOCELL Zellulosefaserdämmstoff</c:v>
                </c:pt>
                <c:pt idx="19">
                  <c:v>Kies i.M.</c:v>
                </c:pt>
                <c:pt idx="20">
                  <c:v>Konstruktionsholz quer ( 60/160)</c:v>
                </c:pt>
                <c:pt idx="21">
                  <c:v>Mauerziegel voll + Normalmauermörtel (1500 kg/m³)</c:v>
                </c:pt>
                <c:pt idx="22">
                  <c:v>MDF</c:v>
                </c:pt>
                <c:pt idx="23">
                  <c:v>Minaralwolle</c:v>
                </c:pt>
                <c:pt idx="24">
                  <c:v>PAROC CGL 20cy Kellerdeckendämmplatte</c:v>
                </c:pt>
                <c:pt idx="25">
                  <c:v>Plattenbelag</c:v>
                </c:pt>
                <c:pt idx="26">
                  <c:v>Putze</c:v>
                </c:pt>
                <c:pt idx="27">
                  <c:v>Schutz- und Filtervlies</c:v>
                </c:pt>
                <c:pt idx="28">
                  <c:v>Spachtelung</c:v>
                </c:pt>
                <c:pt idx="29">
                  <c:v>Stahlbeton</c:v>
                </c:pt>
                <c:pt idx="30">
                  <c:v>Stahlbeton 140 kg/m³ Armierungsstahl (1,75 Vol.%)</c:v>
                </c:pt>
                <c:pt idx="31">
                  <c:v>Textil-Belag, Teppich (200 kg/m³)</c:v>
                </c:pt>
                <c:pt idx="32">
                  <c:v>Unterputz</c:v>
                </c:pt>
                <c:pt idx="33">
                  <c:v>Zellulose</c:v>
                </c:pt>
                <c:pt idx="34">
                  <c:v>Zement- und Zementfließestrich (1800 kg/m³)</c:v>
                </c:pt>
                <c:pt idx="35">
                  <c:v>Aushub</c:v>
                </c:pt>
                <c:pt idx="36">
                  <c:v>Baugrubensicherung</c:v>
                </c:pt>
                <c:pt idx="37">
                  <c:v>Gebäude gesamt</c:v>
                </c:pt>
                <c:pt idx="38">
                  <c:v>Betrieb</c:v>
                </c:pt>
                <c:pt idx="39">
                  <c:v>Gesamte Emissionen</c:v>
                </c:pt>
              </c:strCache>
            </c:strRef>
          </c:cat>
          <c:val>
            <c:numRef>
              <c:f>(Gesamtauswertung!$T$11:$T$45,Gesamtauswertung!$O$3:$O$7)</c:f>
              <c:numCache>
                <c:formatCode>General</c:formatCode>
                <c:ptCount val="40"/>
                <c:pt idx="0">
                  <c:v>212.39492361110985</c:v>
                </c:pt>
                <c:pt idx="1">
                  <c:v>88.755953124999465</c:v>
                </c:pt>
                <c:pt idx="2">
                  <c:v>597.36078062499644</c:v>
                </c:pt>
                <c:pt idx="3">
                  <c:v>494.91655062499706</c:v>
                </c:pt>
                <c:pt idx="4">
                  <c:v>71.683228749999557</c:v>
                </c:pt>
                <c:pt idx="5">
                  <c:v>78.851670138888423</c:v>
                </c:pt>
                <c:pt idx="6">
                  <c:v>5.0656571874999701</c:v>
                </c:pt>
                <c:pt idx="7">
                  <c:v>3.0584312499999822</c:v>
                </c:pt>
                <c:pt idx="8">
                  <c:v>150.53487312499908</c:v>
                </c:pt>
                <c:pt idx="9">
                  <c:v>626.12251852499628</c:v>
                </c:pt>
                <c:pt idx="10">
                  <c:v>228.32473611110973</c:v>
                </c:pt>
                <c:pt idx="11">
                  <c:v>200.87910937499879</c:v>
                </c:pt>
                <c:pt idx="12">
                  <c:v>91.754560624999456</c:v>
                </c:pt>
                <c:pt idx="13">
                  <c:v>3.8884278124999763</c:v>
                </c:pt>
                <c:pt idx="14">
                  <c:v>29.16036812499982</c:v>
                </c:pt>
                <c:pt idx="15">
                  <c:v>126.36167249999923</c:v>
                </c:pt>
                <c:pt idx="16">
                  <c:v>579.34409312499656</c:v>
                </c:pt>
                <c:pt idx="17">
                  <c:v>12.923321249999924</c:v>
                </c:pt>
                <c:pt idx="18">
                  <c:v>480.05854166666387</c:v>
                </c:pt>
                <c:pt idx="19">
                  <c:v>974.89269937499421</c:v>
                </c:pt>
                <c:pt idx="20">
                  <c:v>137.84910781249917</c:v>
                </c:pt>
                <c:pt idx="21">
                  <c:v>25846.89988124985</c:v>
                </c:pt>
                <c:pt idx="22">
                  <c:v>94.77125437499943</c:v>
                </c:pt>
                <c:pt idx="23">
                  <c:v>63.71796180555517</c:v>
                </c:pt>
                <c:pt idx="24">
                  <c:v>420.54138194444192</c:v>
                </c:pt>
                <c:pt idx="25">
                  <c:v>917.54606999999453</c:v>
                </c:pt>
                <c:pt idx="26">
                  <c:v>580.03531249999651</c:v>
                </c:pt>
                <c:pt idx="27">
                  <c:v>1.4336831249999915</c:v>
                </c:pt>
                <c:pt idx="28">
                  <c:v>47.788857812499714</c:v>
                </c:pt>
                <c:pt idx="29">
                  <c:v>1751.6079312499896</c:v>
                </c:pt>
                <c:pt idx="30">
                  <c:v>6502.8277124999604</c:v>
                </c:pt>
                <c:pt idx="31">
                  <c:v>56.772970624999651</c:v>
                </c:pt>
                <c:pt idx="32">
                  <c:v>229.19104687499862</c:v>
                </c:pt>
                <c:pt idx="33">
                  <c:v>426.76980208333077</c:v>
                </c:pt>
                <c:pt idx="34">
                  <c:v>2128.9881374999877</c:v>
                </c:pt>
                <c:pt idx="35" formatCode="0.00">
                  <c:v>#N/A</c:v>
                </c:pt>
                <c:pt idx="36">
                  <c:v>#N/A</c:v>
                </c:pt>
                <c:pt idx="37" formatCode="0.0">
                  <c:v>44263.073228385852</c:v>
                </c:pt>
                <c:pt idx="38">
                  <c:v>#N/A</c:v>
                </c:pt>
                <c:pt idx="3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(Gesamtauswertung!$L$11:$L$45,Gesamtauswertung!$L$3:$L$7)</c:f>
              <c:strCache>
                <c:ptCount val="40"/>
                <c:pt idx="0">
                  <c:v> Polystyrol EPS</c:v>
                </c:pt>
                <c:pt idx="1">
                  <c:v>Bitumen</c:v>
                </c:pt>
                <c:pt idx="2">
                  <c:v>Brettsperrholz </c:v>
                </c:pt>
                <c:pt idx="3">
                  <c:v>Brettsperrholz (verklebt) ( min 3-lagig, Decklage mom 30mm)</c:v>
                </c:pt>
                <c:pt idx="4">
                  <c:v>Dachabdichtungsbahn</c:v>
                </c:pt>
                <c:pt idx="5">
                  <c:v>Dämmkork (100 kg/m³)</c:v>
                </c:pt>
                <c:pt idx="6">
                  <c:v>Dampfdruck-Ausgleichsschicht / Entspannungsschicht</c:v>
                </c:pt>
                <c:pt idx="7">
                  <c:v>Dampfsperre [sd&gt;1500m]</c:v>
                </c:pt>
                <c:pt idx="8">
                  <c:v>Feuchtigkeitsabdichtung (lt. ÖNORM)</c:v>
                </c:pt>
                <c:pt idx="9">
                  <c:v>Gaulhofer 3-S GM06 Ug=0,6 Wärmeschutzglas</c:v>
                </c:pt>
                <c:pt idx="10">
                  <c:v>Gefälledämmung EPS-W 25 [?=0,031W/mK] i.M.</c:v>
                </c:pt>
                <c:pt idx="11">
                  <c:v>Gipsplatte </c:v>
                </c:pt>
                <c:pt idx="12">
                  <c:v>Gummimatte [s'&lt;100MN/m³]</c:v>
                </c:pt>
                <c:pt idx="13">
                  <c:v>Holz </c:v>
                </c:pt>
                <c:pt idx="14">
                  <c:v>Holz Fichte Lattung (50/80) auf Schwingbügel </c:v>
                </c:pt>
                <c:pt idx="15">
                  <c:v>Holz Lärche Außenwandverkleidung </c:v>
                </c:pt>
                <c:pt idx="16">
                  <c:v>Holzspandämmplatte zementgebunden ( Isozell All-in Prozect Fassadenplatte)</c:v>
                </c:pt>
                <c:pt idx="17">
                  <c:v>Hoz Fichte Lattung (30/60) Hinterlüftet </c:v>
                </c:pt>
                <c:pt idx="18">
                  <c:v>ISOCELL Zellulosefaserdämmstoff</c:v>
                </c:pt>
                <c:pt idx="19">
                  <c:v>Kies i.M.</c:v>
                </c:pt>
                <c:pt idx="20">
                  <c:v>Konstruktionsholz quer ( 60/160)</c:v>
                </c:pt>
                <c:pt idx="21">
                  <c:v>Mauerziegel voll + Normalmauermörtel (1500 kg/m³)</c:v>
                </c:pt>
                <c:pt idx="22">
                  <c:v>MDF</c:v>
                </c:pt>
                <c:pt idx="23">
                  <c:v>Minaralwolle</c:v>
                </c:pt>
                <c:pt idx="24">
                  <c:v>PAROC CGL 20cy Kellerdeckendämmplatte</c:v>
                </c:pt>
                <c:pt idx="25">
                  <c:v>Plattenbelag</c:v>
                </c:pt>
                <c:pt idx="26">
                  <c:v>Putze</c:v>
                </c:pt>
                <c:pt idx="27">
                  <c:v>Schutz- und Filtervlies</c:v>
                </c:pt>
                <c:pt idx="28">
                  <c:v>Spachtelung</c:v>
                </c:pt>
                <c:pt idx="29">
                  <c:v>Stahlbeton</c:v>
                </c:pt>
                <c:pt idx="30">
                  <c:v>Stahlbeton 140 kg/m³ Armierungsstahl (1,75 Vol.%)</c:v>
                </c:pt>
                <c:pt idx="31">
                  <c:v>Textil-Belag, Teppich (200 kg/m³)</c:v>
                </c:pt>
                <c:pt idx="32">
                  <c:v>Unterputz</c:v>
                </c:pt>
                <c:pt idx="33">
                  <c:v>Zellulose</c:v>
                </c:pt>
                <c:pt idx="34">
                  <c:v>Zement- und Zementfließestrich (1800 kg/m³)</c:v>
                </c:pt>
                <c:pt idx="35">
                  <c:v>Aushub</c:v>
                </c:pt>
                <c:pt idx="36">
                  <c:v>Baugrubensicherung</c:v>
                </c:pt>
                <c:pt idx="37">
                  <c:v>Gebäude gesamt</c:v>
                </c:pt>
                <c:pt idx="38">
                  <c:v>Betrieb</c:v>
                </c:pt>
                <c:pt idx="39">
                  <c:v>Gesamte Emissionen</c:v>
                </c:pt>
              </c:strCache>
            </c:strRef>
          </c:cat>
          <c:val>
            <c:numRef>
              <c:f>(Gesamtauswertung!$V$11:$V$45,Gesamtauswertung!$Z$3:$Z$7)</c:f>
              <c:numCache>
                <c:formatCode>General</c:formatCode>
                <c:ptCount val="40"/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7">
                  <c:v>0</c:v>
                </c:pt>
                <c:pt idx="21">
                  <c:v>0</c:v>
                </c:pt>
                <c:pt idx="23">
                  <c:v>0</c:v>
                </c:pt>
                <c:pt idx="30">
                  <c:v>0</c:v>
                </c:pt>
                <c:pt idx="35" formatCode="0.00">
                  <c:v>#N/A</c:v>
                </c:pt>
                <c:pt idx="36" formatCode="0.00">
                  <c:v>#N/A</c:v>
                </c:pt>
                <c:pt idx="37" formatCode="0.00">
                  <c:v>#N/A</c:v>
                </c:pt>
                <c:pt idx="38" formatCode="0.00">
                  <c:v>119645</c:v>
                </c:pt>
                <c:pt idx="39" formatCode="0.00">
                  <c:v>4642190.7686283858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 Polystyrol EPS</c:v>
                </c:pt>
                <c:pt idx="1">
                  <c:v>Bitumen</c:v>
                </c:pt>
                <c:pt idx="2">
                  <c:v>Brettsperrholz </c:v>
                </c:pt>
                <c:pt idx="3">
                  <c:v>Gummimatte [s'&lt;100MN/m³]</c:v>
                </c:pt>
                <c:pt idx="4">
                  <c:v>Gefälledämmung EPS-W 25 [?=0,031W/mK] i.M.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721685.9</c:v>
                </c:pt>
                <c:pt idx="1">
                  <c:v>721685.9</c:v>
                </c:pt>
                <c:pt idx="2">
                  <c:v>559584.14399999997</c:v>
                </c:pt>
                <c:pt idx="3">
                  <c:v>407474.96200000006</c:v>
                </c:pt>
                <c:pt idx="4">
                  <c:v>403033.81799999997</c:v>
                </c:pt>
                <c:pt idx="5">
                  <c:v>2813464.7240000004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 Polystyrol EPS</c:v>
                </c:pt>
                <c:pt idx="1">
                  <c:v>Bitumen</c:v>
                </c:pt>
                <c:pt idx="2">
                  <c:v>Brettsperrholz </c:v>
                </c:pt>
                <c:pt idx="3">
                  <c:v>Gummimatte [s'&lt;100MN/m³]</c:v>
                </c:pt>
                <c:pt idx="4">
                  <c:v>Gefälledämmung EPS-W 25 [?=0,031W/mK] i.M.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212.39492361110985</c:v>
                </c:pt>
                <c:pt idx="1">
                  <c:v>88.755953124999465</c:v>
                </c:pt>
                <c:pt idx="2">
                  <c:v>597.36078062499644</c:v>
                </c:pt>
                <c:pt idx="3">
                  <c:v>91.754560624999456</c:v>
                </c:pt>
                <c:pt idx="4">
                  <c:v>228.32473611110973</c:v>
                </c:pt>
                <c:pt idx="5">
                  <c:v>1218.590954097215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Gipsplatte </c:v>
                </c:pt>
                <c:pt idx="1">
                  <c:v>Unterputz</c:v>
                </c:pt>
                <c:pt idx="2">
                  <c:v>Zement- und Zementfließestrich (1800 kg/m³)</c:v>
                </c:pt>
                <c:pt idx="3">
                  <c:v>Hoz Fichte Lattung (30/60) Hinterlüftet </c:v>
                </c:pt>
                <c:pt idx="4">
                  <c:v>Holz 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2220.5720000000001</c:v>
                </c:pt>
                <c:pt idx="4">
                  <c:v>4441.1440000000002</c:v>
                </c:pt>
                <c:pt idx="5">
                  <c:v>6661.7160000000003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Gipsplatte </c:v>
                </c:pt>
                <c:pt idx="1">
                  <c:v>Unterputz</c:v>
                </c:pt>
                <c:pt idx="2">
                  <c:v>Zement- und Zementfließestrich (1800 kg/m³)</c:v>
                </c:pt>
                <c:pt idx="3">
                  <c:v>Hoz Fichte Lattung (30/60) Hinterlüftet </c:v>
                </c:pt>
                <c:pt idx="4">
                  <c:v>Holz 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200.87910937499879</c:v>
                </c:pt>
                <c:pt idx="1">
                  <c:v>229.19104687499862</c:v>
                </c:pt>
                <c:pt idx="2">
                  <c:v>2128.9881374999877</c:v>
                </c:pt>
                <c:pt idx="3">
                  <c:v>12.923321249999924</c:v>
                </c:pt>
                <c:pt idx="4">
                  <c:v>3.8884278124999763</c:v>
                </c:pt>
                <c:pt idx="5">
                  <c:v>2575.8700428124853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4401062.6754000001</c:v>
                </c:pt>
                <c:pt idx="1">
                  <c:v>44263.073228385852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4445325.7486283863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2814683.3149540974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9237.5860428124852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0.94805726320901917</c:v>
                </c:pt>
                <c:pt idx="1">
                  <c:v>9.5349535239940449E-3</c:v>
                </c:pt>
                <c:pt idx="2">
                  <c:v>1.6634391787999692E-2</c:v>
                </c:pt>
                <c:pt idx="3">
                  <c:v>2.5773391478987225E-2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1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866775</xdr:colOff>
          <xdr:row>23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1200150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64</xdr:row>
      <xdr:rowOff>135513</xdr:rowOff>
    </xdr:from>
    <xdr:to>
      <xdr:col>20</xdr:col>
      <xdr:colOff>523875</xdr:colOff>
      <xdr:row>153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12765663"/>
              <a:ext cx="17287876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4401,06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44,26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4642,19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4445,33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0,00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46" tableType="queryTable" totalsRowCount="1">
  <sortState xmlns:xlrd2="http://schemas.microsoft.com/office/spreadsheetml/2017/richdata2" ref="L11:W45">
    <sortCondition ref="L11:L45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7"/>
    <tableColumn id="6" xr3:uid="{0AADD9FA-EBC9-43C4-AC14-D6E8E42D12EF}" uniqueName="6" name="Produktion" totalsRowFunction="sum" queryTableFieldId="6" dataDxfId="6" totalsRowDxfId="8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54:M61" totalsRowShown="0">
  <autoFilter ref="L54:M61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54:P61" totalsRowShown="0">
  <autoFilter ref="O54:P61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5" tableType="queryTable" totalsRowShown="0">
  <autoFilter ref="B13:C15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34" tableType="queryTable" totalsRowCount="1">
  <autoFilter ref="A1:J33" xr:uid="{F21B1B58-137E-4C2F-B601-E25DC3255E36}"/>
  <sortState xmlns:xlrd2="http://schemas.microsoft.com/office/spreadsheetml/2017/richdata2" ref="A2:J33">
    <sortCondition ref="A1:A33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5" dataCellStyle="Prozent">
      <calculatedColumnFormula>#REF!/#REF!</calculatedColumnFormula>
    </tableColumn>
    <tableColumn id="8" xr3:uid="{72AD3661-8964-45F1-B7D9-D2FD7618316A}" uniqueName="8" name="LKW-Fahrten" queryTableFieldId="8" dataDxfId="4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3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6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2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4" tableType="queryTable" totalsRowCount="1">
  <autoFilter ref="A1:N3" xr:uid="{DF3A88FC-DA38-4D0E-ADF7-2EA3DCFBAAF2}"/>
  <sortState xmlns:xlrd2="http://schemas.microsoft.com/office/spreadsheetml/2017/richdata2" ref="A2:N3">
    <sortCondition ref="A1:A3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'[kg']]]*$H$22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Kennzahlen'!$F$5)*(1/$A$22)</calculatedColumnFormula>
    </tableColumn>
    <tableColumn id="9" xr3:uid="{F559BF5A-A4EC-47DA-AC66-B40389AEB135}" uniqueName="9" name="Distanz [km]" queryTableFieldId="9" dataDxfId="1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5">
      <calculatedColumnFormula>Beton[[#This Row],[Summe Masse '[kg']]]*$H$25</calculatedColumnFormula>
    </tableColumn>
    <tableColumn id="11" xr3:uid="{EB734BD6-9A43-41E7-BF21-BE90AB4CAABF}" uniqueName="11" name="RCC C25/30 CEM I" totalsRowFunction="sum" queryTableFieldId="17">
      <calculatedColumnFormula>Beton[[#This Row],[GWP]]*((100-$E$8)/100)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Row],[GWP]]*((100-$E$9)/100)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Row],[GWP]]*((100-$E$10)/100)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Row],[GWP]]*((100-$E$11)/100)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6:B13" totalsRowShown="0">
  <autoFilter ref="A6:B13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4" tableType="queryTable" totalsRowCount="1">
  <autoFilter ref="A12:K13" xr:uid="{BFDFCE97-BB3C-4C8A-98EF-9C3A1F28EFF1}"/>
  <tableColumns count="11">
    <tableColumn id="1" xr3:uid="{6B7931D6-6D5A-479E-B8B8-FAD968BC42FA}" uniqueName="1" name="Material" queryTableFieldId="1" dataDxfId="54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0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53">
      <calculatedColumnFormula>IF(Fenster[[#This Row],[Art]] = "Glas", $B$3, $B$10)</calculatedColumnFormula>
    </tableColumn>
    <tableColumn id="3" xr3:uid="{6283F7ED-FCE2-4662-9F5D-F8D884982F05}" uniqueName="3" name="Masse [kg]" queryTableFieldId="12" dataDxfId="52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51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50">
      <calculatedColumnFormula>IF(Fenster[[#This Row],[Art]] = "Glas", $B$5,$B$8)</calculatedColumnFormula>
    </tableColumn>
    <tableColumn id="11" xr3:uid="{86AA7D20-0DAA-4621-85FF-7329F1137AD9}" uniqueName="11" name="LKW-Fahrten" queryTableFieldId="14" dataDxfId="49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8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7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03"/>
  <sheetViews>
    <sheetView showGridLines="0" tabSelected="1" zoomScale="70" zoomScaleNormal="70" workbookViewId="0">
      <selection activeCell="K17" sqref="K17"/>
    </sheetView>
  </sheetViews>
  <sheetFormatPr baseColWidth="10" defaultColWidth="11.42578125" defaultRowHeight="15" outlineLevelCol="1" x14ac:dyDescent="0.25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76" bestFit="1" customWidth="1"/>
    <col min="13" max="13" width="17.42578125" bestFit="1" customWidth="1" outlineLevel="1"/>
    <col min="14" max="14" width="31" bestFit="1" customWidth="1" outlineLevel="1"/>
    <col min="15" max="15" width="31" bestFit="1" customWidth="1"/>
    <col min="16" max="16" width="22.42578125" bestFit="1" customWidth="1"/>
    <col min="17" max="17" width="23" bestFit="1" customWidth="1"/>
    <col min="18" max="18" width="22.42578125" bestFit="1" customWidth="1"/>
    <col min="19" max="19" width="23" bestFit="1" customWidth="1"/>
    <col min="20" max="20" width="40.140625" bestFit="1" customWidth="1"/>
    <col min="21" max="21" width="14" bestFit="1" customWidth="1"/>
    <col min="22" max="22" width="7.7109375" bestFit="1" customWidth="1"/>
    <col min="23" max="23" width="14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 x14ac:dyDescent="0.25"/>
    <row r="2" spans="1:26" ht="23.25" x14ac:dyDescent="0.3">
      <c r="B2" s="373" t="s">
        <v>0</v>
      </c>
      <c r="C2" s="374"/>
      <c r="D2" s="374"/>
      <c r="E2" s="374"/>
      <c r="F2" s="374"/>
      <c r="G2" s="374"/>
      <c r="H2" s="374"/>
      <c r="I2" s="374" t="b">
        <v>0</v>
      </c>
      <c r="J2" s="375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 x14ac:dyDescent="0.25">
      <c r="B3" s="376" t="s">
        <v>5</v>
      </c>
      <c r="C3" s="377"/>
      <c r="D3" s="377" t="b">
        <v>0</v>
      </c>
      <c r="E3" s="378"/>
      <c r="F3" s="168"/>
      <c r="G3" s="376" t="s">
        <v>6</v>
      </c>
      <c r="H3" s="379"/>
      <c r="I3" s="379" t="b">
        <v>0</v>
      </c>
      <c r="J3" s="380"/>
      <c r="L3" s="7" t="s">
        <v>7</v>
      </c>
      <c r="O3" s="21" t="e">
        <f>IF($I$7=0,#N/A,$I$7)</f>
        <v>#N/A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 x14ac:dyDescent="0.25">
      <c r="B4" s="356"/>
      <c r="C4" s="355" t="s">
        <v>1136</v>
      </c>
      <c r="D4" s="328" t="s">
        <v>3</v>
      </c>
      <c r="E4" s="357" t="b">
        <v>0</v>
      </c>
      <c r="F4" s="169"/>
      <c r="G4" s="182" t="s">
        <v>7</v>
      </c>
      <c r="H4" s="182"/>
      <c r="I4" s="182"/>
      <c r="J4" s="183"/>
      <c r="L4" s="7" t="s">
        <v>8</v>
      </c>
      <c r="O4" t="e">
        <f>IF($I$13=0,#N/A,$I$13)</f>
        <v>#N/A</v>
      </c>
      <c r="Y4" t="e">
        <f>IF($I$11=0,#N/A,$I$11)</f>
        <v>#N/A</v>
      </c>
      <c r="Z4" s="130" t="e">
        <v>#N/A</v>
      </c>
    </row>
    <row r="5" spans="1:26" x14ac:dyDescent="0.25">
      <c r="A5">
        <v>1</v>
      </c>
      <c r="B5" s="184"/>
      <c r="C5" s="184">
        <f>VLOOKUP(D4, Ökobeton11[#All], 2, FALSE)</f>
        <v>4401062.6754000001</v>
      </c>
      <c r="D5" s="365">
        <f>IF($E$4,C5-Materialien_Blatt[[#Totals],[GWP]],)</f>
        <v>0</v>
      </c>
      <c r="E5" s="185" t="s">
        <v>9</v>
      </c>
      <c r="F5" s="169"/>
      <c r="G5" s="244" t="s">
        <v>10</v>
      </c>
      <c r="H5" s="244"/>
      <c r="I5" s="245">
        <v>3000</v>
      </c>
      <c r="J5" s="246" t="s">
        <v>11</v>
      </c>
      <c r="K5" s="282">
        <v>10</v>
      </c>
      <c r="L5" s="7" t="s">
        <v>12</v>
      </c>
      <c r="O5" s="86">
        <f>IF($D$10=0,#N/A,$D$10)</f>
        <v>44263.073228385852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4401062.6754000001</v>
      </c>
      <c r="Z5" s="130" t="e">
        <v>#N/A</v>
      </c>
    </row>
    <row r="6" spans="1:26" x14ac:dyDescent="0.25">
      <c r="A6">
        <v>2</v>
      </c>
      <c r="B6" s="229" t="s">
        <v>13</v>
      </c>
      <c r="C6" s="230"/>
      <c r="D6" s="358">
        <f>Materialien_Blatt[[#Totals],[Produktion]]</f>
        <v>4401062.6754000001</v>
      </c>
      <c r="E6" s="231" t="s">
        <v>14</v>
      </c>
      <c r="F6" s="169"/>
      <c r="G6" s="244" t="s">
        <v>15</v>
      </c>
      <c r="H6" s="244"/>
      <c r="I6" s="245">
        <v>50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 x14ac:dyDescent="0.25">
      <c r="A7">
        <v>3</v>
      </c>
      <c r="B7" s="186" t="s">
        <v>18</v>
      </c>
      <c r="C7" s="184"/>
      <c r="D7" s="188">
        <f>D6/D12</f>
        <v>0.9900427829744437</v>
      </c>
      <c r="E7" s="228"/>
      <c r="F7" s="169"/>
      <c r="G7" s="238" t="s">
        <v>19</v>
      </c>
      <c r="H7" s="238"/>
      <c r="I7" s="240">
        <f>IF($I$3=TRUE,BauGrube!K9,0)</f>
        <v>0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4642190.7686283858</v>
      </c>
    </row>
    <row r="8" spans="1:26" x14ac:dyDescent="0.25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111</v>
      </c>
      <c r="J8" s="249"/>
    </row>
    <row r="9" spans="1:26" x14ac:dyDescent="0.25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10</v>
      </c>
      <c r="J9" s="249" t="s">
        <v>26</v>
      </c>
      <c r="K9" s="282">
        <v>12</v>
      </c>
    </row>
    <row r="10" spans="1:26" x14ac:dyDescent="0.25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44263.073228385852</v>
      </c>
      <c r="E10" s="231" t="s">
        <v>20</v>
      </c>
      <c r="F10" s="169"/>
      <c r="G10" s="247" t="s">
        <v>28</v>
      </c>
      <c r="H10" s="247"/>
      <c r="I10" s="248">
        <v>500</v>
      </c>
      <c r="J10" s="249" t="s">
        <v>26</v>
      </c>
      <c r="K10" s="283">
        <v>13</v>
      </c>
      <c r="L10" t="s">
        <v>29</v>
      </c>
      <c r="M10" t="s">
        <v>3</v>
      </c>
      <c r="N10" t="s">
        <v>1130</v>
      </c>
      <c r="O10" t="s">
        <v>1131</v>
      </c>
      <c r="P10" t="s">
        <v>1145</v>
      </c>
      <c r="Q10" t="s">
        <v>1146</v>
      </c>
      <c r="R10" t="s">
        <v>1147</v>
      </c>
      <c r="S10" t="s">
        <v>1148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 x14ac:dyDescent="0.3">
      <c r="A11">
        <v>7</v>
      </c>
      <c r="B11" s="189" t="s">
        <v>18</v>
      </c>
      <c r="C11" s="190"/>
      <c r="D11" s="191">
        <f>D10/D12</f>
        <v>9.957217025556183E-3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1193</v>
      </c>
      <c r="M11">
        <v>721685.9</v>
      </c>
      <c r="N11">
        <v>721685.9</v>
      </c>
      <c r="O11">
        <v>721685.9</v>
      </c>
      <c r="P11">
        <v>721685.9</v>
      </c>
      <c r="Q11">
        <v>721685.9</v>
      </c>
      <c r="R11">
        <v>721685.9</v>
      </c>
      <c r="S11">
        <v>721685.9</v>
      </c>
      <c r="T11">
        <v>212.39492361110985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721685.9</v>
      </c>
      <c r="W11">
        <f>Materialien_Blatt[[#This Row],[Transportemissionen '[kgCO2 eq.']]]+Materialien_Blatt[[#This Row],[Produktion]]</f>
        <v>721898.2949236111</v>
      </c>
    </row>
    <row r="12" spans="1:26" ht="16.5" thickTop="1" thickBot="1" x14ac:dyDescent="0.3">
      <c r="B12" s="186" t="s">
        <v>32</v>
      </c>
      <c r="C12" s="184"/>
      <c r="D12" s="187">
        <f>SUM(D6,D10)</f>
        <v>4445325.7486283863</v>
      </c>
      <c r="E12" s="185" t="s">
        <v>20</v>
      </c>
      <c r="F12" s="169"/>
      <c r="G12" s="244" t="s">
        <v>15</v>
      </c>
      <c r="H12" s="244"/>
      <c r="I12" s="250">
        <v>100</v>
      </c>
      <c r="J12" s="246" t="s">
        <v>16</v>
      </c>
      <c r="K12" s="282">
        <v>14</v>
      </c>
      <c r="L12" t="s">
        <v>1194</v>
      </c>
      <c r="M12">
        <v>721685.9</v>
      </c>
      <c r="N12">
        <v>721685.9</v>
      </c>
      <c r="O12">
        <v>721685.9</v>
      </c>
      <c r="P12">
        <v>721685.9</v>
      </c>
      <c r="Q12">
        <v>721685.9</v>
      </c>
      <c r="R12">
        <v>721685.9</v>
      </c>
      <c r="S12">
        <v>721685.9</v>
      </c>
      <c r="T12">
        <v>88.755953124999465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721685.9</v>
      </c>
      <c r="W12">
        <f>Materialien_Blatt[[#This Row],[Transportemissionen '[kgCO2 eq.']]]+Materialien_Blatt[[#This Row],[Produktion]]</f>
        <v>721774.65595312498</v>
      </c>
    </row>
    <row r="13" spans="1:26" ht="16.5" thickTop="1" thickBot="1" x14ac:dyDescent="0.3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0</v>
      </c>
      <c r="J13" s="243" t="s">
        <v>20</v>
      </c>
      <c r="L13" t="s">
        <v>1195</v>
      </c>
      <c r="M13">
        <v>559584.14399999997</v>
      </c>
      <c r="N13">
        <v>559584.14399999997</v>
      </c>
      <c r="O13">
        <v>559584.14399999997</v>
      </c>
      <c r="P13">
        <v>559584.14399999997</v>
      </c>
      <c r="Q13">
        <v>559584.14399999997</v>
      </c>
      <c r="R13">
        <v>559584.14399999997</v>
      </c>
      <c r="S13">
        <v>559584.14399999997</v>
      </c>
      <c r="T13">
        <v>597.36078062499644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559584.14399999997</v>
      </c>
      <c r="W13">
        <f>Materialien_Blatt[[#This Row],[Transportemissionen '[kgCO2 eq.']]]+Materialien_Blatt[[#This Row],[Produktion]]</f>
        <v>560181.50478062499</v>
      </c>
    </row>
    <row r="14" spans="1:26" ht="15.75" thickTop="1" x14ac:dyDescent="0.25">
      <c r="A14">
        <v>8</v>
      </c>
      <c r="B14" s="383" t="s">
        <v>33</v>
      </c>
      <c r="C14" s="384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0</v>
      </c>
      <c r="J14" s="253" t="s">
        <v>20</v>
      </c>
      <c r="L14" t="s">
        <v>1205</v>
      </c>
      <c r="M14">
        <v>314210.93800000002</v>
      </c>
      <c r="N14">
        <v>314210.93800000002</v>
      </c>
      <c r="O14">
        <v>314210.93800000002</v>
      </c>
      <c r="P14">
        <v>314210.93800000002</v>
      </c>
      <c r="Q14">
        <v>314210.93800000002</v>
      </c>
      <c r="R14">
        <v>314210.93800000002</v>
      </c>
      <c r="S14">
        <v>314210.93800000002</v>
      </c>
      <c r="T14">
        <v>494.91655062499706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314210.93800000002</v>
      </c>
      <c r="W14">
        <f>Materialien_Blatt[[#This Row],[Transportemissionen '[kgCO2 eq.']]]+Materialien_Blatt[[#This Row],[Produktion]]</f>
        <v>314705.85455062502</v>
      </c>
    </row>
    <row r="15" spans="1:26" ht="18.75" x14ac:dyDescent="0.25">
      <c r="B15" s="186" t="str">
        <f>_xlfn.XLOOKUP(D15,Materialien_Blatt[Summe],Materialien_Blatt[Material])</f>
        <v xml:space="preserve"> Polystyrol EPS</v>
      </c>
      <c r="C15" s="184"/>
      <c r="D15" s="187">
        <f>LARGE(Materialien_Blatt[Summe],ROW(A1))</f>
        <v>721898.2949236111</v>
      </c>
      <c r="E15" s="194">
        <f t="shared" ref="E15:E20" si="0">D15/$Y$102</f>
        <v>0.1623949145113503</v>
      </c>
      <c r="F15" s="169"/>
      <c r="G15" s="376" t="s">
        <v>35</v>
      </c>
      <c r="H15" s="379"/>
      <c r="I15" s="379" t="b">
        <v>1</v>
      </c>
      <c r="J15" s="380"/>
      <c r="L15" t="s">
        <v>1192</v>
      </c>
      <c r="M15">
        <v>47853.3266</v>
      </c>
      <c r="N15">
        <v>47853.3266</v>
      </c>
      <c r="O15">
        <v>47853.3266</v>
      </c>
      <c r="P15">
        <v>47853.3266</v>
      </c>
      <c r="Q15">
        <v>47853.3266</v>
      </c>
      <c r="R15">
        <v>47853.3266</v>
      </c>
      <c r="S15">
        <v>47853.3266</v>
      </c>
      <c r="T15">
        <v>71.683228749999557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47853.3266</v>
      </c>
      <c r="W15">
        <f>Materialien_Blatt[[#This Row],[Transportemissionen '[kgCO2 eq.']]]+Materialien_Blatt[[#This Row],[Produktion]]</f>
        <v>47925.00982875</v>
      </c>
    </row>
    <row r="16" spans="1:26" x14ac:dyDescent="0.25">
      <c r="B16" s="186" t="str">
        <f>_xlfn.XLOOKUP(D16,Materialien_Blatt[Summe],Materialien_Blatt[Material])</f>
        <v>Bitumen</v>
      </c>
      <c r="C16" s="184"/>
      <c r="D16" s="187">
        <f>LARGE(Materialien_Blatt[Summe],ROW(A2))</f>
        <v>721774.65595312498</v>
      </c>
      <c r="E16" s="194">
        <f t="shared" si="0"/>
        <v>0.16236710125817663</v>
      </c>
      <c r="F16" s="169"/>
      <c r="G16" s="225" t="s">
        <v>36</v>
      </c>
      <c r="H16" s="222"/>
      <c r="I16" s="222"/>
      <c r="J16" s="223"/>
      <c r="L16" t="s">
        <v>1208</v>
      </c>
      <c r="M16">
        <v>39970.296000000002</v>
      </c>
      <c r="N16">
        <v>39970.296000000002</v>
      </c>
      <c r="O16">
        <v>39970.296000000002</v>
      </c>
      <c r="P16">
        <v>39970.296000000002</v>
      </c>
      <c r="Q16">
        <v>39970.296000000002</v>
      </c>
      <c r="R16">
        <v>39970.296000000002</v>
      </c>
      <c r="S16">
        <v>39970.296000000002</v>
      </c>
      <c r="T16">
        <v>78.851670138888423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39970.296000000002</v>
      </c>
      <c r="W16">
        <f>Materialien_Blatt[[#This Row],[Transportemissionen '[kgCO2 eq.']]]+Materialien_Blatt[[#This Row],[Produktion]]</f>
        <v>40049.147670138889</v>
      </c>
    </row>
    <row r="17" spans="1:23" x14ac:dyDescent="0.25">
      <c r="B17" s="186" t="str">
        <f>_xlfn.XLOOKUP(D17,Materialien_Blatt[Summe],Materialien_Blatt[Material])</f>
        <v xml:space="preserve">Brettsperrholz </v>
      </c>
      <c r="C17" s="184"/>
      <c r="D17" s="187">
        <f>LARGE(Materialien_Blatt[Summe],ROW(A3))</f>
        <v>560181.50478062499</v>
      </c>
      <c r="E17" s="194">
        <f t="shared" si="0"/>
        <v>0.12601585045898381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1190</v>
      </c>
      <c r="M17">
        <v>15544.003999999999</v>
      </c>
      <c r="N17">
        <v>15544.003999999999</v>
      </c>
      <c r="O17">
        <v>15544.003999999999</v>
      </c>
      <c r="P17">
        <v>15544.003999999999</v>
      </c>
      <c r="Q17">
        <v>15544.003999999999</v>
      </c>
      <c r="R17">
        <v>15544.003999999999</v>
      </c>
      <c r="S17">
        <v>15544.003999999999</v>
      </c>
      <c r="T17">
        <v>5.0656571874999701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15544.003999999999</v>
      </c>
      <c r="W17">
        <f>Materialien_Blatt[[#This Row],[Transportemissionen '[kgCO2 eq.']]]+Materialien_Blatt[[#This Row],[Produktion]]</f>
        <v>15549.0696571875</v>
      </c>
    </row>
    <row r="18" spans="1:23" x14ac:dyDescent="0.25">
      <c r="B18" s="186" t="str">
        <f>_xlfn.XLOOKUP(D18,Materialien_Blatt[Summe],Materialien_Blatt[Material])</f>
        <v>Gummimatte [s'&lt;100MN/m³]</v>
      </c>
      <c r="C18" s="184"/>
      <c r="D18" s="187">
        <f>LARGE(Materialien_Blatt[Summe],ROW(A4))</f>
        <v>407566.71656062506</v>
      </c>
      <c r="E18" s="194">
        <f t="shared" si="0"/>
        <v>9.1684330824660154E-2</v>
      </c>
      <c r="F18" s="169"/>
      <c r="G18" s="218"/>
      <c r="H18" s="219"/>
      <c r="I18" s="219"/>
      <c r="J18" s="220"/>
      <c r="L18" t="s">
        <v>1191</v>
      </c>
      <c r="M18">
        <v>45521.725999999995</v>
      </c>
      <c r="N18">
        <v>45521.725999999995</v>
      </c>
      <c r="O18">
        <v>45521.725999999995</v>
      </c>
      <c r="P18">
        <v>45521.725999999995</v>
      </c>
      <c r="Q18">
        <v>45521.725999999995</v>
      </c>
      <c r="R18">
        <v>45521.725999999995</v>
      </c>
      <c r="S18">
        <v>45521.725999999995</v>
      </c>
      <c r="T18">
        <v>3.0584312499999822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45521.725999999995</v>
      </c>
      <c r="V18">
        <v>0</v>
      </c>
      <c r="W18">
        <f>Materialien_Blatt[[#This Row],[Transportemissionen '[kgCO2 eq.']]]+Materialien_Blatt[[#This Row],[Produktion]]</f>
        <v>45524.784431249995</v>
      </c>
    </row>
    <row r="19" spans="1:23" ht="15.75" thickBot="1" x14ac:dyDescent="0.3">
      <c r="B19" s="189" t="str">
        <f>_xlfn.XLOOKUP(D19,Materialien_Blatt[Summe],Materialien_Blatt[Material])</f>
        <v>Gefälledämmung EPS-W 25 [?=0,031W/mK] i.M.</v>
      </c>
      <c r="C19" s="190"/>
      <c r="D19" s="195">
        <f>LARGE(Materialien_Blatt[Summe],ROW(A5))</f>
        <v>403262.14273611107</v>
      </c>
      <c r="E19" s="196">
        <f t="shared" si="0"/>
        <v>9.0715993729039629E-2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1189</v>
      </c>
      <c r="M19">
        <v>11102.86</v>
      </c>
      <c r="N19">
        <v>11102.86</v>
      </c>
      <c r="O19">
        <v>11102.86</v>
      </c>
      <c r="P19">
        <v>11102.86</v>
      </c>
      <c r="Q19">
        <v>11102.86</v>
      </c>
      <c r="R19">
        <v>11102.86</v>
      </c>
      <c r="S19">
        <v>11102.86</v>
      </c>
      <c r="T19">
        <v>150.53487312499908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11102.86</v>
      </c>
      <c r="V19">
        <v>0</v>
      </c>
      <c r="W19">
        <f>Materialien_Blatt[[#This Row],[Transportemissionen '[kgCO2 eq.']]]+Materialien_Blatt[[#This Row],[Produktion]]</f>
        <v>11253.394873125</v>
      </c>
    </row>
    <row r="20" spans="1:23" ht="15.75" thickTop="1" x14ac:dyDescent="0.25">
      <c r="B20" s="197" t="s">
        <v>32</v>
      </c>
      <c r="C20" s="198"/>
      <c r="D20" s="199">
        <f>SUM(D15:D19)</f>
        <v>2814683.3149540974</v>
      </c>
      <c r="E20" s="200">
        <f t="shared" si="0"/>
        <v>0.6331781907822106</v>
      </c>
      <c r="F20" s="275"/>
      <c r="G20" s="218" t="s">
        <v>715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1180</v>
      </c>
      <c r="M20">
        <v>174203.87340000001</v>
      </c>
      <c r="N20">
        <v>174203.87340000001</v>
      </c>
      <c r="O20">
        <v>174203.87340000001</v>
      </c>
      <c r="P20">
        <v>174203.87340000001</v>
      </c>
      <c r="Q20">
        <v>174203.87340000001</v>
      </c>
      <c r="R20">
        <v>174203.87340000001</v>
      </c>
      <c r="S20">
        <v>174203.87340000001</v>
      </c>
      <c r="T20">
        <v>626.12251852499628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174203.87340000001</v>
      </c>
      <c r="W20">
        <f>Materialien_Blatt[[#This Row],[Transportemissionen '[kgCO2 eq.']]]+Materialien_Blatt[[#This Row],[Produktion]]</f>
        <v>174829.995918525</v>
      </c>
    </row>
    <row r="21" spans="1:23" x14ac:dyDescent="0.25">
      <c r="B21" s="186"/>
      <c r="C21" s="184"/>
      <c r="D21" s="187"/>
      <c r="E21" s="194"/>
      <c r="F21" s="275"/>
      <c r="G21" s="219" t="s">
        <v>994</v>
      </c>
      <c r="H21" s="323"/>
      <c r="I21" s="363">
        <f>'Container-Dorf'!E26</f>
        <v>27502.439999999991</v>
      </c>
      <c r="J21" s="324" t="s">
        <v>20</v>
      </c>
      <c r="K21" s="277"/>
      <c r="L21" t="s">
        <v>1182</v>
      </c>
      <c r="M21">
        <v>403033.81799999997</v>
      </c>
      <c r="N21">
        <v>403033.81799999997</v>
      </c>
      <c r="O21">
        <v>403033.81799999997</v>
      </c>
      <c r="P21">
        <v>403033.81799999997</v>
      </c>
      <c r="Q21">
        <v>403033.81799999997</v>
      </c>
      <c r="R21">
        <v>403033.81799999997</v>
      </c>
      <c r="S21">
        <v>403033.81799999997</v>
      </c>
      <c r="T21">
        <v>228.32473611110973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403033.81799999997</v>
      </c>
      <c r="V21">
        <v>0</v>
      </c>
      <c r="W21">
        <f>Materialien_Blatt[[#This Row],[Transportemissionen '[kgCO2 eq.']]]+Materialien_Blatt[[#This Row],[Produktion]]</f>
        <v>403262.14273611107</v>
      </c>
    </row>
    <row r="22" spans="1:23" x14ac:dyDescent="0.25">
      <c r="A22">
        <v>9</v>
      </c>
      <c r="B22" s="381" t="s">
        <v>41</v>
      </c>
      <c r="C22" s="382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1183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200.87910937499879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2">
        <f>Materialien_Blatt[[#This Row],[Transportemissionen '[kgCO2 eq.']]]+Materialien_Blatt[[#This Row],[Produktion]]</f>
        <v>200.87910937499879</v>
      </c>
    </row>
    <row r="23" spans="1:23" ht="18.75" x14ac:dyDescent="0.25">
      <c r="B23" s="186" t="str">
        <f>_xlfn.XLOOKUP(D23,Materialien_Blatt[Summe],Materialien_Blatt[Material])</f>
        <v xml:space="preserve">Gipsplatte </v>
      </c>
      <c r="C23" s="184"/>
      <c r="D23" s="187">
        <f>SMALL(Materialien_Blatt[Summe],ROW(A1))</f>
        <v>200.87910937499879</v>
      </c>
      <c r="E23" s="194">
        <f t="shared" ref="E23:E28" si="1">D23/$Y$103</f>
        <v>4.5383000935907735E-3</v>
      </c>
      <c r="F23" s="169"/>
      <c r="G23" s="376" t="s">
        <v>40</v>
      </c>
      <c r="H23" s="377"/>
      <c r="I23" s="377" t="b">
        <v>1</v>
      </c>
      <c r="J23" s="385"/>
      <c r="L23" t="s">
        <v>1187</v>
      </c>
      <c r="M23">
        <v>407474.96200000006</v>
      </c>
      <c r="N23">
        <v>407474.96200000006</v>
      </c>
      <c r="O23">
        <v>407474.96200000006</v>
      </c>
      <c r="P23">
        <v>407474.96200000006</v>
      </c>
      <c r="Q23">
        <v>407474.96200000006</v>
      </c>
      <c r="R23">
        <v>407474.96200000006</v>
      </c>
      <c r="S23">
        <v>407474.96200000006</v>
      </c>
      <c r="T23">
        <v>91.754560624999456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407474.96200000006</v>
      </c>
      <c r="V23">
        <v>0</v>
      </c>
      <c r="W23">
        <f>Materialien_Blatt[[#This Row],[Transportemissionen '[kgCO2 eq.']]]+Materialien_Blatt[[#This Row],[Produktion]]</f>
        <v>407566.71656062506</v>
      </c>
    </row>
    <row r="24" spans="1:23" x14ac:dyDescent="0.25">
      <c r="B24" s="186" t="str">
        <f>_xlfn.XLOOKUP(D24,Materialien_Blatt[Summe],Materialien_Blatt[Material])</f>
        <v>Unterputz</v>
      </c>
      <c r="C24" s="184"/>
      <c r="D24" s="187">
        <f>SMALL(Materialien_Blatt[Summe],ROW(A2))</f>
        <v>229.19104687499862</v>
      </c>
      <c r="E24" s="194">
        <f t="shared" si="1"/>
        <v>5.1779289181397977E-3</v>
      </c>
      <c r="F24" s="169"/>
      <c r="G24" s="184" t="s">
        <v>43</v>
      </c>
      <c r="H24" s="184"/>
      <c r="I24" s="360" t="s">
        <v>61</v>
      </c>
      <c r="J24" s="185"/>
      <c r="L24" t="s">
        <v>669</v>
      </c>
      <c r="M24">
        <v>4441.1440000000002</v>
      </c>
      <c r="N24">
        <v>4441.1440000000002</v>
      </c>
      <c r="O24">
        <v>4441.1440000000002</v>
      </c>
      <c r="P24">
        <v>4441.1440000000002</v>
      </c>
      <c r="Q24">
        <v>4441.1440000000002</v>
      </c>
      <c r="R24">
        <v>4441.1440000000002</v>
      </c>
      <c r="S24">
        <v>4441.1440000000002</v>
      </c>
      <c r="T24">
        <v>3.8884278124999763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4441.1440000000002</v>
      </c>
      <c r="V24">
        <v>0</v>
      </c>
      <c r="W24">
        <f>Materialien_Blatt[[#This Row],[Transportemissionen '[kgCO2 eq.']]]+Materialien_Blatt[[#This Row],[Produktion]]</f>
        <v>4445.0324278124999</v>
      </c>
    </row>
    <row r="25" spans="1:23" x14ac:dyDescent="0.25">
      <c r="B25" s="186" t="str">
        <f>_xlfn.XLOOKUP(D25,Materialien_Blatt[Summe],Materialien_Blatt[Material])</f>
        <v>Zement- und Zementfließestrich (1800 kg/m³)</v>
      </c>
      <c r="C25" s="184"/>
      <c r="D25" s="187">
        <f>SMALL(Materialien_Blatt[Summe],ROW(A3))</f>
        <v>2128.9881374999877</v>
      </c>
      <c r="E25" s="194">
        <f t="shared" si="1"/>
        <v>4.8098516036493157E-2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1206</v>
      </c>
      <c r="M25">
        <v>4441.1440000000002</v>
      </c>
      <c r="N25">
        <v>4441.1440000000002</v>
      </c>
      <c r="O25">
        <v>4441.1440000000002</v>
      </c>
      <c r="P25">
        <v>4441.1440000000002</v>
      </c>
      <c r="Q25">
        <v>4441.1440000000002</v>
      </c>
      <c r="R25">
        <v>4441.1440000000002</v>
      </c>
      <c r="S25">
        <v>4441.1440000000002</v>
      </c>
      <c r="T25">
        <v>29.16036812499982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4441.1440000000002</v>
      </c>
      <c r="W25">
        <f>Materialien_Blatt[[#This Row],[Transportemissionen '[kgCO2 eq.']]]+Materialien_Blatt[[#This Row],[Produktion]]</f>
        <v>4470.3043681250001</v>
      </c>
    </row>
    <row r="26" spans="1:23" x14ac:dyDescent="0.25">
      <c r="B26" s="186" t="str">
        <f>_xlfn.XLOOKUP(D26,Materialien_Blatt[Summe],Materialien_Blatt[Material])</f>
        <v xml:space="preserve">Hoz Fichte Lattung (30/60) Hinterlüftet </v>
      </c>
      <c r="C26" s="184"/>
      <c r="D26" s="187">
        <f>SMALL(Materialien_Blatt[Summe],ROW(A4))</f>
        <v>2233.49532125</v>
      </c>
      <c r="E26" s="194">
        <f t="shared" si="1"/>
        <v>5.0459562753940507E-2</v>
      </c>
      <c r="F26" s="169"/>
      <c r="G26" s="198" t="b">
        <v>0</v>
      </c>
      <c r="H26" s="198"/>
      <c r="I26" s="202">
        <f>IF($G$26,-'Beton-Vergleich'!B54,)</f>
        <v>0</v>
      </c>
      <c r="J26" s="203" t="s">
        <v>20</v>
      </c>
      <c r="K26" s="37" t="s">
        <v>36</v>
      </c>
      <c r="L26" t="s">
        <v>1201</v>
      </c>
      <c r="M26">
        <v>18874.862000000001</v>
      </c>
      <c r="N26">
        <v>18874.862000000001</v>
      </c>
      <c r="O26">
        <v>18874.862000000001</v>
      </c>
      <c r="P26">
        <v>18874.862000000001</v>
      </c>
      <c r="Q26">
        <v>18874.862000000001</v>
      </c>
      <c r="R26">
        <v>18874.862000000001</v>
      </c>
      <c r="S26">
        <v>18874.862000000001</v>
      </c>
      <c r="T26">
        <v>126.36167249999923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18874.862000000001</v>
      </c>
      <c r="W26">
        <f>Materialien_Blatt[[#This Row],[Transportemissionen '[kgCO2 eq.']]]+Materialien_Blatt[[#This Row],[Produktion]]</f>
        <v>19001.2236725</v>
      </c>
    </row>
    <row r="27" spans="1:23" ht="19.5" thickBot="1" x14ac:dyDescent="0.3">
      <c r="B27" s="189" t="str">
        <f>_xlfn.XLOOKUP(D27,Materialien_Blatt[Summe],Materialien_Blatt[Material])</f>
        <v xml:space="preserve">Holz </v>
      </c>
      <c r="C27" s="190"/>
      <c r="D27" s="195">
        <f>SMALL(Materialien_Blatt[Summe],ROW(A5))</f>
        <v>4445.0324278124999</v>
      </c>
      <c r="E27" s="196">
        <f t="shared" si="1"/>
        <v>0.10042304123071839</v>
      </c>
      <c r="F27" s="169"/>
      <c r="G27" s="272" t="s">
        <v>46</v>
      </c>
      <c r="H27" s="273"/>
      <c r="I27" s="273"/>
      <c r="J27" s="274"/>
      <c r="L27" t="s">
        <v>1184</v>
      </c>
      <c r="M27">
        <v>163212.04199999999</v>
      </c>
      <c r="N27">
        <v>163212.04199999999</v>
      </c>
      <c r="O27">
        <v>163212.04199999999</v>
      </c>
      <c r="P27">
        <v>163212.04199999999</v>
      </c>
      <c r="Q27">
        <v>163212.04199999999</v>
      </c>
      <c r="R27">
        <v>163212.04199999999</v>
      </c>
      <c r="S27">
        <v>163212.04199999999</v>
      </c>
      <c r="T27">
        <v>579.34409312499656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163212.04199999999</v>
      </c>
      <c r="W27">
        <f>Materialien_Blatt[[#This Row],[Transportemissionen '[kgCO2 eq.']]]+Materialien_Blatt[[#This Row],[Produktion]]</f>
        <v>163791.38609312498</v>
      </c>
    </row>
    <row r="28" spans="1:23" ht="15.75" thickTop="1" x14ac:dyDescent="0.25">
      <c r="B28" s="197" t="s">
        <v>32</v>
      </c>
      <c r="C28" s="198"/>
      <c r="D28" s="199">
        <f>SUM(D23:D27)</f>
        <v>9237.5860428124852</v>
      </c>
      <c r="E28" s="200">
        <f t="shared" si="1"/>
        <v>0.20869734903288262</v>
      </c>
      <c r="F28" s="116"/>
      <c r="G28" s="123" t="s">
        <v>1153</v>
      </c>
      <c r="H28" s="124"/>
      <c r="I28" s="125">
        <f>D6+I11</f>
        <v>4401062.6754000001</v>
      </c>
      <c r="J28" s="126" t="s">
        <v>20</v>
      </c>
      <c r="K28" s="282">
        <v>16</v>
      </c>
      <c r="L28" t="s">
        <v>1202</v>
      </c>
      <c r="M28">
        <v>2220.5720000000001</v>
      </c>
      <c r="N28">
        <v>2220.5720000000001</v>
      </c>
      <c r="O28">
        <v>2220.5720000000001</v>
      </c>
      <c r="P28">
        <v>2220.5720000000001</v>
      </c>
      <c r="Q28">
        <v>2220.5720000000001</v>
      </c>
      <c r="R28">
        <v>2220.5720000000001</v>
      </c>
      <c r="S28">
        <v>2220.5720000000001</v>
      </c>
      <c r="T28">
        <v>12.923321249999924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2220.5720000000001</v>
      </c>
      <c r="V28">
        <v>0</v>
      </c>
      <c r="W28">
        <f>Materialien_Blatt[[#This Row],[Transportemissionen '[kgCO2 eq.']]]+Materialien_Blatt[[#This Row],[Produktion]]</f>
        <v>2233.49532125</v>
      </c>
    </row>
    <row r="29" spans="1:23" x14ac:dyDescent="0.25">
      <c r="E29" s="100"/>
      <c r="G29" s="112" t="s">
        <v>1154</v>
      </c>
      <c r="H29" s="121"/>
      <c r="I29" s="170">
        <f>D10+I7+I13</f>
        <v>44263.073228385852</v>
      </c>
      <c r="J29" s="122" t="s">
        <v>20</v>
      </c>
      <c r="K29" s="282">
        <v>17</v>
      </c>
      <c r="L29" t="s">
        <v>1199</v>
      </c>
      <c r="M29">
        <v>75499.448000000004</v>
      </c>
      <c r="N29">
        <v>75499.448000000004</v>
      </c>
      <c r="O29">
        <v>75499.448000000004</v>
      </c>
      <c r="P29">
        <v>75499.448000000004</v>
      </c>
      <c r="Q29">
        <v>75499.448000000004</v>
      </c>
      <c r="R29">
        <v>75499.448000000004</v>
      </c>
      <c r="S29">
        <v>75499.448000000004</v>
      </c>
      <c r="T29">
        <v>480.05854166666387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75499.448000000004</v>
      </c>
      <c r="W29">
        <f>Materialien_Blatt[[#This Row],[Transportemissionen '[kgCO2 eq.']]]+Materialien_Blatt[[#This Row],[Produktion]]</f>
        <v>75979.506541666662</v>
      </c>
    </row>
    <row r="30" spans="1:23" x14ac:dyDescent="0.25">
      <c r="G30" s="112" t="s">
        <v>1155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1186</v>
      </c>
      <c r="M30">
        <v>25536.577999999998</v>
      </c>
      <c r="N30">
        <v>25536.577999999998</v>
      </c>
      <c r="O30">
        <v>25536.577999999998</v>
      </c>
      <c r="P30">
        <v>25536.577999999998</v>
      </c>
      <c r="Q30">
        <v>25536.577999999998</v>
      </c>
      <c r="R30">
        <v>25536.577999999998</v>
      </c>
      <c r="S30">
        <v>25536.577999999998</v>
      </c>
      <c r="T30">
        <v>974.89269937499421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25536.577999999998</v>
      </c>
      <c r="W30">
        <f>Materialien_Blatt[[#This Row],[Transportemissionen '[kgCO2 eq.']]]+Materialien_Blatt[[#This Row],[Produktion]]</f>
        <v>26511.470699374993</v>
      </c>
    </row>
    <row r="31" spans="1:23" x14ac:dyDescent="0.25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1204</v>
      </c>
      <c r="M31">
        <v>22205.72</v>
      </c>
      <c r="N31">
        <v>22205.72</v>
      </c>
      <c r="O31">
        <v>22205.72</v>
      </c>
      <c r="P31">
        <v>22205.72</v>
      </c>
      <c r="Q31">
        <v>22205.72</v>
      </c>
      <c r="R31">
        <v>22205.72</v>
      </c>
      <c r="S31">
        <v>22205.72</v>
      </c>
      <c r="T31">
        <v>137.84910781249917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22205.72</v>
      </c>
      <c r="W31">
        <f>Materialien_Blatt[[#This Row],[Transportemissionen '[kgCO2 eq.']]]+Materialien_Blatt[[#This Row],[Produktion]]</f>
        <v>22343.569107812502</v>
      </c>
    </row>
    <row r="32" spans="1:23" x14ac:dyDescent="0.25">
      <c r="G32" s="174" t="s">
        <v>32</v>
      </c>
      <c r="H32" s="175"/>
      <c r="I32" s="176">
        <f>SUM(I28:I31)</f>
        <v>4642190.7686283858</v>
      </c>
      <c r="J32" s="177" t="s">
        <v>20</v>
      </c>
      <c r="L32" t="s">
        <v>1198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25846.89988124985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2">
        <v>0</v>
      </c>
      <c r="W32">
        <f>Materialien_Blatt[[#This Row],[Transportemissionen '[kgCO2 eq.']]]+Materialien_Blatt[[#This Row],[Produktion]]</f>
        <v>25846.89988124985</v>
      </c>
    </row>
    <row r="33" spans="3:23" x14ac:dyDescent="0.25">
      <c r="L33" t="s">
        <v>1203</v>
      </c>
      <c r="M33">
        <v>77720.02</v>
      </c>
      <c r="N33">
        <v>77720.02</v>
      </c>
      <c r="O33">
        <v>77720.02</v>
      </c>
      <c r="P33">
        <v>77720.02</v>
      </c>
      <c r="Q33">
        <v>77720.02</v>
      </c>
      <c r="R33">
        <v>77720.02</v>
      </c>
      <c r="S33">
        <v>77720.02</v>
      </c>
      <c r="T33">
        <v>94.77125437499943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77720.02</v>
      </c>
      <c r="W33">
        <f>Materialien_Blatt[[#This Row],[Transportemissionen '[kgCO2 eq.']]]+Materialien_Blatt[[#This Row],[Produktion]]</f>
        <v>77814.791254374999</v>
      </c>
    </row>
    <row r="34" spans="3:23" x14ac:dyDescent="0.25">
      <c r="L34" t="s">
        <v>1196</v>
      </c>
      <c r="M34">
        <v>66617.16</v>
      </c>
      <c r="N34">
        <v>66617.16</v>
      </c>
      <c r="O34">
        <v>66617.16</v>
      </c>
      <c r="P34">
        <v>66617.16</v>
      </c>
      <c r="Q34">
        <v>66617.16</v>
      </c>
      <c r="R34">
        <v>66617.16</v>
      </c>
      <c r="S34">
        <v>66617.16</v>
      </c>
      <c r="T34">
        <v>63.71796180555517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66617.16</v>
      </c>
      <c r="V34">
        <v>0</v>
      </c>
      <c r="W34">
        <f>Materialien_Blatt[[#This Row],[Transportemissionen '[kgCO2 eq.']]]+Materialien_Blatt[[#This Row],[Produktion]]</f>
        <v>66680.877961805556</v>
      </c>
    </row>
    <row r="35" spans="3:23" x14ac:dyDescent="0.25">
      <c r="C35" s="369" t="s">
        <v>47</v>
      </c>
      <c r="D35" s="370"/>
      <c r="E35" s="167"/>
      <c r="L35" t="s">
        <v>1207</v>
      </c>
      <c r="M35">
        <v>34085.780200000001</v>
      </c>
      <c r="N35">
        <v>34085.780200000001</v>
      </c>
      <c r="O35">
        <v>34085.780200000001</v>
      </c>
      <c r="P35">
        <v>34085.780200000001</v>
      </c>
      <c r="Q35">
        <v>34085.780200000001</v>
      </c>
      <c r="R35">
        <v>34085.780200000001</v>
      </c>
      <c r="S35">
        <v>34085.780200000001</v>
      </c>
      <c r="T35">
        <v>420.54138194444192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34085.780200000001</v>
      </c>
      <c r="W35">
        <f>Materialien_Blatt[[#This Row],[Transportemissionen '[kgCO2 eq.']]]+Materialien_Blatt[[#This Row],[Produktion]]</f>
        <v>34506.321581944445</v>
      </c>
    </row>
    <row r="36" spans="3:23" x14ac:dyDescent="0.25">
      <c r="C36" s="172" t="s">
        <v>48</v>
      </c>
      <c r="D36" s="173"/>
      <c r="E36" s="138">
        <v>123.45</v>
      </c>
      <c r="L36" t="s">
        <v>1185</v>
      </c>
      <c r="M36">
        <v>55514.3</v>
      </c>
      <c r="N36">
        <v>55514.3</v>
      </c>
      <c r="O36">
        <v>55514.3</v>
      </c>
      <c r="P36">
        <v>55514.3</v>
      </c>
      <c r="Q36">
        <v>55514.3</v>
      </c>
      <c r="R36">
        <v>55514.3</v>
      </c>
      <c r="S36">
        <v>55514.3</v>
      </c>
      <c r="T36">
        <v>917.54606999999453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55514.3</v>
      </c>
      <c r="W36">
        <f>Materialien_Blatt[[#This Row],[Transportemissionen '[kgCO2 eq.']]]+Materialien_Blatt[[#This Row],[Produktion]]</f>
        <v>56431.84607</v>
      </c>
    </row>
    <row r="37" spans="3:23" x14ac:dyDescent="0.25">
      <c r="C37" s="371" t="s">
        <v>50</v>
      </c>
      <c r="D37" s="372"/>
      <c r="E37" s="137">
        <v>123.45</v>
      </c>
      <c r="L37" t="s">
        <v>1197</v>
      </c>
      <c r="M37">
        <v>69948.017999999996</v>
      </c>
      <c r="N37">
        <v>69948.017999999996</v>
      </c>
      <c r="O37">
        <v>69948.017999999996</v>
      </c>
      <c r="P37">
        <v>69948.017999999996</v>
      </c>
      <c r="Q37">
        <v>69948.017999999996</v>
      </c>
      <c r="R37">
        <v>69948.017999999996</v>
      </c>
      <c r="S37">
        <v>69948.017999999996</v>
      </c>
      <c r="T37">
        <v>580.03531249999651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69948.017999999996</v>
      </c>
      <c r="W37">
        <f>Materialien_Blatt[[#This Row],[Transportemissionen '[kgCO2 eq.']]]+Materialien_Blatt[[#This Row],[Produktion]]</f>
        <v>70528.053312499993</v>
      </c>
    </row>
    <row r="38" spans="3:23" x14ac:dyDescent="0.25">
      <c r="L38" t="s">
        <v>1188</v>
      </c>
      <c r="M38">
        <v>22205.72</v>
      </c>
      <c r="N38">
        <v>22205.72</v>
      </c>
      <c r="O38">
        <v>22205.72</v>
      </c>
      <c r="P38">
        <v>22205.72</v>
      </c>
      <c r="Q38">
        <v>22205.72</v>
      </c>
      <c r="R38">
        <v>22205.72</v>
      </c>
      <c r="S38">
        <v>22205.72</v>
      </c>
      <c r="T38">
        <v>1.4336831249999915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22205.72</v>
      </c>
      <c r="W38">
        <f>Materialien_Blatt[[#This Row],[Transportemissionen '[kgCO2 eq.']]]+Materialien_Blatt[[#This Row],[Produktion]]</f>
        <v>22207.153683125001</v>
      </c>
    </row>
    <row r="39" spans="3:23" x14ac:dyDescent="0.25">
      <c r="L39" t="s">
        <v>1066</v>
      </c>
      <c r="M39">
        <v>12213.146000000002</v>
      </c>
      <c r="N39">
        <v>12213.146000000002</v>
      </c>
      <c r="O39">
        <v>12213.146000000002</v>
      </c>
      <c r="P39">
        <v>12213.146000000002</v>
      </c>
      <c r="Q39">
        <v>12213.146000000002</v>
      </c>
      <c r="R39">
        <v>12213.146000000002</v>
      </c>
      <c r="S39">
        <v>12213.146000000002</v>
      </c>
      <c r="T39">
        <v>47.788857812499714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12213.146000000002</v>
      </c>
      <c r="W39">
        <f>Materialien_Blatt[[#This Row],[Transportemissionen '[kgCO2 eq.']]]+Materialien_Blatt[[#This Row],[Produktion]]</f>
        <v>12260.934857812503</v>
      </c>
    </row>
    <row r="40" spans="3:23" x14ac:dyDescent="0.25">
      <c r="L40" t="s">
        <v>63</v>
      </c>
      <c r="M40">
        <v>88822.88</v>
      </c>
      <c r="N40">
        <v>39056.300640000001</v>
      </c>
      <c r="O40">
        <v>41549.256000000001</v>
      </c>
      <c r="P40">
        <v>81404.093272519953</v>
      </c>
      <c r="Q40">
        <v>82294.347679817554</v>
      </c>
      <c r="R40">
        <v>81226.852633979477</v>
      </c>
      <c r="S40">
        <v>82138.37591790194</v>
      </c>
      <c r="T40">
        <v>1751.6079312499896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88822.88</v>
      </c>
      <c r="W40">
        <f>Materialien_Blatt[[#This Row],[Transportemissionen '[kgCO2 eq.']]]+Materialien_Blatt[[#This Row],[Produktion]]</f>
        <v>90574.487931249998</v>
      </c>
    </row>
    <row r="41" spans="3:23" x14ac:dyDescent="0.25">
      <c r="L41" t="s">
        <v>1181</v>
      </c>
      <c r="M41">
        <v>0</v>
      </c>
      <c r="N41">
        <v>143485.76655</v>
      </c>
      <c r="O41">
        <v>152644.4325</v>
      </c>
      <c r="P41">
        <v>0</v>
      </c>
      <c r="Q41">
        <v>0</v>
      </c>
      <c r="R41">
        <v>0</v>
      </c>
      <c r="S41">
        <v>0</v>
      </c>
      <c r="T41">
        <v>6502.8277124999604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1">
        <v>0</v>
      </c>
      <c r="W41">
        <f>Materialien_Blatt[[#This Row],[Transportemissionen '[kgCO2 eq.']]]+Materialien_Blatt[[#This Row],[Produktion]]</f>
        <v>6502.8277124999604</v>
      </c>
    </row>
    <row r="42" spans="3:23" x14ac:dyDescent="0.25">
      <c r="L42" t="s">
        <v>1210</v>
      </c>
      <c r="M42">
        <v>82383.2212</v>
      </c>
      <c r="N42">
        <v>82383.2212</v>
      </c>
      <c r="O42">
        <v>82383.2212</v>
      </c>
      <c r="P42">
        <v>82383.2212</v>
      </c>
      <c r="Q42">
        <v>82383.2212</v>
      </c>
      <c r="R42">
        <v>82383.2212</v>
      </c>
      <c r="S42">
        <v>82383.2212</v>
      </c>
      <c r="T42">
        <v>56.772970624999651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82383.2212</v>
      </c>
      <c r="W42">
        <f>Materialien_Blatt[[#This Row],[Transportemissionen '[kgCO2 eq.']]]+Materialien_Blatt[[#This Row],[Produktion]]</f>
        <v>82439.994170624996</v>
      </c>
    </row>
    <row r="43" spans="3:23" x14ac:dyDescent="0.25">
      <c r="L43" t="s">
        <v>1200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229.19104687499862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3">
        <f>Materialien_Blatt[[#This Row],[Transportemissionen '[kgCO2 eq.']]]+Materialien_Blatt[[#This Row],[Produktion]]</f>
        <v>229.19104687499862</v>
      </c>
    </row>
    <row r="44" spans="3:23" x14ac:dyDescent="0.25">
      <c r="L44" t="s">
        <v>524</v>
      </c>
      <c r="M44">
        <v>113249.17199999999</v>
      </c>
      <c r="N44">
        <v>113249.17199999999</v>
      </c>
      <c r="O44">
        <v>113249.17199999999</v>
      </c>
      <c r="P44">
        <v>113249.17199999999</v>
      </c>
      <c r="Q44">
        <v>113249.17199999999</v>
      </c>
      <c r="R44">
        <v>113249.17199999999</v>
      </c>
      <c r="S44">
        <v>113249.17199999999</v>
      </c>
      <c r="T44">
        <v>426.76980208333077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113249.17199999999</v>
      </c>
      <c r="W44">
        <f>Materialien_Blatt[[#This Row],[Transportemissionen '[kgCO2 eq.']]]+Materialien_Blatt[[#This Row],[Produktion]]</f>
        <v>113675.94180208333</v>
      </c>
    </row>
    <row r="45" spans="3:23" x14ac:dyDescent="0.25">
      <c r="L45" t="s">
        <v>1209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2128.9881374999877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5">
        <f>Materialien_Blatt[[#This Row],[Transportemissionen '[kgCO2 eq.']]]+Materialien_Blatt[[#This Row],[Produktion]]</f>
        <v>2128.9881374999877</v>
      </c>
    </row>
    <row r="46" spans="3:23" x14ac:dyDescent="0.25">
      <c r="M46">
        <f>SUBTOTAL(109,Materialien_Blatt[GWP])</f>
        <v>4401062.6754000001</v>
      </c>
      <c r="N46">
        <f>SUBTOTAL(109,Materialien_Blatt[GWP_ÖKOBETON C25/30])</f>
        <v>4494781.86259</v>
      </c>
      <c r="O46">
        <f>SUBTOTAL(109,Materialien_Blatt[GWP_ÖKOBETON C30/37])</f>
        <v>4506433.4839000003</v>
      </c>
      <c r="P46">
        <f>SUBTOTAL(109,Materialien_Blatt[RCC C25/30 CEM I])</f>
        <v>4393643.8886725204</v>
      </c>
      <c r="Q46">
        <f>SUBTOTAL(109, Materialien_Blatt[RCC C25/30 CEM II])</f>
        <v>4394534.1430798173</v>
      </c>
      <c r="R46">
        <f>SUBTOTAL(109,Materialien_Blatt[RCC C30/37 CEM I])</f>
        <v>4393466.6480339793</v>
      </c>
      <c r="S46">
        <f>SUBTOTAL(109,Materialien_Blatt[RCC C30/37 CEM II])</f>
        <v>4394378.1713179024</v>
      </c>
      <c r="T46" s="86">
        <f>SUBTOTAL(109,Materialien_Blatt[Transportemissionen '[kgCO2 eq.']])</f>
        <v>44263.073228385852</v>
      </c>
      <c r="U46" s="86">
        <f>SUBTOTAL(109,Materialien_Blatt[Produktion])</f>
        <v>4401062.6754000001</v>
      </c>
    </row>
    <row r="48" spans="3:23" x14ac:dyDescent="0.25">
      <c r="O48" t="s">
        <v>51</v>
      </c>
    </row>
    <row r="49" spans="12:16" x14ac:dyDescent="0.25">
      <c r="O49" t="s">
        <v>52</v>
      </c>
    </row>
    <row r="54" spans="12:16" x14ac:dyDescent="0.25">
      <c r="L54" t="s">
        <v>1022</v>
      </c>
      <c r="M54" t="s">
        <v>131</v>
      </c>
      <c r="O54" t="s">
        <v>1151</v>
      </c>
      <c r="P54" t="s">
        <v>1152</v>
      </c>
    </row>
    <row r="55" spans="12:16" x14ac:dyDescent="0.25">
      <c r="L55" t="s">
        <v>3</v>
      </c>
      <c r="M55">
        <f>Materialien_Blatt[[#Totals],[GWP]]</f>
        <v>4401062.6754000001</v>
      </c>
      <c r="O55" t="s">
        <v>3</v>
      </c>
      <c r="P55">
        <v>2</v>
      </c>
    </row>
    <row r="56" spans="12:16" x14ac:dyDescent="0.25">
      <c r="L56" t="s">
        <v>1130</v>
      </c>
      <c r="M56">
        <f>Materialien_Blatt[[#Totals],[GWP_ÖKOBETON C25/30]]</f>
        <v>4494781.86259</v>
      </c>
      <c r="O56" t="s">
        <v>1130</v>
      </c>
      <c r="P56">
        <v>3</v>
      </c>
    </row>
    <row r="57" spans="12:16" x14ac:dyDescent="0.25">
      <c r="L57" t="s">
        <v>1131</v>
      </c>
      <c r="M57">
        <f>Materialien_Blatt[[#Totals],[GWP_ÖKOBETON C30/37]]</f>
        <v>4506433.4839000003</v>
      </c>
      <c r="O57" t="s">
        <v>1131</v>
      </c>
      <c r="P57">
        <v>4</v>
      </c>
    </row>
    <row r="58" spans="12:16" x14ac:dyDescent="0.25">
      <c r="L58" t="s">
        <v>1145</v>
      </c>
      <c r="M58">
        <f>Materialien_Blatt[[#Totals],[RCC C25/30 CEM I]]</f>
        <v>4393643.8886725204</v>
      </c>
      <c r="O58" t="s">
        <v>1145</v>
      </c>
      <c r="P58">
        <v>5</v>
      </c>
    </row>
    <row r="59" spans="12:16" x14ac:dyDescent="0.25">
      <c r="L59" t="s">
        <v>1146</v>
      </c>
      <c r="M59">
        <f>Materialien_Blatt[[#Totals],[RCC C25/30 CEM II]]</f>
        <v>4394534.1430798173</v>
      </c>
      <c r="O59" t="s">
        <v>1146</v>
      </c>
      <c r="P59">
        <v>6</v>
      </c>
    </row>
    <row r="60" spans="12:16" x14ac:dyDescent="0.25">
      <c r="L60" t="s">
        <v>1147</v>
      </c>
      <c r="M60">
        <f>Materialien_Blatt[[#Totals],[RCC C30/37 CEM I]]</f>
        <v>4393466.6480339793</v>
      </c>
      <c r="O60" t="s">
        <v>1150</v>
      </c>
      <c r="P60">
        <v>7</v>
      </c>
    </row>
    <row r="61" spans="12:16" x14ac:dyDescent="0.25">
      <c r="L61" t="s">
        <v>1148</v>
      </c>
      <c r="M61">
        <f>Materialien_Blatt[[#Totals],[RCC C30/37 CEM II]]</f>
        <v>4394378.1713179024</v>
      </c>
      <c r="O61" t="s">
        <v>1148</v>
      </c>
      <c r="P61">
        <v>8</v>
      </c>
    </row>
    <row r="102" spans="25:25" x14ac:dyDescent="0.25">
      <c r="Y102">
        <f>SUMIF(Materialien_Blatt[Produktion],"&gt;0",Materialien_Blatt[Produktion])+SUM(T11:T45)</f>
        <v>4445325.7486283863</v>
      </c>
    </row>
    <row r="103" spans="25:25" x14ac:dyDescent="0.25">
      <c r="Y103">
        <f>SUMIF(Materialien_Blatt[Produktion],"&lt;0",Materialien_Blatt[Produktion])+SUM(T11:T45)</f>
        <v>44263.073228385852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46" priority="20">
      <formula>$I$3=FALSE</formula>
    </cfRule>
  </conditionalFormatting>
  <conditionalFormatting sqref="G16:J17">
    <cfRule type="expression" dxfId="45" priority="8">
      <formula>$I$15=FALSE</formula>
    </cfRule>
  </conditionalFormatting>
  <conditionalFormatting sqref="G18:J22">
    <cfRule type="expression" dxfId="44" priority="1">
      <formula>$I$15=FALSE</formula>
    </cfRule>
  </conditionalFormatting>
  <conditionalFormatting sqref="G24:J25">
    <cfRule type="expression" dxfId="43" priority="9">
      <formula>$I$23=FALSE</formula>
    </cfRule>
  </conditionalFormatting>
  <conditionalFormatting sqref="I17:I21">
    <cfRule type="expression" dxfId="41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$L$55:$L$61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866775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1200150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 x14ac:dyDescent="0.25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 x14ac:dyDescent="0.25">
      <c r="W2" t="s">
        <v>53</v>
      </c>
    </row>
    <row r="3" spans="23:26" x14ac:dyDescent="0.25">
      <c r="X3" t="s">
        <v>54</v>
      </c>
      <c r="Y3" t="s">
        <v>27</v>
      </c>
      <c r="Z3" t="s">
        <v>13</v>
      </c>
    </row>
    <row r="4" spans="23:26" x14ac:dyDescent="0.25">
      <c r="W4" t="str">
        <f>_xlfn.XLOOKUP(X4,Materialien_Blatt[Summe],Materialien_Blatt[Material])</f>
        <v xml:space="preserve"> Polystyrol EPS</v>
      </c>
      <c r="X4">
        <f>LARGE(Materialien_Blatt[Summe],ROW(A1))</f>
        <v>721898.2949236111</v>
      </c>
      <c r="Y4">
        <f>_xlfn.XLOOKUP($X4,Materialien_Blatt[Summe],Materialien_Blatt[Transportemissionen '[kgCO2 eq.']])</f>
        <v>212.39492361110985</v>
      </c>
      <c r="Z4">
        <f>_xlfn.XLOOKUP($X4,Materialien_Blatt[Summe],Materialien_Blatt[Produktion])</f>
        <v>721685.9</v>
      </c>
    </row>
    <row r="5" spans="23:26" x14ac:dyDescent="0.25">
      <c r="W5" t="str">
        <f>_xlfn.XLOOKUP(X5,Materialien_Blatt[Summe],Materialien_Blatt[Material])</f>
        <v>Bitumen</v>
      </c>
      <c r="X5">
        <f>LARGE(Materialien_Blatt[Summe],ROW(A2))</f>
        <v>721774.65595312498</v>
      </c>
      <c r="Y5">
        <f>_xlfn.XLOOKUP($X5,Materialien_Blatt[Summe],Materialien_Blatt[Transportemissionen '[kgCO2 eq.']])</f>
        <v>88.755953124999465</v>
      </c>
      <c r="Z5">
        <f>_xlfn.XLOOKUP($X5,Materialien_Blatt[Summe],Materialien_Blatt[Produktion])</f>
        <v>721685.9</v>
      </c>
    </row>
    <row r="6" spans="23:26" x14ac:dyDescent="0.25">
      <c r="W6" t="str">
        <f>_xlfn.XLOOKUP(X6,Materialien_Blatt[Summe],Materialien_Blatt[Material])</f>
        <v xml:space="preserve">Brettsperrholz </v>
      </c>
      <c r="X6">
        <f>LARGE(Materialien_Blatt[Summe],ROW(A3))</f>
        <v>560181.50478062499</v>
      </c>
      <c r="Y6">
        <f>_xlfn.XLOOKUP($X6,Materialien_Blatt[Summe],Materialien_Blatt[Transportemissionen '[kgCO2 eq.']])</f>
        <v>597.36078062499644</v>
      </c>
      <c r="Z6">
        <f>_xlfn.XLOOKUP($X6,Materialien_Blatt[Summe],Materialien_Blatt[Produktion])</f>
        <v>559584.14399999997</v>
      </c>
    </row>
    <row r="7" spans="23:26" x14ac:dyDescent="0.25">
      <c r="W7" t="str">
        <f>_xlfn.XLOOKUP(X7,Materialien_Blatt[Summe],Materialien_Blatt[Material])</f>
        <v>Gummimatte [s'&lt;100MN/m³]</v>
      </c>
      <c r="X7">
        <f>LARGE(Materialien_Blatt[Summe],ROW(A4))</f>
        <v>407566.71656062506</v>
      </c>
      <c r="Y7">
        <f>_xlfn.XLOOKUP($X7,Materialien_Blatt[Summe],Materialien_Blatt[Transportemissionen '[kgCO2 eq.']])</f>
        <v>91.754560624999456</v>
      </c>
      <c r="Z7">
        <f>_xlfn.XLOOKUP($X7,Materialien_Blatt[Summe],Materialien_Blatt[Produktion])</f>
        <v>407474.96200000006</v>
      </c>
    </row>
    <row r="8" spans="23:26" x14ac:dyDescent="0.25">
      <c r="W8" t="str">
        <f>_xlfn.XLOOKUP(X8,Materialien_Blatt[Summe],Materialien_Blatt[Material])</f>
        <v>Gefälledämmung EPS-W 25 [?=0,031W/mK] i.M.</v>
      </c>
      <c r="X8">
        <f>LARGE(Materialien_Blatt[Summe],ROW(A5))</f>
        <v>403262.14273611107</v>
      </c>
      <c r="Y8">
        <f>_xlfn.XLOOKUP($X8,Materialien_Blatt[Summe],Materialien_Blatt[Transportemissionen '[kgCO2 eq.']])</f>
        <v>228.32473611110973</v>
      </c>
      <c r="Z8">
        <f>_xlfn.XLOOKUP($X8,Materialien_Blatt[Summe],Materialien_Blatt[Produktion])</f>
        <v>403033.81799999997</v>
      </c>
    </row>
    <row r="9" spans="23:26" x14ac:dyDescent="0.25">
      <c r="W9" t="s">
        <v>32</v>
      </c>
      <c r="X9">
        <f>SUM(X4:X8)</f>
        <v>2814683.3149540974</v>
      </c>
      <c r="Y9">
        <f>SUM(Y4:Y8)</f>
        <v>1218.590954097215</v>
      </c>
      <c r="Z9">
        <f>SUM(Z4:Z8)</f>
        <v>2813464.7240000004</v>
      </c>
    </row>
    <row r="13" spans="23:26" x14ac:dyDescent="0.25">
      <c r="W13" t="s">
        <v>55</v>
      </c>
    </row>
    <row r="14" spans="23:26" x14ac:dyDescent="0.25">
      <c r="X14" t="s">
        <v>54</v>
      </c>
      <c r="Y14" t="s">
        <v>27</v>
      </c>
      <c r="Z14" t="s">
        <v>13</v>
      </c>
    </row>
    <row r="15" spans="23:26" x14ac:dyDescent="0.25">
      <c r="W15" t="str">
        <f>_xlfn.XLOOKUP(X15,Materialien_Blatt[Summe],Materialien_Blatt[Material])</f>
        <v xml:space="preserve">Gipsplatte </v>
      </c>
      <c r="X15">
        <f>SMALL(Materialien_Blatt[Summe],ROW(A1))</f>
        <v>200.87910937499879</v>
      </c>
      <c r="Y15">
        <f>_xlfn.XLOOKUP(X15,Materialien_Blatt[Summe],Materialien_Blatt[Transportemissionen '[kgCO2 eq.']])</f>
        <v>200.87910937499879</v>
      </c>
      <c r="Z15">
        <f>_xlfn.XLOOKUP(X15,Materialien_Blatt[Summe],Materialien_Blatt[Produktion])</f>
        <v>0</v>
      </c>
    </row>
    <row r="16" spans="23:26" x14ac:dyDescent="0.25">
      <c r="W16" t="str">
        <f>_xlfn.XLOOKUP(X16,Materialien_Blatt[Summe],Materialien_Blatt[Material])</f>
        <v>Unterputz</v>
      </c>
      <c r="X16">
        <f>SMALL(Materialien_Blatt[Summe],ROW(A2))</f>
        <v>229.19104687499862</v>
      </c>
      <c r="Y16">
        <f>_xlfn.XLOOKUP(X16,Materialien_Blatt[Summe],Materialien_Blatt[Transportemissionen '[kgCO2 eq.']])</f>
        <v>229.19104687499862</v>
      </c>
      <c r="Z16">
        <f>_xlfn.XLOOKUP(X16,Materialien_Blatt[Summe],Materialien_Blatt[Produktion])</f>
        <v>0</v>
      </c>
    </row>
    <row r="17" spans="23:26" x14ac:dyDescent="0.25">
      <c r="W17" t="str">
        <f>_xlfn.XLOOKUP(X17,Materialien_Blatt[Summe],Materialien_Blatt[Material])</f>
        <v>Zement- und Zementfließestrich (1800 kg/m³)</v>
      </c>
      <c r="X17">
        <f>SMALL(Materialien_Blatt[Summe],ROW(A3))</f>
        <v>2128.9881374999877</v>
      </c>
      <c r="Y17">
        <f>_xlfn.XLOOKUP(X17,Materialien_Blatt[Summe],Materialien_Blatt[Transportemissionen '[kgCO2 eq.']])</f>
        <v>2128.9881374999877</v>
      </c>
      <c r="Z17">
        <f>_xlfn.XLOOKUP(X17,Materialien_Blatt[Summe],Materialien_Blatt[Produktion])</f>
        <v>0</v>
      </c>
    </row>
    <row r="18" spans="23:26" x14ac:dyDescent="0.25">
      <c r="W18" t="str">
        <f>_xlfn.XLOOKUP(X18,Materialien_Blatt[Summe],Materialien_Blatt[Material])</f>
        <v xml:space="preserve">Hoz Fichte Lattung (30/60) Hinterlüftet </v>
      </c>
      <c r="X18">
        <f>SMALL(Materialien_Blatt[Summe],ROW(A4))</f>
        <v>2233.49532125</v>
      </c>
      <c r="Y18">
        <f>_xlfn.XLOOKUP(X18,Materialien_Blatt[Summe],Materialien_Blatt[Transportemissionen '[kgCO2 eq.']])</f>
        <v>12.923321249999924</v>
      </c>
      <c r="Z18">
        <f>_xlfn.XLOOKUP(X18,Materialien_Blatt[Summe],Materialien_Blatt[Produktion])</f>
        <v>2220.5720000000001</v>
      </c>
    </row>
    <row r="19" spans="23:26" x14ac:dyDescent="0.25">
      <c r="W19" t="str">
        <f>_xlfn.XLOOKUP(X19,Materialien_Blatt[Summe],Materialien_Blatt[Material])</f>
        <v xml:space="preserve">Holz </v>
      </c>
      <c r="X19">
        <f>SMALL(Materialien_Blatt[Summe],ROW(A5))</f>
        <v>4445.0324278124999</v>
      </c>
      <c r="Y19">
        <f>_xlfn.XLOOKUP(X19,Materialien_Blatt[Summe],Materialien_Blatt[Transportemissionen '[kgCO2 eq.']])</f>
        <v>3.8884278124999763</v>
      </c>
      <c r="Z19">
        <f>_xlfn.XLOOKUP(X19,Materialien_Blatt[Summe],Materialien_Blatt[Produktion])</f>
        <v>4441.1440000000002</v>
      </c>
    </row>
    <row r="20" spans="23:26" x14ac:dyDescent="0.25">
      <c r="W20" t="s">
        <v>32</v>
      </c>
      <c r="X20">
        <f>SUM(X15:X19)</f>
        <v>9237.5860428124852</v>
      </c>
      <c r="Y20">
        <f t="shared" ref="Y20:Z20" si="0">SUM(Y15:Y19)</f>
        <v>2575.8700428124853</v>
      </c>
      <c r="Z20">
        <f t="shared" si="0"/>
        <v>6661.7160000000003</v>
      </c>
    </row>
    <row r="125" spans="13:36" x14ac:dyDescent="0.25">
      <c r="N125" t="s">
        <v>20</v>
      </c>
      <c r="O125" t="s">
        <v>1064</v>
      </c>
      <c r="P125" t="s">
        <v>22</v>
      </c>
      <c r="Q125" t="s">
        <v>1065</v>
      </c>
      <c r="AG125" t="s">
        <v>20</v>
      </c>
      <c r="AH125" t="s">
        <v>1064</v>
      </c>
      <c r="AI125" t="s">
        <v>22</v>
      </c>
      <c r="AJ125" t="s">
        <v>1065</v>
      </c>
    </row>
    <row r="126" spans="13:36" x14ac:dyDescent="0.25">
      <c r="M126" t="str">
        <f>Gesamtauswertung!G28</f>
        <v>Produktion: Gebäude und Baugrube inkl. Aushub</v>
      </c>
      <c r="N126">
        <f>Gesamtauswertung!I28</f>
        <v>4401062.6754000001</v>
      </c>
      <c r="O126" s="21">
        <f>N126/1000</f>
        <v>4401.0626754000004</v>
      </c>
      <c r="P126" s="100">
        <f>(O126/O130)</f>
        <v>0.94805726320901917</v>
      </c>
      <c r="Q126" s="100">
        <f>IF(P126=0,#N/A,P126)</f>
        <v>0.94805726320901917</v>
      </c>
      <c r="AF126" t="s">
        <v>5</v>
      </c>
      <c r="AG126">
        <f>Gesamtauswertung!D12</f>
        <v>4445325.7486283863</v>
      </c>
      <c r="AH126" s="21">
        <f>AG126/1000</f>
        <v>4445.3257486283865</v>
      </c>
      <c r="AI126" s="100">
        <f>AH126/AH130</f>
        <v>1</v>
      </c>
      <c r="AJ126" s="100">
        <f>IF(AI126=0,#N/A,AI126)</f>
        <v>1</v>
      </c>
    </row>
    <row r="127" spans="13:36" x14ac:dyDescent="0.25">
      <c r="M127" t="str">
        <f>Gesamtauswertung!G29</f>
        <v>Transport: : Gebäude und Baugrube inkl. Aushub</v>
      </c>
      <c r="N127">
        <f>Gesamtauswertung!I29</f>
        <v>44263.073228385852</v>
      </c>
      <c r="O127" s="21">
        <f t="shared" ref="O127:O130" si="1">N127/1000</f>
        <v>44.263073228385849</v>
      </c>
      <c r="P127" s="100">
        <f>(O127/O130)</f>
        <v>9.5349535239940449E-3</v>
      </c>
      <c r="Q127" s="100">
        <f t="shared" ref="Q127:Q129" si="2">IF(P127=0,#N/A,P127)</f>
        <v>9.5349535239940449E-3</v>
      </c>
    </row>
    <row r="128" spans="13:36" x14ac:dyDescent="0.25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1.6634391787999692E-2</v>
      </c>
      <c r="Q128" s="100">
        <f t="shared" si="2"/>
        <v>1.6634391787999692E-2</v>
      </c>
      <c r="AF128" t="s">
        <v>6</v>
      </c>
      <c r="AG128">
        <f>Gesamtauswertung!I14</f>
        <v>0</v>
      </c>
      <c r="AH128" s="21">
        <f>AG128/1000</f>
        <v>0</v>
      </c>
      <c r="AI128" s="100">
        <f>AH128/AH130</f>
        <v>0</v>
      </c>
      <c r="AJ128" s="100" t="e">
        <f>IF(AI128=0,#N/A,AI128)</f>
        <v>#N/A</v>
      </c>
    </row>
    <row r="129" spans="13:34" x14ac:dyDescent="0.25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2.5773391478987225E-2</v>
      </c>
      <c r="Q129" s="100">
        <f t="shared" si="2"/>
        <v>2.5773391478987225E-2</v>
      </c>
    </row>
    <row r="130" spans="13:34" x14ac:dyDescent="0.25">
      <c r="M130" t="str">
        <f>Gesamtauswertung!G32</f>
        <v>Gesamt</v>
      </c>
      <c r="N130">
        <f>Gesamtauswertung!I32</f>
        <v>4642190.7686283858</v>
      </c>
      <c r="O130" s="21">
        <f t="shared" si="1"/>
        <v>4642.1907686283857</v>
      </c>
      <c r="P130" s="44"/>
      <c r="AH130" s="21">
        <f>AH126+AH128</f>
        <v>4445.3257486283865</v>
      </c>
    </row>
    <row r="132" spans="13:34" x14ac:dyDescent="0.25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 x14ac:dyDescent="0.2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 x14ac:dyDescent="0.25">
      <c r="B2" s="179" t="s">
        <v>43</v>
      </c>
      <c r="C2" s="180" t="s">
        <v>56</v>
      </c>
    </row>
    <row r="3" spans="2:6" x14ac:dyDescent="0.25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 x14ac:dyDescent="0.25">
      <c r="B4" s="178" t="str">
        <v>Fernwärme</v>
      </c>
      <c r="C4" s="8">
        <v>187211</v>
      </c>
    </row>
    <row r="5" spans="2:6" x14ac:dyDescent="0.25">
      <c r="B5" s="178" t="str">
        <v>Luft-Wasser</v>
      </c>
      <c r="C5" s="8">
        <v>126356</v>
      </c>
    </row>
    <row r="6" spans="2:6" x14ac:dyDescent="0.25">
      <c r="B6" s="178" t="str">
        <v>Sole-Wasser</v>
      </c>
      <c r="C6" s="8">
        <v>119645</v>
      </c>
    </row>
    <row r="7" spans="2:6" ht="15" customHeight="1" x14ac:dyDescent="0.25">
      <c r="B7" s="181" t="str">
        <v>Pelets</v>
      </c>
      <c r="C7" s="11">
        <v>0</v>
      </c>
    </row>
    <row r="8" spans="2:6" ht="15" customHeight="1" x14ac:dyDescent="0.25"/>
    <row r="11" spans="2:6" ht="21" x14ac:dyDescent="0.25">
      <c r="B11" s="386" t="s">
        <v>57</v>
      </c>
      <c r="C11" s="386"/>
      <c r="E11" s="386" t="s">
        <v>58</v>
      </c>
      <c r="F11" s="386" t="b">
        <v>1</v>
      </c>
    </row>
    <row r="13" spans="2:6" x14ac:dyDescent="0.25">
      <c r="B13" t="s">
        <v>43</v>
      </c>
      <c r="C13" t="s">
        <v>56</v>
      </c>
      <c r="E13" s="135" t="s">
        <v>43</v>
      </c>
      <c r="F13" s="131" t="s">
        <v>56</v>
      </c>
    </row>
    <row r="14" spans="2:6" x14ac:dyDescent="0.25">
      <c r="B14" t="s">
        <v>60</v>
      </c>
      <c r="C14">
        <v>3158000</v>
      </c>
      <c r="E14" s="132" t="s">
        <v>44</v>
      </c>
      <c r="F14" s="8">
        <v>289864</v>
      </c>
    </row>
    <row r="15" spans="2:6" x14ac:dyDescent="0.25">
      <c r="B15" t="s">
        <v>61</v>
      </c>
      <c r="C15">
        <v>1347000</v>
      </c>
      <c r="E15" s="133" t="s">
        <v>60</v>
      </c>
      <c r="F15" s="8">
        <v>187211</v>
      </c>
    </row>
    <row r="16" spans="2:6" x14ac:dyDescent="0.25">
      <c r="E16" s="133" t="s">
        <v>59</v>
      </c>
      <c r="F16" s="8">
        <v>126356</v>
      </c>
    </row>
    <row r="17" spans="5:6" x14ac:dyDescent="0.25">
      <c r="E17" s="133" t="s">
        <v>61</v>
      </c>
      <c r="F17" s="8">
        <v>119645</v>
      </c>
    </row>
    <row r="18" spans="5:6" x14ac:dyDescent="0.25">
      <c r="E18" s="134" t="s">
        <v>62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topLeftCell="A35" zoomScale="70" zoomScaleNormal="70" workbookViewId="0">
      <selection activeCell="P59" sqref="P59"/>
    </sheetView>
  </sheetViews>
  <sheetFormatPr baseColWidth="10" defaultColWidth="11.42578125" defaultRowHeight="15" x14ac:dyDescent="0.2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 x14ac:dyDescent="0.25">
      <c r="B2" s="396" t="s">
        <v>8</v>
      </c>
      <c r="C2" s="397"/>
      <c r="D2" s="397"/>
      <c r="E2" s="397"/>
      <c r="F2" s="398"/>
      <c r="H2" s="393" t="s">
        <v>7</v>
      </c>
      <c r="I2" s="394"/>
      <c r="J2" s="394"/>
      <c r="K2" s="394"/>
      <c r="L2" s="395"/>
      <c r="O2" t="s">
        <v>63</v>
      </c>
    </row>
    <row r="3" spans="2:20" x14ac:dyDescent="0.25">
      <c r="B3" s="7" t="s">
        <v>25</v>
      </c>
      <c r="E3" s="99">
        <f>Gesamtauswertung!I9</f>
        <v>10</v>
      </c>
      <c r="F3" s="8" t="s">
        <v>26</v>
      </c>
      <c r="H3" s="9" t="s">
        <v>10</v>
      </c>
      <c r="I3" s="10"/>
      <c r="J3" s="10"/>
      <c r="K3" s="10">
        <f>Gesamtauswertung!I5</f>
        <v>3000</v>
      </c>
      <c r="L3" s="11" t="s">
        <v>64</v>
      </c>
      <c r="O3" t="s">
        <v>65</v>
      </c>
      <c r="P3">
        <f>'Transport Kennzahlen'!Q3</f>
        <v>2400</v>
      </c>
      <c r="Q3" t="s">
        <v>66</v>
      </c>
    </row>
    <row r="4" spans="2:20" x14ac:dyDescent="0.25">
      <c r="B4" s="7" t="s">
        <v>1173</v>
      </c>
      <c r="E4" s="99">
        <f>Gesamtauswertung!I10</f>
        <v>500</v>
      </c>
      <c r="F4" s="8" t="s">
        <v>26</v>
      </c>
      <c r="O4" t="s">
        <v>67</v>
      </c>
      <c r="P4">
        <v>0.224</v>
      </c>
      <c r="Q4" t="s">
        <v>68</v>
      </c>
      <c r="R4" s="3" t="s">
        <v>69</v>
      </c>
    </row>
    <row r="5" spans="2:20" x14ac:dyDescent="0.25">
      <c r="B5" s="7"/>
      <c r="F5" s="8"/>
    </row>
    <row r="6" spans="2:20" x14ac:dyDescent="0.25">
      <c r="B6" s="9" t="s">
        <v>70</v>
      </c>
      <c r="C6" s="10"/>
      <c r="D6" s="10"/>
      <c r="E6" s="10">
        <f>2*PI()*SQRT(K3/(PI()*E3))</f>
        <v>61.399602476789305</v>
      </c>
      <c r="F6" s="11" t="s">
        <v>26</v>
      </c>
      <c r="H6" s="390" t="s">
        <v>71</v>
      </c>
      <c r="I6" s="391"/>
      <c r="J6" s="391"/>
      <c r="K6" s="391"/>
      <c r="L6" s="392"/>
      <c r="O6" t="s">
        <v>7</v>
      </c>
    </row>
    <row r="7" spans="2:20" x14ac:dyDescent="0.25">
      <c r="H7" s="7" t="s">
        <v>72</v>
      </c>
      <c r="K7">
        <f>Gesamtauswertung!$I$6</f>
        <v>50</v>
      </c>
      <c r="L7" s="8" t="s">
        <v>16</v>
      </c>
      <c r="O7" t="s">
        <v>65</v>
      </c>
      <c r="P7">
        <v>1400</v>
      </c>
      <c r="Q7" t="s">
        <v>73</v>
      </c>
      <c r="R7" s="3" t="s">
        <v>74</v>
      </c>
    </row>
    <row r="8" spans="2:20" x14ac:dyDescent="0.25">
      <c r="H8" s="7"/>
      <c r="L8" s="8"/>
    </row>
    <row r="9" spans="2:20" x14ac:dyDescent="0.25">
      <c r="B9" s="387" t="s">
        <v>75</v>
      </c>
      <c r="C9" s="388"/>
      <c r="D9" s="388"/>
      <c r="E9" s="388"/>
      <c r="F9" s="389"/>
      <c r="H9" s="109" t="s">
        <v>7</v>
      </c>
      <c r="I9" s="110"/>
      <c r="J9" s="110"/>
      <c r="K9" s="110">
        <f>(K3*P7)/('Transport Kennzahlen'!F15*BauGrube!K7*'Transport Kennzahlen'!E20*2)</f>
        <v>2943.3226433490281</v>
      </c>
      <c r="L9" s="111" t="s">
        <v>20</v>
      </c>
      <c r="O9" t="s">
        <v>76</v>
      </c>
      <c r="R9">
        <v>100</v>
      </c>
      <c r="S9" t="s">
        <v>77</v>
      </c>
      <c r="T9" s="3" t="s">
        <v>78</v>
      </c>
    </row>
    <row r="10" spans="2:20" x14ac:dyDescent="0.25">
      <c r="B10" s="7"/>
      <c r="E10" s="254"/>
      <c r="F10" s="8"/>
      <c r="K10" t="s">
        <v>79</v>
      </c>
    </row>
    <row r="11" spans="2:20" x14ac:dyDescent="0.25">
      <c r="B11" s="7" t="s">
        <v>80</v>
      </c>
      <c r="E11" s="99">
        <v>1</v>
      </c>
      <c r="F11" s="8" t="s">
        <v>81</v>
      </c>
      <c r="G11" t="s">
        <v>82</v>
      </c>
    </row>
    <row r="12" spans="2:20" x14ac:dyDescent="0.25">
      <c r="B12" s="7" t="s">
        <v>83</v>
      </c>
      <c r="E12" s="44">
        <v>19</v>
      </c>
      <c r="F12" s="8" t="s">
        <v>84</v>
      </c>
      <c r="G12" t="s">
        <v>85</v>
      </c>
    </row>
    <row r="13" spans="2:20" x14ac:dyDescent="0.25">
      <c r="B13" s="7" t="s">
        <v>86</v>
      </c>
      <c r="E13" s="44">
        <f>((E11^2*PI())/4)*E3*E12</f>
        <v>149.22565104551518</v>
      </c>
      <c r="F13" s="8" t="s">
        <v>87</v>
      </c>
    </row>
    <row r="14" spans="2:20" x14ac:dyDescent="0.25">
      <c r="B14" s="7"/>
      <c r="F14" s="8"/>
      <c r="H14" s="387" t="s">
        <v>88</v>
      </c>
      <c r="I14" s="388"/>
      <c r="J14" s="388"/>
      <c r="K14" s="388"/>
      <c r="L14" s="389"/>
    </row>
    <row r="15" spans="2:20" x14ac:dyDescent="0.25">
      <c r="B15" s="7"/>
      <c r="F15" s="8"/>
      <c r="H15" s="7"/>
      <c r="L15" s="8"/>
    </row>
    <row r="16" spans="2:20" x14ac:dyDescent="0.25">
      <c r="B16" s="103" t="s">
        <v>89</v>
      </c>
      <c r="C16" s="41"/>
      <c r="D16" s="41"/>
      <c r="E16" s="41">
        <f>E13*P3</f>
        <v>358141.56250923645</v>
      </c>
      <c r="F16" s="104" t="s">
        <v>90</v>
      </c>
      <c r="H16" s="7" t="s">
        <v>91</v>
      </c>
      <c r="K16">
        <v>3</v>
      </c>
      <c r="L16" s="8" t="s">
        <v>26</v>
      </c>
    </row>
    <row r="17" spans="2:18" x14ac:dyDescent="0.25">
      <c r="B17" s="7" t="s">
        <v>92</v>
      </c>
      <c r="E17" s="86">
        <f>(E16/'Transport Kennzahlen'!$D$5)*'Transport Kennzahlen'!$E$10</f>
        <v>12.682581492607515</v>
      </c>
      <c r="F17" s="8" t="s">
        <v>93</v>
      </c>
      <c r="H17" s="7" t="s">
        <v>94</v>
      </c>
      <c r="K17">
        <v>11</v>
      </c>
      <c r="L17" s="8" t="s">
        <v>84</v>
      </c>
      <c r="R17" t="s">
        <v>1160</v>
      </c>
    </row>
    <row r="18" spans="2:18" x14ac:dyDescent="0.25">
      <c r="B18" s="9" t="s">
        <v>95</v>
      </c>
      <c r="C18" s="10"/>
      <c r="D18" s="10"/>
      <c r="E18" s="108">
        <f>E16*P4</f>
        <v>80223.710002068969</v>
      </c>
      <c r="F18" s="11" t="s">
        <v>20</v>
      </c>
      <c r="H18" s="7" t="s">
        <v>86</v>
      </c>
      <c r="K18" s="44">
        <f>IF(N23=2,K28,K24)</f>
        <v>777.54418176347383</v>
      </c>
      <c r="L18" s="8" t="s">
        <v>87</v>
      </c>
      <c r="R18" t="s">
        <v>1037</v>
      </c>
    </row>
    <row r="19" spans="2:18" x14ac:dyDescent="0.25">
      <c r="H19" s="7"/>
      <c r="L19" s="8"/>
    </row>
    <row r="20" spans="2:18" x14ac:dyDescent="0.25">
      <c r="B20" s="399" t="s">
        <v>96</v>
      </c>
      <c r="C20" s="400"/>
      <c r="D20" s="400"/>
      <c r="E20" s="400"/>
      <c r="F20" s="401"/>
      <c r="H20" s="402" t="s">
        <v>97</v>
      </c>
      <c r="I20" s="403"/>
      <c r="J20" s="403"/>
      <c r="K20" s="403"/>
      <c r="L20" s="404"/>
    </row>
    <row r="21" spans="2:18" x14ac:dyDescent="0.25">
      <c r="B21" s="7" t="s">
        <v>98</v>
      </c>
      <c r="E21">
        <v>100</v>
      </c>
      <c r="F21" s="8" t="s">
        <v>77</v>
      </c>
      <c r="H21" s="236" t="s">
        <v>99</v>
      </c>
      <c r="I21" s="235"/>
      <c r="J21" s="20" t="s">
        <v>100</v>
      </c>
      <c r="L21" s="8"/>
    </row>
    <row r="22" spans="2:18" x14ac:dyDescent="0.25">
      <c r="B22" s="7"/>
      <c r="F22" s="8"/>
      <c r="H22" s="7" t="s">
        <v>101</v>
      </c>
      <c r="L22" s="8"/>
    </row>
    <row r="23" spans="2:18" x14ac:dyDescent="0.25">
      <c r="B23" s="105" t="s">
        <v>102</v>
      </c>
      <c r="C23" s="106"/>
      <c r="D23" s="106"/>
      <c r="E23" s="106">
        <f>E4*E3*E21</f>
        <v>500000</v>
      </c>
      <c r="F23" s="107" t="s">
        <v>90</v>
      </c>
      <c r="H23" s="7" t="s">
        <v>103</v>
      </c>
      <c r="L23" s="8"/>
      <c r="N23" s="277">
        <v>1</v>
      </c>
    </row>
    <row r="24" spans="2:18" x14ac:dyDescent="0.25">
      <c r="B24" s="9" t="s">
        <v>92</v>
      </c>
      <c r="C24" s="10"/>
      <c r="D24" s="10"/>
      <c r="E24" s="108">
        <f>(E23/'Transport Kennzahlen'!D25*'Transport Kennzahlen'!E30*2)</f>
        <v>92.749999999999446</v>
      </c>
      <c r="F24" s="11" t="s">
        <v>93</v>
      </c>
      <c r="H24" s="7" t="s">
        <v>100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777.54418176347383</v>
      </c>
      <c r="L24" s="8" t="s">
        <v>87</v>
      </c>
      <c r="N24" s="237"/>
    </row>
    <row r="25" spans="2:18" x14ac:dyDescent="0.25">
      <c r="B25" t="s">
        <v>104</v>
      </c>
      <c r="H25" s="402" t="s">
        <v>105</v>
      </c>
      <c r="I25" s="403"/>
      <c r="J25" s="403"/>
      <c r="K25" s="403"/>
      <c r="L25" s="404"/>
      <c r="M25" t="s">
        <v>1176</v>
      </c>
    </row>
    <row r="26" spans="2:18" x14ac:dyDescent="0.25">
      <c r="H26" s="7" t="s">
        <v>106</v>
      </c>
      <c r="I26">
        <v>20</v>
      </c>
      <c r="J26" t="s">
        <v>26</v>
      </c>
      <c r="L26" s="8"/>
    </row>
    <row r="27" spans="2:18" x14ac:dyDescent="0.25">
      <c r="H27" s="7" t="s">
        <v>107</v>
      </c>
      <c r="I27">
        <v>10</v>
      </c>
      <c r="J27" t="s">
        <v>26</v>
      </c>
      <c r="L27" s="8"/>
    </row>
    <row r="28" spans="2:18" x14ac:dyDescent="0.25">
      <c r="H28" s="7"/>
      <c r="J28" t="s">
        <v>108</v>
      </c>
      <c r="K28">
        <f>I26*I27*E3</f>
        <v>2000</v>
      </c>
      <c r="L28" s="8" t="s">
        <v>87</v>
      </c>
    </row>
    <row r="29" spans="2:18" x14ac:dyDescent="0.25">
      <c r="H29" s="402" t="s">
        <v>109</v>
      </c>
      <c r="I29" s="403"/>
      <c r="J29" s="403"/>
      <c r="K29" s="403"/>
      <c r="L29" s="404"/>
    </row>
    <row r="30" spans="2:18" x14ac:dyDescent="0.25">
      <c r="H30" s="103" t="s">
        <v>89</v>
      </c>
      <c r="I30" s="41"/>
      <c r="J30" s="41"/>
      <c r="K30" s="41">
        <f>K18*P3</f>
        <v>1866106.0362323371</v>
      </c>
      <c r="L30" s="104" t="s">
        <v>90</v>
      </c>
    </row>
    <row r="31" spans="2:18" x14ac:dyDescent="0.25">
      <c r="H31" s="7" t="s">
        <v>110</v>
      </c>
      <c r="J31" s="86">
        <f>(K30/('Transport Kennzahlen'!$D$5*'Transport Kennzahlen'!$E$10))</f>
        <v>186.70881245858803</v>
      </c>
      <c r="K31" s="8" t="s">
        <v>93</v>
      </c>
      <c r="L31" s="8"/>
    </row>
    <row r="32" spans="2:18" x14ac:dyDescent="0.25">
      <c r="H32" s="9" t="s">
        <v>95</v>
      </c>
      <c r="I32" s="10"/>
      <c r="J32" s="10">
        <f>K30*P4</f>
        <v>418007.75211604353</v>
      </c>
      <c r="K32" s="10" t="s">
        <v>20</v>
      </c>
      <c r="L32" s="11"/>
    </row>
    <row r="34" spans="2:14" x14ac:dyDescent="0.25">
      <c r="B34" s="390" t="s">
        <v>111</v>
      </c>
      <c r="C34" s="391"/>
      <c r="D34" s="391"/>
      <c r="E34" s="391"/>
      <c r="F34" s="392"/>
    </row>
    <row r="35" spans="2:14" x14ac:dyDescent="0.25">
      <c r="B35" s="7" t="s">
        <v>112</v>
      </c>
      <c r="E35" s="102">
        <v>45</v>
      </c>
      <c r="F35" s="166" t="s">
        <v>113</v>
      </c>
      <c r="G35" t="s">
        <v>114</v>
      </c>
    </row>
    <row r="36" spans="2:14" x14ac:dyDescent="0.25">
      <c r="B36" s="7"/>
      <c r="F36" s="8"/>
    </row>
    <row r="37" spans="2:14" x14ac:dyDescent="0.25">
      <c r="B37" s="105" t="s">
        <v>115</v>
      </c>
      <c r="C37" s="106"/>
      <c r="D37" s="106"/>
      <c r="E37" s="106">
        <f>((E3^2)/(2*TAN(RADIANS(E35)))*(IF(K44=TRUE,N42,E4))*P7)</f>
        <v>35448000.000000007</v>
      </c>
      <c r="F37" s="107" t="s">
        <v>116</v>
      </c>
      <c r="G37" t="s">
        <v>117</v>
      </c>
    </row>
    <row r="38" spans="2:14" x14ac:dyDescent="0.25">
      <c r="B38" s="9" t="s">
        <v>92</v>
      </c>
      <c r="C38" s="10"/>
      <c r="D38" s="10"/>
      <c r="E38" s="108">
        <f>E37/('Transport Kennzahlen'!$D$5*'Transport Kennzahlen'!$E$10*2)</f>
        <v>1773.3327730386291</v>
      </c>
      <c r="F38" s="11" t="s">
        <v>93</v>
      </c>
    </row>
    <row r="39" spans="2:14" x14ac:dyDescent="0.25">
      <c r="B39" t="s">
        <v>118</v>
      </c>
    </row>
    <row r="41" spans="2:14" x14ac:dyDescent="0.25">
      <c r="K41" s="2" t="s">
        <v>1177</v>
      </c>
    </row>
    <row r="42" spans="2:14" x14ac:dyDescent="0.25">
      <c r="B42" s="232" t="s">
        <v>119</v>
      </c>
      <c r="C42" s="233"/>
      <c r="D42" s="233"/>
      <c r="E42" s="233"/>
      <c r="F42" s="234"/>
      <c r="L42" t="s">
        <v>1159</v>
      </c>
      <c r="N42">
        <f>E4+8*0.8</f>
        <v>506.4</v>
      </c>
    </row>
    <row r="43" spans="2:14" x14ac:dyDescent="0.25">
      <c r="B43" s="7" t="s">
        <v>120</v>
      </c>
      <c r="E43" s="121">
        <v>0.15</v>
      </c>
      <c r="F43" s="166" t="s">
        <v>26</v>
      </c>
      <c r="G43" t="s">
        <v>121</v>
      </c>
    </row>
    <row r="44" spans="2:14" x14ac:dyDescent="0.25">
      <c r="B44" s="7"/>
      <c r="F44" s="8"/>
      <c r="K44" t="b">
        <v>1</v>
      </c>
    </row>
    <row r="45" spans="2:14" x14ac:dyDescent="0.25">
      <c r="B45" s="105" t="s">
        <v>89</v>
      </c>
      <c r="C45" s="106"/>
      <c r="D45" s="106"/>
      <c r="E45" s="106">
        <f>E3*E4*E43*P3</f>
        <v>1800000</v>
      </c>
      <c r="F45" s="107" t="s">
        <v>116</v>
      </c>
    </row>
    <row r="46" spans="2:14" x14ac:dyDescent="0.25">
      <c r="B46" s="7" t="s">
        <v>92</v>
      </c>
      <c r="E46" s="86">
        <f>(E45/('Transport Kennzahlen'!$D$5*'Transport Kennzahlen'!$E$10))</f>
        <v>180.09472982789052</v>
      </c>
      <c r="F46" s="8" t="s">
        <v>93</v>
      </c>
      <c r="L46" t="s">
        <v>1178</v>
      </c>
    </row>
    <row r="47" spans="2:14" x14ac:dyDescent="0.25">
      <c r="B47" s="9" t="s">
        <v>95</v>
      </c>
      <c r="C47" s="10"/>
      <c r="D47" s="10"/>
      <c r="E47" s="108">
        <f>E45*$P$4</f>
        <v>403200</v>
      </c>
      <c r="F47" s="11" t="s">
        <v>20</v>
      </c>
      <c r="L47" t="s">
        <v>1179</v>
      </c>
    </row>
    <row r="48" spans="2:14" x14ac:dyDescent="0.25">
      <c r="L48" t="s">
        <v>1172</v>
      </c>
    </row>
    <row r="54" spans="2:11" x14ac:dyDescent="0.25">
      <c r="B54" s="390" t="s">
        <v>122</v>
      </c>
      <c r="C54" s="391"/>
      <c r="D54" s="391"/>
      <c r="E54" s="391"/>
      <c r="F54" s="392"/>
      <c r="I54" t="s">
        <v>27</v>
      </c>
      <c r="J54" t="s">
        <v>123</v>
      </c>
    </row>
    <row r="55" spans="2:11" x14ac:dyDescent="0.25">
      <c r="B55" s="7" t="s">
        <v>72</v>
      </c>
      <c r="E55" s="44">
        <f>Gesamtauswertung!$I$12</f>
        <v>100</v>
      </c>
      <c r="F55" s="8" t="s">
        <v>16</v>
      </c>
      <c r="H55" t="str">
        <f>B9</f>
        <v xml:space="preserve">Bohrpfähle </v>
      </c>
      <c r="I55" s="86">
        <f>E17</f>
        <v>12.682581492607515</v>
      </c>
      <c r="J55" s="86">
        <f>E18</f>
        <v>80223.710002068969</v>
      </c>
    </row>
    <row r="56" spans="2:11" x14ac:dyDescent="0.25">
      <c r="B56" s="7"/>
      <c r="F56" s="8"/>
      <c r="H56" t="str">
        <f>B20</f>
        <v>Spundwände</v>
      </c>
      <c r="I56" s="86">
        <f>E24</f>
        <v>92.749999999999446</v>
      </c>
      <c r="J56">
        <v>0</v>
      </c>
    </row>
    <row r="57" spans="2:11" x14ac:dyDescent="0.25">
      <c r="B57" s="112" t="s">
        <v>124</v>
      </c>
      <c r="C57" s="113" t="str">
        <f>Gesamtauswertung!I8</f>
        <v>Böschung</v>
      </c>
      <c r="F57" s="8"/>
      <c r="H57" t="str">
        <f>B34</f>
        <v>Böschung</v>
      </c>
      <c r="I57" s="86">
        <f>E38</f>
        <v>1773.3327730386291</v>
      </c>
      <c r="J57">
        <v>0</v>
      </c>
    </row>
    <row r="58" spans="2:11" x14ac:dyDescent="0.25">
      <c r="B58" s="105" t="s">
        <v>125</v>
      </c>
      <c r="C58" s="106"/>
      <c r="D58" s="106"/>
      <c r="E58" s="114">
        <f>_xlfn.XLOOKUP(C57,H55:H60, I55:I60)*E55</f>
        <v>177333.27730386291</v>
      </c>
      <c r="F58" s="107" t="s">
        <v>20</v>
      </c>
      <c r="H58" s="99" t="s">
        <v>119</v>
      </c>
      <c r="I58" s="368">
        <f>E46</f>
        <v>180.09472982789052</v>
      </c>
      <c r="J58" s="368">
        <f>E47</f>
        <v>403200</v>
      </c>
      <c r="K58" t="s">
        <v>1174</v>
      </c>
    </row>
    <row r="59" spans="2:11" x14ac:dyDescent="0.25">
      <c r="B59" s="109" t="s">
        <v>95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186.70881245858803</v>
      </c>
      <c r="J59">
        <f>J32</f>
        <v>418007.75211604353</v>
      </c>
    </row>
    <row r="60" spans="2:11" x14ac:dyDescent="0.25">
      <c r="H60" t="s">
        <v>1164</v>
      </c>
      <c r="I60" s="86">
        <f>E69+E75+E80</f>
        <v>1837.0994118054507</v>
      </c>
      <c r="J60" s="86">
        <f>E70+E81</f>
        <v>403247.35008447489</v>
      </c>
      <c r="K60" t="s">
        <v>1175</v>
      </c>
    </row>
    <row r="64" spans="2:11" x14ac:dyDescent="0.25">
      <c r="B64" t="s">
        <v>1163</v>
      </c>
    </row>
    <row r="65" spans="2:10" x14ac:dyDescent="0.25">
      <c r="B65" s="405" t="s">
        <v>119</v>
      </c>
      <c r="C65" s="406"/>
      <c r="D65" s="406"/>
      <c r="E65" s="406"/>
      <c r="F65" s="407"/>
    </row>
    <row r="66" spans="2:10" x14ac:dyDescent="0.25">
      <c r="B66" s="7" t="s">
        <v>120</v>
      </c>
      <c r="E66" s="121">
        <v>0.15</v>
      </c>
      <c r="F66" s="166" t="s">
        <v>26</v>
      </c>
    </row>
    <row r="67" spans="2:10" x14ac:dyDescent="0.25">
      <c r="B67" s="7"/>
      <c r="F67" s="8"/>
    </row>
    <row r="68" spans="2:10" x14ac:dyDescent="0.25">
      <c r="B68" s="105" t="s">
        <v>89</v>
      </c>
      <c r="C68" s="106"/>
      <c r="D68" s="106"/>
      <c r="E68" s="106">
        <f>E3*E4*E66*P3</f>
        <v>1800000</v>
      </c>
      <c r="F68" s="107" t="s">
        <v>116</v>
      </c>
    </row>
    <row r="69" spans="2:10" x14ac:dyDescent="0.25">
      <c r="B69" s="7" t="s">
        <v>92</v>
      </c>
      <c r="E69" s="86">
        <f>(E68/'Transport Kennzahlen'!$D$5)*'Transport Kennzahlen'!$E$10</f>
        <v>63.741964285713905</v>
      </c>
      <c r="F69" s="8" t="s">
        <v>93</v>
      </c>
    </row>
    <row r="70" spans="2:10" x14ac:dyDescent="0.25">
      <c r="B70" s="9" t="s">
        <v>95</v>
      </c>
      <c r="C70" s="10"/>
      <c r="D70" s="10"/>
      <c r="E70" s="108">
        <f>E68*$P$4</f>
        <v>403200</v>
      </c>
      <c r="F70" s="11" t="s">
        <v>20</v>
      </c>
    </row>
    <row r="71" spans="2:10" x14ac:dyDescent="0.25">
      <c r="B71" s="390" t="s">
        <v>111</v>
      </c>
      <c r="C71" s="391"/>
      <c r="D71" s="391"/>
      <c r="E71" s="391"/>
      <c r="F71" s="392"/>
    </row>
    <row r="72" spans="2:10" x14ac:dyDescent="0.25">
      <c r="B72" s="7" t="s">
        <v>112</v>
      </c>
      <c r="E72" s="102">
        <v>45</v>
      </c>
      <c r="F72" s="166" t="s">
        <v>113</v>
      </c>
    </row>
    <row r="73" spans="2:10" x14ac:dyDescent="0.25">
      <c r="B73" s="7"/>
      <c r="F73" s="8"/>
    </row>
    <row r="74" spans="2:10" x14ac:dyDescent="0.25">
      <c r="B74" s="105" t="s">
        <v>115</v>
      </c>
      <c r="C74" s="106"/>
      <c r="D74" s="106"/>
      <c r="E74" s="106">
        <f>((E3^2)/(2*TAN(RADIANS(E72)))*(IF(K44=TRUE,N42,E4))*P7)</f>
        <v>35448000.000000007</v>
      </c>
      <c r="F74" s="107" t="s">
        <v>116</v>
      </c>
    </row>
    <row r="75" spans="2:10" x14ac:dyDescent="0.25">
      <c r="B75" s="9" t="s">
        <v>92</v>
      </c>
      <c r="C75" s="10"/>
      <c r="D75" s="10"/>
      <c r="E75" s="108">
        <f>E74/('Transport Kennzahlen'!$D$5*'Transport Kennzahlen'!$E$10*2)</f>
        <v>1773.3327730386291</v>
      </c>
      <c r="F75" s="11" t="s">
        <v>93</v>
      </c>
    </row>
    <row r="76" spans="2:10" x14ac:dyDescent="0.25">
      <c r="B76" s="387" t="s">
        <v>1165</v>
      </c>
      <c r="C76" s="388"/>
      <c r="D76" s="388"/>
      <c r="E76" s="388"/>
      <c r="F76" s="389"/>
      <c r="G76" s="221"/>
      <c r="H76" s="221" t="s">
        <v>1166</v>
      </c>
      <c r="I76" s="221">
        <v>0.02</v>
      </c>
      <c r="J76" s="221" t="s">
        <v>26</v>
      </c>
    </row>
    <row r="77" spans="2:10" x14ac:dyDescent="0.25">
      <c r="B77" s="366" t="s">
        <v>1168</v>
      </c>
      <c r="C77">
        <v>20</v>
      </c>
      <c r="D77" t="s">
        <v>84</v>
      </c>
      <c r="F77" s="8"/>
      <c r="H77" t="s">
        <v>1167</v>
      </c>
      <c r="I77">
        <v>3.2000000000000001E-2</v>
      </c>
      <c r="J77" t="s">
        <v>81</v>
      </c>
    </row>
    <row r="78" spans="2:10" x14ac:dyDescent="0.25">
      <c r="B78" s="366" t="s">
        <v>1169</v>
      </c>
      <c r="C78">
        <v>5</v>
      </c>
      <c r="D78" t="s">
        <v>26</v>
      </c>
      <c r="F78" s="8"/>
    </row>
    <row r="79" spans="2:10" x14ac:dyDescent="0.25">
      <c r="B79" s="366" t="s">
        <v>10</v>
      </c>
      <c r="C79">
        <f>C77*C78*(((IF(G79=TRUE,I77,I76))/2)^2*PI())</f>
        <v>3.1415926535897934E-2</v>
      </c>
      <c r="D79" t="s">
        <v>87</v>
      </c>
      <c r="F79" s="8"/>
      <c r="G79" s="367" t="b">
        <v>0</v>
      </c>
    </row>
    <row r="80" spans="2:10" x14ac:dyDescent="0.25">
      <c r="B80" s="7" t="s">
        <v>92</v>
      </c>
      <c r="C80" s="5"/>
      <c r="D80" s="5"/>
      <c r="E80" s="5">
        <f>(C79*H80)/('Transport Kennzahlen'!$D$5*'Transport Kennzahlen'!$E$10)</f>
        <v>2.4674481107742695E-2</v>
      </c>
      <c r="F80" s="6" t="s">
        <v>93</v>
      </c>
      <c r="G80" t="s">
        <v>1170</v>
      </c>
      <c r="H80">
        <v>7850</v>
      </c>
      <c r="I80" t="s">
        <v>66</v>
      </c>
    </row>
    <row r="81" spans="2:9" x14ac:dyDescent="0.25">
      <c r="B81" s="9" t="s">
        <v>95</v>
      </c>
      <c r="C81" s="10"/>
      <c r="D81" s="10"/>
      <c r="E81" s="10">
        <f>(C79*H80)*H81</f>
        <v>47.350084474905366</v>
      </c>
      <c r="F81" s="11" t="s">
        <v>20</v>
      </c>
      <c r="G81" t="s">
        <v>1171</v>
      </c>
      <c r="H81">
        <v>0.192</v>
      </c>
      <c r="I81" t="s">
        <v>68</v>
      </c>
    </row>
    <row r="84" spans="2:9" x14ac:dyDescent="0.25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40" priority="2">
      <formula>$N$23=2</formula>
    </cfRule>
    <cfRule type="expression" dxfId="39" priority="4">
      <formula>$N$23=2</formula>
    </cfRule>
  </conditionalFormatting>
  <conditionalFormatting sqref="H26:L28">
    <cfRule type="expression" dxfId="38" priority="1">
      <formula>$N$23=1</formula>
    </cfRule>
    <cfRule type="expression" dxfId="37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49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 x14ac:dyDescent="0.25"/>
  <cols>
    <col min="1" max="1" width="75.42578125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2.2851562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 x14ac:dyDescent="0.25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128</v>
      </c>
      <c r="G1" t="s">
        <v>129</v>
      </c>
      <c r="H1" t="s">
        <v>130</v>
      </c>
      <c r="I1" t="s">
        <v>2</v>
      </c>
      <c r="J1" t="s">
        <v>131</v>
      </c>
    </row>
    <row r="2" spans="1:16" x14ac:dyDescent="0.25">
      <c r="A2" t="s">
        <v>1193</v>
      </c>
      <c r="B2">
        <v>2473.17</v>
      </c>
      <c r="C2">
        <v>164.87799999999999</v>
      </c>
      <c r="D2">
        <v>15</v>
      </c>
      <c r="E2">
        <v>721685.9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2.2899722222222221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212.39492361110985</v>
      </c>
      <c r="J2" s="96">
        <f>Materialien_ex_beton_und_Fenster[[#This Row],[Transportemissionen '[kgCO2 eq.']]]/Materialien_ex_beton_und_Fenster[[#Totals],[Transportemissionen '[kgCO2 eq.']]]</f>
        <v>6.0028215409294074E-3</v>
      </c>
      <c r="L2" t="s">
        <v>132</v>
      </c>
    </row>
    <row r="3" spans="1:16" x14ac:dyDescent="0.25">
      <c r="A3" t="s">
        <v>1194</v>
      </c>
      <c r="B3">
        <v>7655.5</v>
      </c>
      <c r="C3">
        <v>7.2910000000000004</v>
      </c>
      <c r="D3">
        <v>1050</v>
      </c>
      <c r="E3">
        <v>721685.9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0.9569375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88.755953124999465</v>
      </c>
      <c r="J3" s="96">
        <f>Materialien_ex_beton_und_Fenster[[#This Row],[Transportemissionen '[kgCO2 eq.']]]/Materialien_ex_beton_und_Fenster[[#Totals],[Transportemissionen '[kgCO2 eq.']]]</f>
        <v>2.5084693091817324E-3</v>
      </c>
      <c r="L3" s="100">
        <f>Gesamtauswertung!D8/100</f>
        <v>0.8</v>
      </c>
      <c r="O3">
        <f>E2/B2</f>
        <v>291.80602223057855</v>
      </c>
    </row>
    <row r="4" spans="1:16" x14ac:dyDescent="0.25">
      <c r="A4" t="s">
        <v>1195</v>
      </c>
      <c r="B4">
        <v>51524.38</v>
      </c>
      <c r="C4">
        <v>103.04900000000001</v>
      </c>
      <c r="D4">
        <v>500</v>
      </c>
      <c r="E4">
        <v>559584.14399999997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6.4405475000000001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597.36078062499644</v>
      </c>
      <c r="J4" s="96">
        <f>Materialien_ex_beton_und_Fenster[[#This Row],[Transportemissionen '[kgCO2 eq.']]]/Materialien_ex_beton_und_Fenster[[#Totals],[Transportemissionen '[kgCO2 eq.']]]</f>
        <v>1.6882937222208488E-2</v>
      </c>
    </row>
    <row r="5" spans="1:16" x14ac:dyDescent="0.25">
      <c r="A5" t="s">
        <v>1205</v>
      </c>
      <c r="B5">
        <v>42688.22</v>
      </c>
      <c r="C5">
        <v>85.376000000000005</v>
      </c>
      <c r="D5">
        <v>500</v>
      </c>
      <c r="E5">
        <v>314210.93800000002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5.3360275000000001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494.91655062499706</v>
      </c>
      <c r="J5" s="96">
        <f>Materialien_ex_beton_und_Fenster[[#This Row],[Transportemissionen '[kgCO2 eq.']]]/Materialien_ex_beton_und_Fenster[[#Totals],[Transportemissionen '[kgCO2 eq.']]]</f>
        <v>1.3987602342576948E-2</v>
      </c>
    </row>
    <row r="6" spans="1:16" x14ac:dyDescent="0.25">
      <c r="A6" t="s">
        <v>1192</v>
      </c>
      <c r="B6">
        <v>6182.92</v>
      </c>
      <c r="C6">
        <v>4.1219999999999999</v>
      </c>
      <c r="D6">
        <v>1500</v>
      </c>
      <c r="E6">
        <v>47853.3266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0.77286499999999991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71.683228749999557</v>
      </c>
      <c r="J6" s="96">
        <f>Materialien_ex_beton_und_Fenster[[#This Row],[Transportemissionen '[kgCO2 eq.']]]/Materialien_ex_beton_und_Fenster[[#Totals],[Transportemissionen '[kgCO2 eq.']]]</f>
        <v>2.0259506317191448E-3</v>
      </c>
      <c r="L6" t="s">
        <v>133</v>
      </c>
    </row>
    <row r="7" spans="1:16" x14ac:dyDescent="0.25">
      <c r="A7" t="s">
        <v>1208</v>
      </c>
      <c r="B7">
        <v>6121.08</v>
      </c>
      <c r="C7">
        <v>61.210999999999999</v>
      </c>
      <c r="D7">
        <v>100</v>
      </c>
      <c r="E7">
        <v>39970.296000000002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0.85015277777777776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78.851670138888423</v>
      </c>
      <c r="J7" s="96">
        <f>Materialien_ex_beton_und_Fenster[[#This Row],[Transportemissionen '[kgCO2 eq.']]]/Materialien_ex_beton_und_Fenster[[#Totals],[Transportemissionen '[kgCO2 eq.']]]</f>
        <v>2.2285490443954316E-3</v>
      </c>
    </row>
    <row r="8" spans="1:16" x14ac:dyDescent="0.25">
      <c r="A8" t="s">
        <v>1190</v>
      </c>
      <c r="B8">
        <v>436.93</v>
      </c>
      <c r="C8">
        <v>0.41199999999999998</v>
      </c>
      <c r="D8">
        <v>1061</v>
      </c>
      <c r="E8">
        <v>15544.003999999999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5.4616250000000005E-2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5.0656571874999701</v>
      </c>
      <c r="J8" s="96">
        <f>Materialien_ex_beton_und_Fenster[[#This Row],[Transportemissionen '[kgCO2 eq.']]]/Materialien_ex_beton_und_Fenster[[#Totals],[Transportemissionen '[kgCO2 eq.']]]</f>
        <v>1.4316837505855588E-4</v>
      </c>
      <c r="L8" t="s">
        <v>729</v>
      </c>
    </row>
    <row r="9" spans="1:16" x14ac:dyDescent="0.25">
      <c r="A9" t="s">
        <v>1191</v>
      </c>
      <c r="B9">
        <v>263.8</v>
      </c>
      <c r="C9">
        <v>0.41199999999999998</v>
      </c>
      <c r="D9">
        <v>640</v>
      </c>
      <c r="E9">
        <v>45521.725999999995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3.2975000000000004E-2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3.0584312499999822</v>
      </c>
      <c r="J9" s="96">
        <f>Materialien_ex_beton_und_Fenster[[#This Row],[Transportemissionen '[kgCO2 eq.']]]/Materialien_ex_beton_und_Fenster[[#Totals],[Transportemissionen '[kgCO2 eq.']]]</f>
        <v>8.6439057378635118E-5</v>
      </c>
    </row>
    <row r="10" spans="1:16" x14ac:dyDescent="0.25">
      <c r="A10" t="s">
        <v>1189</v>
      </c>
      <c r="B10">
        <v>12984.14</v>
      </c>
      <c r="C10">
        <v>12.366</v>
      </c>
      <c r="D10">
        <v>1050</v>
      </c>
      <c r="E10">
        <v>11102.86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1.6230175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150.53487312499908</v>
      </c>
      <c r="J10" s="96">
        <f>Materialien_ex_beton_und_Fenster[[#This Row],[Transportemissionen '[kgCO2 eq.']]]/Materialien_ex_beton_und_Fenster[[#Totals],[Transportemissionen '[kgCO2 eq.']]]</f>
        <v>4.2544989479614522E-3</v>
      </c>
      <c r="M10" t="s">
        <v>134</v>
      </c>
      <c r="N10" t="s">
        <v>10</v>
      </c>
      <c r="O10" t="s">
        <v>65</v>
      </c>
      <c r="P10" t="s">
        <v>3</v>
      </c>
    </row>
    <row r="11" spans="1:16" x14ac:dyDescent="0.25">
      <c r="A11" t="s">
        <v>1182</v>
      </c>
      <c r="B11">
        <v>4072.49</v>
      </c>
      <c r="C11">
        <v>177.244</v>
      </c>
      <c r="D11">
        <v>23</v>
      </c>
      <c r="E11">
        <v>403033.81799999997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2.4617222222222219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228.32473611110973</v>
      </c>
      <c r="J11" s="96">
        <f>Materialien_ex_beton_und_Fenster[[#This Row],[Transportemissionen '[kgCO2 eq.']]]/Materialien_ex_beton_und_Fenster[[#Totals],[Transportemissionen '[kgCO2 eq.']]]</f>
        <v>6.4530386176475437E-3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 x14ac:dyDescent="0.25">
      <c r="A12" t="s">
        <v>1183</v>
      </c>
      <c r="B12">
        <v>17326.5</v>
      </c>
      <c r="C12">
        <v>21.658000000000001</v>
      </c>
      <c r="D12">
        <v>800</v>
      </c>
      <c r="E12">
        <v>0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2.1658124999999999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200.87910937499879</v>
      </c>
      <c r="J12" s="96">
        <f>Materialien_ex_beton_und_Fenster[[#This Row],[Transportemissionen '[kgCO2 eq.']]]/Materialien_ex_beton_und_Fenster[[#Totals],[Transportemissionen '[kgCO2 eq.']]]</f>
        <v>5.677355298221839E-3</v>
      </c>
    </row>
    <row r="13" spans="1:16" x14ac:dyDescent="0.25">
      <c r="A13" t="s">
        <v>1187</v>
      </c>
      <c r="B13">
        <v>7914.14</v>
      </c>
      <c r="C13">
        <v>12.366</v>
      </c>
      <c r="D13">
        <v>640</v>
      </c>
      <c r="E13">
        <v>407474.96200000006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0.98926750000000008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91.754560624999456</v>
      </c>
      <c r="J13" s="96">
        <f>Materialien_ex_beton_und_Fenster[[#This Row],[Transportemissionen '[kgCO2 eq.']]]/Materialien_ex_beton_und_Fenster[[#Totals],[Transportemissionen '[kgCO2 eq.']]]</f>
        <v>2.5932175950058806E-3</v>
      </c>
      <c r="L13" t="s">
        <v>135</v>
      </c>
    </row>
    <row r="14" spans="1:16" x14ac:dyDescent="0.25">
      <c r="A14" t="s">
        <v>669</v>
      </c>
      <c r="B14">
        <v>335.39</v>
      </c>
      <c r="C14">
        <v>0.745</v>
      </c>
      <c r="D14">
        <v>450</v>
      </c>
      <c r="E14">
        <v>4441.1440000000002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4.1923749999999996E-2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3.8884278124999763</v>
      </c>
      <c r="J14" s="96">
        <f>Materialien_ex_beton_und_Fenster[[#This Row],[Transportemissionen '[kgCO2 eq.']]]/Materialien_ex_beton_und_Fenster[[#Totals],[Transportemissionen '[kgCO2 eq.']]]</f>
        <v>1.0989687435261722E-4</v>
      </c>
    </row>
    <row r="15" spans="1:16" x14ac:dyDescent="0.25">
      <c r="A15" t="s">
        <v>1206</v>
      </c>
      <c r="B15">
        <v>2515.1799999999998</v>
      </c>
      <c r="C15">
        <v>5.5890000000000004</v>
      </c>
      <c r="D15">
        <v>450</v>
      </c>
      <c r="E15">
        <v>4441.1440000000002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0.31439749999999994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29.16036812499982</v>
      </c>
      <c r="J15" s="96">
        <f>Materialien_ex_beton_und_Fenster[[#This Row],[Transportemissionen '[kgCO2 eq.']]]/Materialien_ex_beton_und_Fenster[[#Totals],[Transportemissionen '[kgCO2 eq.']]]</f>
        <v>8.2414627876268155E-4</v>
      </c>
      <c r="L15" t="s">
        <v>136</v>
      </c>
    </row>
    <row r="16" spans="1:16" x14ac:dyDescent="0.25">
      <c r="A16" t="s">
        <v>1201</v>
      </c>
      <c r="B16">
        <v>10899.12</v>
      </c>
      <c r="C16">
        <v>18.164999999999999</v>
      </c>
      <c r="D16">
        <v>600</v>
      </c>
      <c r="E16">
        <v>18874.862000000001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1.36239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126.36167249999923</v>
      </c>
      <c r="J16" s="96">
        <f>Materialien_ex_beton_und_Fenster[[#This Row],[Transportemissionen '[kgCO2 eq.']]]/Materialien_ex_beton_und_Fenster[[#Totals],[Transportemissionen '[kgCO2 eq.']]]</f>
        <v>3.5713027257643264E-3</v>
      </c>
      <c r="L16" t="s">
        <v>137</v>
      </c>
    </row>
    <row r="17" spans="1:16" x14ac:dyDescent="0.25">
      <c r="A17" t="s">
        <v>1184</v>
      </c>
      <c r="B17">
        <v>49970.38</v>
      </c>
      <c r="C17">
        <v>76.878</v>
      </c>
      <c r="D17">
        <v>650</v>
      </c>
      <c r="E17">
        <v>163212.04199999999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6.2462974999999998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579.34409312499656</v>
      </c>
      <c r="J17" s="96">
        <f>Materialien_ex_beton_und_Fenster[[#This Row],[Transportemissionen '[kgCO2 eq.']]]/Materialien_ex_beton_und_Fenster[[#Totals],[Transportemissionen '[kgCO2 eq.']]]</f>
        <v>1.637373974242684E-2</v>
      </c>
      <c r="L17" t="s">
        <v>138</v>
      </c>
    </row>
    <row r="18" spans="1:16" x14ac:dyDescent="0.25">
      <c r="A18" t="s">
        <v>1202</v>
      </c>
      <c r="B18">
        <v>1114.68</v>
      </c>
      <c r="C18">
        <v>2.4769999999999999</v>
      </c>
      <c r="D18">
        <v>450</v>
      </c>
      <c r="E18">
        <v>2220.5720000000001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0.13933500000000001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12.923321249999924</v>
      </c>
      <c r="J18" s="96">
        <f>Materialien_ex_beton_und_Fenster[[#This Row],[Transportemissionen '[kgCO2 eq.']]]/Materialien_ex_beton_und_Fenster[[#Totals],[Transportemissionen '[kgCO2 eq.']]]</f>
        <v>3.652459760379719E-4</v>
      </c>
      <c r="L18" t="s">
        <v>139</v>
      </c>
    </row>
    <row r="19" spans="1:16" x14ac:dyDescent="0.25">
      <c r="A19" t="s">
        <v>1199</v>
      </c>
      <c r="B19">
        <v>20123.62</v>
      </c>
      <c r="C19">
        <v>372.66</v>
      </c>
      <c r="D19">
        <v>54</v>
      </c>
      <c r="E19">
        <v>75499.448000000004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5.1758333333333342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480.05854166666387</v>
      </c>
      <c r="J19" s="96">
        <f>Materialien_ex_beton_und_Fenster[[#This Row],[Transportemissionen '[kgCO2 eq.']]]/Materialien_ex_beton_und_Fenster[[#Totals],[Transportemissionen '[kgCO2 eq.']]]</f>
        <v>1.3567677163980357E-2</v>
      </c>
      <c r="L19" t="s">
        <v>140</v>
      </c>
    </row>
    <row r="20" spans="1:16" x14ac:dyDescent="0.25">
      <c r="A20" t="s">
        <v>1186</v>
      </c>
      <c r="B20">
        <v>84087.78</v>
      </c>
      <c r="C20">
        <v>49.463000000000001</v>
      </c>
      <c r="D20">
        <v>1700</v>
      </c>
      <c r="E20">
        <v>25536.577999999998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10.510972499999999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974.89269937499421</v>
      </c>
      <c r="J20" s="96">
        <f>Materialien_ex_beton_und_Fenster[[#This Row],[Transportemissionen '[kgCO2 eq.']]]/Materialien_ex_beton_und_Fenster[[#Totals],[Transportemissionen '[kgCO2 eq.']]]</f>
        <v>2.7552950872865981E-2</v>
      </c>
      <c r="L20" t="s">
        <v>141</v>
      </c>
    </row>
    <row r="21" spans="1:16" x14ac:dyDescent="0.25">
      <c r="A21" t="s">
        <v>1204</v>
      </c>
      <c r="B21">
        <v>11889.95</v>
      </c>
      <c r="C21">
        <v>26.422000000000001</v>
      </c>
      <c r="D21">
        <v>450</v>
      </c>
      <c r="E21">
        <v>22205.72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1.4862437500000001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137.84910781249917</v>
      </c>
      <c r="J21" s="96">
        <f>Materialien_ex_beton_und_Fenster[[#This Row],[Transportemissionen '[kgCO2 eq.']]]/Materialien_ex_beton_und_Fenster[[#Totals],[Transportemissionen '[kgCO2 eq.']]]</f>
        <v>3.8959669078055437E-3</v>
      </c>
    </row>
    <row r="22" spans="1:16" x14ac:dyDescent="0.25">
      <c r="A22" t="s">
        <v>1198</v>
      </c>
      <c r="B22">
        <v>2229382.2000000002</v>
      </c>
      <c r="C22">
        <v>1486.2550000000001</v>
      </c>
      <c r="D22">
        <v>1500</v>
      </c>
      <c r="E22">
        <v>0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278.67277500000006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25846.89988124985</v>
      </c>
      <c r="J22" s="96">
        <f>Materialien_ex_beton_und_Fenster[[#This Row],[Transportemissionen '[kgCO2 eq.']]]/Materialien_ex_beton_und_Fenster[[#Totals],[Transportemissionen '[kgCO2 eq.']]]</f>
        <v>0.730499226325655</v>
      </c>
      <c r="L22" t="s">
        <v>142</v>
      </c>
    </row>
    <row r="23" spans="1:16" x14ac:dyDescent="0.25">
      <c r="A23" t="s">
        <v>1203</v>
      </c>
      <c r="B23">
        <v>8174.34</v>
      </c>
      <c r="C23">
        <v>13.624000000000001</v>
      </c>
      <c r="D23">
        <v>600</v>
      </c>
      <c r="E23">
        <v>77720.02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1.0217925000000001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94.77125437499943</v>
      </c>
      <c r="J23" s="96">
        <f>Materialien_ex_beton_und_Fenster[[#This Row],[Transportemissionen '[kgCO2 eq.']]]/Materialien_ex_beton_und_Fenster[[#Totals],[Transportemissionen '[kgCO2 eq.']]]</f>
        <v>2.678477044323245E-3</v>
      </c>
      <c r="L23" t="s">
        <v>143</v>
      </c>
    </row>
    <row r="24" spans="1:16" x14ac:dyDescent="0.25">
      <c r="A24" t="s">
        <v>1196</v>
      </c>
      <c r="B24">
        <v>989.27</v>
      </c>
      <c r="C24">
        <v>49.463000000000001</v>
      </c>
      <c r="D24">
        <v>20</v>
      </c>
      <c r="E24">
        <v>66617.16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0.68698611111111108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63.71796180555517</v>
      </c>
      <c r="J24" s="96">
        <f>Materialien_ex_beton_und_Fenster[[#This Row],[Transportemissionen '[kgCO2 eq.']]]/Materialien_ex_beton_und_Fenster[[#Totals],[Transportemissionen '[kgCO2 eq.']]]</f>
        <v>1.8008318992163372E-3</v>
      </c>
    </row>
    <row r="25" spans="1:16" x14ac:dyDescent="0.25">
      <c r="A25" t="s">
        <v>1207</v>
      </c>
      <c r="B25">
        <v>19587.46</v>
      </c>
      <c r="C25">
        <v>326.45800000000003</v>
      </c>
      <c r="D25">
        <v>60</v>
      </c>
      <c r="E25">
        <v>34085.780200000001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4.5341388888888892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420.54138194444192</v>
      </c>
      <c r="J25" s="96">
        <f>Materialien_ex_beton_und_Fenster[[#This Row],[Transportemissionen '[kgCO2 eq.']]]/Materialien_ex_beton_und_Fenster[[#Totals],[Transportemissionen '[kgCO2 eq.']]]</f>
        <v>1.1885570631671493E-2</v>
      </c>
      <c r="L25" t="s">
        <v>144</v>
      </c>
    </row>
    <row r="26" spans="1:16" x14ac:dyDescent="0.25">
      <c r="A26" t="s">
        <v>1185</v>
      </c>
      <c r="B26">
        <v>79141.440000000002</v>
      </c>
      <c r="C26">
        <v>32.975999999999999</v>
      </c>
      <c r="D26">
        <v>2400</v>
      </c>
      <c r="E26">
        <v>55514.3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9.8926800000000004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917.54606999999453</v>
      </c>
      <c r="J26" s="96">
        <f>Materialien_ex_beton_und_Fenster[[#This Row],[Transportemissionen '[kgCO2 eq.']]]/Materialien_ex_beton_und_Fenster[[#Totals],[Transportemissionen '[kgCO2 eq.']]]</f>
        <v>2.593218905681504E-2</v>
      </c>
      <c r="L26" t="s">
        <v>145</v>
      </c>
    </row>
    <row r="27" spans="1:16" x14ac:dyDescent="0.25">
      <c r="A27" t="s">
        <v>1197</v>
      </c>
      <c r="B27">
        <v>50030</v>
      </c>
      <c r="C27">
        <v>50.03</v>
      </c>
      <c r="D27">
        <v>1000</v>
      </c>
      <c r="E27">
        <v>69948.017999999996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6.2537500000000001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580.03531249999651</v>
      </c>
      <c r="J27" s="96">
        <f>Materialien_ex_beton_und_Fenster[[#This Row],[Transportemissionen '[kgCO2 eq.']]]/Materialien_ex_beton_und_Fenster[[#Totals],[Transportemissionen '[kgCO2 eq.']]]</f>
        <v>1.6393275362597097E-2</v>
      </c>
    </row>
    <row r="28" spans="1:16" x14ac:dyDescent="0.25">
      <c r="A28" t="s">
        <v>1188</v>
      </c>
      <c r="B28">
        <v>123.66</v>
      </c>
      <c r="C28">
        <v>0.41199999999999998</v>
      </c>
      <c r="D28">
        <v>300</v>
      </c>
      <c r="E28">
        <v>22205.72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1.5457500000000001E-2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1.4336831249999915</v>
      </c>
      <c r="J28" s="96">
        <f>Materialien_ex_beton_und_Fenster[[#This Row],[Transportemissionen '[kgCO2 eq.']]]/Materialien_ex_beton_und_Fenster[[#Totals],[Transportemissionen '[kgCO2 eq.']]]</f>
        <v>4.0519536904632362E-5</v>
      </c>
      <c r="L28" t="s">
        <v>146</v>
      </c>
      <c r="P28" t="s">
        <v>1161</v>
      </c>
    </row>
    <row r="29" spans="1:16" x14ac:dyDescent="0.25">
      <c r="A29" t="s">
        <v>1066</v>
      </c>
      <c r="B29">
        <v>4121.95</v>
      </c>
      <c r="C29">
        <v>4.1219999999999999</v>
      </c>
      <c r="D29">
        <v>1000</v>
      </c>
      <c r="E29">
        <v>12213.146000000002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0.51524375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47.788857812499714</v>
      </c>
      <c r="J29" s="96">
        <f>Materialien_ex_beton_und_Fenster[[#This Row],[Transportemissionen '[kgCO2 eq.']]]/Materialien_ex_beton_und_Fenster[[#Totals],[Transportemissionen '[kgCO2 eq.']]]</f>
        <v>1.3506348467091165E-3</v>
      </c>
    </row>
    <row r="30" spans="1:16" x14ac:dyDescent="0.25">
      <c r="A30" t="s">
        <v>1210</v>
      </c>
      <c r="B30">
        <v>4896.8599999999997</v>
      </c>
      <c r="C30">
        <v>24.484000000000002</v>
      </c>
      <c r="D30">
        <v>200</v>
      </c>
      <c r="E30">
        <v>82383.2212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0.61210749999999992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56.772970624999651</v>
      </c>
      <c r="J30" s="96">
        <f>Materialien_ex_beton_und_Fenster[[#This Row],[Transportemissionen '[kgCO2 eq.']]]/Materialien_ex_beton_und_Fenster[[#Totals],[Transportemissionen '[kgCO2 eq.']]]</f>
        <v>1.6045487585865921E-3</v>
      </c>
      <c r="L30" t="s">
        <v>147</v>
      </c>
    </row>
    <row r="31" spans="1:16" x14ac:dyDescent="0.25">
      <c r="A31" t="s">
        <v>1200</v>
      </c>
      <c r="B31">
        <v>19768.5</v>
      </c>
      <c r="C31">
        <v>10.981999999999999</v>
      </c>
      <c r="D31">
        <v>1800</v>
      </c>
      <c r="E31">
        <v>0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2.4710624999999999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229.19104687499862</v>
      </c>
      <c r="J31" s="96">
        <f>Materialien_ex_beton_und_Fenster[[#This Row],[Transportemissionen '[kgCO2 eq.']]]/Materialien_ex_beton_und_Fenster[[#Totals],[Transportemissionen '[kgCO2 eq.']]]</f>
        <v>6.4775227664501441E-3</v>
      </c>
    </row>
    <row r="32" spans="1:16" x14ac:dyDescent="0.25">
      <c r="A32" t="s">
        <v>524</v>
      </c>
      <c r="B32">
        <v>16564.63</v>
      </c>
      <c r="C32">
        <v>331.29300000000001</v>
      </c>
      <c r="D32">
        <v>50</v>
      </c>
      <c r="E32">
        <v>113249.17199999999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4.6012916666666666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426.76980208333077</v>
      </c>
      <c r="J32" s="96">
        <f>Materialien_ex_beton_und_Fenster[[#This Row],[Transportemissionen '[kgCO2 eq.']]]/Materialien_ex_beton_und_Fenster[[#Totals],[Transportemissionen '[kgCO2 eq.']]]</f>
        <v>1.2061601649456726E-2</v>
      </c>
    </row>
    <row r="33" spans="1:10" x14ac:dyDescent="0.25">
      <c r="A33" t="s">
        <v>1209</v>
      </c>
      <c r="B33">
        <v>183632.4</v>
      </c>
      <c r="C33">
        <v>102.018</v>
      </c>
      <c r="D33">
        <v>1800</v>
      </c>
      <c r="E33">
        <v>0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22.954050000000002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2128.9881374999877</v>
      </c>
      <c r="J33" s="96">
        <f>Materialien_ex_beton_und_Fenster[[#This Row],[Transportemissionen '[kgCO2 eq.']]]/Materialien_ex_beton_und_Fenster[[#Totals],[Transportemissionen '[kgCO2 eq.']]]</f>
        <v>6.0170627597333118E-2</v>
      </c>
    </row>
    <row r="34" spans="1:10" x14ac:dyDescent="0.25">
      <c r="E34">
        <f>SUBTOTAL(109,Materialien_ex_beton_und_Fenster[GWP])</f>
        <v>4138035.9220000003</v>
      </c>
      <c r="I34">
        <f>SUM(Materialien_ex_beton_und_Fenster[Transportemissionen '[kgCO2 eq.']])</f>
        <v>35382.515066110907</v>
      </c>
    </row>
    <row r="35" spans="1:10" x14ac:dyDescent="0.25">
      <c r="F35" s="96" t="e">
        <f>#REF!/L49</f>
        <v>#REF!</v>
      </c>
      <c r="G35" s="96"/>
      <c r="H35" s="96"/>
      <c r="J35" s="96">
        <f>Materialien_ex_beton_und_Fenster[[#Totals],[Transportemissionen '[kgCO2 eq.']]]/L49</f>
        <v>8.4780655473848457E-3</v>
      </c>
    </row>
    <row r="49" spans="12:12" x14ac:dyDescent="0.25">
      <c r="L49">
        <f>SUM(Materialien_ex_beton_und_Fenster[[#Totals],[GWP]],I34)</f>
        <v>4173418.4370661112</v>
      </c>
    </row>
  </sheetData>
  <phoneticPr fontId="11" type="noConversion"/>
  <conditionalFormatting sqref="A1:D33 F1:I33">
    <cfRule type="containsBlanks" dxfId="36" priority="135">
      <formula>LEN(TRIM(A1))=0</formula>
    </cfRule>
  </conditionalFormatting>
  <conditionalFormatting sqref="I2:I33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55"/>
  <sheetViews>
    <sheetView zoomScaleNormal="100" workbookViewId="0">
      <selection activeCell="E30" sqref="E30"/>
    </sheetView>
  </sheetViews>
  <sheetFormatPr baseColWidth="10" defaultColWidth="11.42578125" defaultRowHeight="15" x14ac:dyDescent="0.25"/>
  <cols>
    <col min="1" max="1" width="46.85546875" bestFit="1" customWidth="1"/>
    <col min="2" max="2" width="20.140625" bestFit="1" customWidth="1"/>
    <col min="3" max="3" width="23.28515625" bestFit="1" customWidth="1"/>
    <col min="4" max="4" width="9" bestFit="1" customWidth="1"/>
    <col min="5" max="5" width="9.14062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 x14ac:dyDescent="0.25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1130</v>
      </c>
      <c r="G1" t="s">
        <v>129</v>
      </c>
      <c r="H1" t="s">
        <v>130</v>
      </c>
      <c r="I1" t="s">
        <v>2</v>
      </c>
      <c r="J1" t="s">
        <v>1131</v>
      </c>
      <c r="K1" t="s">
        <v>1145</v>
      </c>
      <c r="L1" t="s">
        <v>1146</v>
      </c>
      <c r="M1" t="s">
        <v>1147</v>
      </c>
      <c r="N1" t="s">
        <v>1148</v>
      </c>
    </row>
    <row r="2" spans="1:14" x14ac:dyDescent="0.25">
      <c r="A2" t="s">
        <v>63</v>
      </c>
      <c r="B2">
        <v>395707.2</v>
      </c>
      <c r="C2">
        <v>164.87799999999999</v>
      </c>
      <c r="D2">
        <v>2400</v>
      </c>
      <c r="E2">
        <v>88822.88</v>
      </c>
      <c r="F2">
        <f>Beton[[#This Row],[Summe Masse '[kg']]]*$H$22</f>
        <v>39056.300640000001</v>
      </c>
      <c r="G2">
        <f>IF('Transport Kennzahlen'!$D$6&lt;Beton[[#This Row],[Dichte]],Beton[[#This Row],[Summe Masse '[kg']]]/'Transport Kennzahlen'!$D$5,Beton[[#This Row],[Summe Volumen '[m3']]]/'Transport Kennzahlen'!$F$5)*(1/$A$22)</f>
        <v>29.442499999999999</v>
      </c>
      <c r="H2" s="44">
        <f>Gesamtauswertung!$D$9</f>
        <v>100</v>
      </c>
      <c r="I2">
        <f>'Transport Kennzahlen'!$E$10*Beton[[#This Row],[LKW-Fahrten]]*Beton[[#This Row],[Distanz '[km']]]</f>
        <v>1751.6079312499896</v>
      </c>
      <c r="J2">
        <f>Beton[[#This Row],[Summe Masse '[kg']]]*$H$25</f>
        <v>41549.256000000001</v>
      </c>
      <c r="K2">
        <f>Beton[[#This Row],[GWP]]*((100-$E$8)/100)</f>
        <v>81404.093272519953</v>
      </c>
      <c r="L2">
        <f>Beton[[#This Row],[GWP]]*((100-$E$9)/100)</f>
        <v>82294.347679817554</v>
      </c>
      <c r="M2">
        <f>Beton[[#This Row],[GWP]]*((100-$E$10)/100)</f>
        <v>81226.852633979477</v>
      </c>
      <c r="N2">
        <f>Beton[[#This Row],[GWP]]*((100-$E$11)/100)</f>
        <v>82138.37591790194</v>
      </c>
    </row>
    <row r="3" spans="1:14" x14ac:dyDescent="0.25">
      <c r="A3" t="s">
        <v>1181</v>
      </c>
      <c r="B3">
        <v>1453756.5</v>
      </c>
      <c r="C3">
        <v>612.10799999999995</v>
      </c>
      <c r="D3">
        <v>2375</v>
      </c>
      <c r="E3">
        <v>0</v>
      </c>
      <c r="F3">
        <f>Beton[[#This Row],[Summe Masse '[kg']]]*$H$22</f>
        <v>143485.76655</v>
      </c>
      <c r="G3">
        <f>IF('Transport Kennzahlen'!$D$6&lt;Beton[[#This Row],[Dichte]],Beton[[#This Row],[Summe Masse '[kg']]]/'Transport Kennzahlen'!$D$5,Beton[[#This Row],[Summe Volumen '[m3']]]/'Transport Kennzahlen'!$F$5)*(1/$A$22)</f>
        <v>109.30499999999998</v>
      </c>
      <c r="H3" s="44">
        <f>Gesamtauswertung!$D$9</f>
        <v>100</v>
      </c>
      <c r="I3">
        <f>'Transport Kennzahlen'!$E$10*Beton[[#This Row],[LKW-Fahrten]]*Beton[[#This Row],[Distanz '[km']]]</f>
        <v>6502.8277124999604</v>
      </c>
      <c r="J3">
        <f>Beton[[#This Row],[Summe Masse '[kg']]]*$H$25</f>
        <v>152644.4325</v>
      </c>
      <c r="K3">
        <f>Beton[[#This Row],[GWP]]*((100-$E$8)/100)</f>
        <v>0</v>
      </c>
      <c r="L3">
        <f>Beton[[#This Row],[GWP]]*((100-$E$9)/100)</f>
        <v>0</v>
      </c>
      <c r="M3">
        <f>Beton[[#This Row],[GWP]]*((100-$E$10)/100)</f>
        <v>0</v>
      </c>
      <c r="N3">
        <f>Beton[[#This Row],[GWP]]*((100-$E$11)/100)</f>
        <v>0</v>
      </c>
    </row>
    <row r="4" spans="1:14" x14ac:dyDescent="0.25">
      <c r="E4">
        <f>SUBTOTAL(109,Beton[GWP])</f>
        <v>88822.88</v>
      </c>
      <c r="F4">
        <f>SUBTOTAL(109,Beton[GWP_ÖKOBETON C25/30])</f>
        <v>182542.06719</v>
      </c>
      <c r="I4">
        <f>SUBTOTAL(109,Beton[Transportemissionen '[kgCO2 eq.']])</f>
        <v>8254.43564374995</v>
      </c>
      <c r="J4">
        <f>SUBTOTAL(109,Beton[GWP_ÖKOBETON C30/37])</f>
        <v>194193.68849999999</v>
      </c>
      <c r="K4">
        <f>SUBTOTAL(109,Beton[RCC C25/30 CEM I])</f>
        <v>81404.093272519953</v>
      </c>
      <c r="L4">
        <f>SUBTOTAL(109,Beton[RCC C25/30 CEM II])</f>
        <v>82294.347679817554</v>
      </c>
      <c r="M4">
        <f>SUBTOTAL(109,Beton[RCC C30/37 CEM I])</f>
        <v>81226.852633979477</v>
      </c>
      <c r="N4">
        <f>SUBTOTAL(109,Beton[RCC C30/37 CEM II])</f>
        <v>82138.37591790194</v>
      </c>
    </row>
    <row r="6" spans="1:14" x14ac:dyDescent="0.25">
      <c r="A6" t="s">
        <v>1022</v>
      </c>
      <c r="B6" t="s">
        <v>131</v>
      </c>
    </row>
    <row r="7" spans="1:14" x14ac:dyDescent="0.25">
      <c r="A7" t="s">
        <v>1133</v>
      </c>
      <c r="B7">
        <f>Beton[[#Totals],[GWP_ÖKOBETON C25/30]]</f>
        <v>182542.06719</v>
      </c>
      <c r="D7" t="s">
        <v>1141</v>
      </c>
      <c r="E7" t="s">
        <v>1142</v>
      </c>
    </row>
    <row r="8" spans="1:14" x14ac:dyDescent="0.25">
      <c r="A8" t="s">
        <v>1134</v>
      </c>
      <c r="B8">
        <f>Beton[[#Totals],[GWP_ÖKOBETON C30/37]]</f>
        <v>194193.68849999999</v>
      </c>
      <c r="D8" t="s">
        <v>1137</v>
      </c>
      <c r="E8" s="44">
        <f>'Beton Zusammensetzung'!K27</f>
        <v>8.3523375142531364</v>
      </c>
    </row>
    <row r="9" spans="1:14" x14ac:dyDescent="0.25">
      <c r="A9" t="s">
        <v>297</v>
      </c>
      <c r="B9">
        <f>Beton[[#Totals],[GWP]]</f>
        <v>88822.88</v>
      </c>
      <c r="D9" t="s">
        <v>1138</v>
      </c>
      <c r="E9" s="44">
        <f>'Beton Zusammensetzung'!K28</f>
        <v>7.3500570125427602</v>
      </c>
    </row>
    <row r="10" spans="1:14" x14ac:dyDescent="0.25">
      <c r="A10" t="s">
        <v>1145</v>
      </c>
      <c r="B10">
        <f>Beton[[#Totals],[RCC C25/30 CEM I]]</f>
        <v>81404.093272519953</v>
      </c>
      <c r="D10" t="s">
        <v>1139</v>
      </c>
      <c r="E10" s="44">
        <f>'Beton Zusammensetzung'!K29</f>
        <v>8.5518814139110599</v>
      </c>
    </row>
    <row r="11" spans="1:14" x14ac:dyDescent="0.25">
      <c r="A11" t="s">
        <v>1146</v>
      </c>
      <c r="B11">
        <f>Beton[[#Totals],[RCC C25/30 CEM II]]</f>
        <v>82294.347679817554</v>
      </c>
      <c r="D11" t="s">
        <v>1140</v>
      </c>
      <c r="E11" s="44">
        <f>'Beton Zusammensetzung'!K30</f>
        <v>7.5256556442417324</v>
      </c>
    </row>
    <row r="12" spans="1:14" x14ac:dyDescent="0.25">
      <c r="A12" t="s">
        <v>1147</v>
      </c>
      <c r="B12">
        <f>Beton[[#Totals],[RCC C30/37 CEM I]]</f>
        <v>81226.852633979477</v>
      </c>
    </row>
    <row r="13" spans="1:14" x14ac:dyDescent="0.25">
      <c r="A13" t="s">
        <v>1148</v>
      </c>
      <c r="B13">
        <f>Beton[[#Totals],[RCC C30/37 CEM II]]</f>
        <v>82138.37591790194</v>
      </c>
    </row>
    <row r="21" spans="1:10" x14ac:dyDescent="0.25">
      <c r="A21" t="s">
        <v>241</v>
      </c>
      <c r="G21" s="57" t="s">
        <v>242</v>
      </c>
      <c r="H21" s="57"/>
      <c r="I21" s="57"/>
      <c r="J21" s="57"/>
    </row>
    <row r="22" spans="1:10" ht="18" x14ac:dyDescent="0.35">
      <c r="A22" s="96">
        <f>Gesamtauswertung!D8/100</f>
        <v>0.8</v>
      </c>
      <c r="G22" t="s">
        <v>243</v>
      </c>
      <c r="H22">
        <v>9.8699999999999996E-2</v>
      </c>
      <c r="I22" t="s">
        <v>244</v>
      </c>
    </row>
    <row r="24" spans="1:10" x14ac:dyDescent="0.25">
      <c r="G24" s="57" t="s">
        <v>1129</v>
      </c>
      <c r="H24" s="57"/>
      <c r="I24" s="57"/>
      <c r="J24" s="57"/>
    </row>
    <row r="25" spans="1:10" ht="18" x14ac:dyDescent="0.35">
      <c r="G25" t="s">
        <v>243</v>
      </c>
      <c r="H25">
        <v>0.105</v>
      </c>
      <c r="I25" t="s">
        <v>244</v>
      </c>
    </row>
    <row r="27" spans="1:10" x14ac:dyDescent="0.25">
      <c r="A27" t="s">
        <v>245</v>
      </c>
    </row>
    <row r="40" spans="1:5" x14ac:dyDescent="0.25">
      <c r="A40" s="207" t="s">
        <v>246</v>
      </c>
      <c r="B40" s="205"/>
      <c r="C40" s="206"/>
    </row>
    <row r="41" spans="1:5" x14ac:dyDescent="0.25">
      <c r="A41" s="7"/>
      <c r="C41" s="8"/>
    </row>
    <row r="42" spans="1:5" x14ac:dyDescent="0.25">
      <c r="A42" s="7" t="s">
        <v>89</v>
      </c>
      <c r="B42">
        <f>SUM(Beton[Summe Masse '[kg']])</f>
        <v>1849463.7</v>
      </c>
      <c r="C42" s="8" t="s">
        <v>247</v>
      </c>
    </row>
    <row r="43" spans="1:5" x14ac:dyDescent="0.25">
      <c r="A43" s="7"/>
      <c r="C43" s="8"/>
      <c r="E43" s="3" t="s">
        <v>248</v>
      </c>
    </row>
    <row r="44" spans="1:5" x14ac:dyDescent="0.25">
      <c r="A44" s="7" t="s">
        <v>249</v>
      </c>
      <c r="B44" s="226">
        <f>1/5</f>
        <v>0.2</v>
      </c>
      <c r="C44" s="8"/>
      <c r="E44" s="3" t="s">
        <v>250</v>
      </c>
    </row>
    <row r="45" spans="1:5" x14ac:dyDescent="0.25">
      <c r="A45" s="7"/>
      <c r="C45" s="8"/>
    </row>
    <row r="46" spans="1:5" x14ac:dyDescent="0.25">
      <c r="A46" s="7" t="s">
        <v>251</v>
      </c>
      <c r="B46" s="226">
        <v>0.71</v>
      </c>
      <c r="C46" s="8"/>
    </row>
    <row r="47" spans="1:5" x14ac:dyDescent="0.25">
      <c r="A47" s="7"/>
      <c r="C47" s="8"/>
    </row>
    <row r="48" spans="1:5" x14ac:dyDescent="0.25">
      <c r="A48" s="7" t="s">
        <v>252</v>
      </c>
      <c r="B48">
        <v>0.56499999999999995</v>
      </c>
      <c r="C48" s="8" t="s">
        <v>253</v>
      </c>
    </row>
    <row r="49" spans="1:4" x14ac:dyDescent="0.25">
      <c r="A49" s="7"/>
      <c r="C49" s="8"/>
    </row>
    <row r="50" spans="1:4" x14ac:dyDescent="0.25">
      <c r="A50" s="7" t="s">
        <v>254</v>
      </c>
      <c r="B50" s="136">
        <v>0.66</v>
      </c>
      <c r="C50" s="8"/>
    </row>
    <row r="51" spans="1:4" x14ac:dyDescent="0.25">
      <c r="A51" s="7"/>
      <c r="C51" s="8"/>
    </row>
    <row r="52" spans="1:4" x14ac:dyDescent="0.25">
      <c r="A52" s="7" t="s">
        <v>255</v>
      </c>
      <c r="B52" s="136">
        <v>0.15</v>
      </c>
      <c r="C52" s="8" t="s">
        <v>256</v>
      </c>
      <c r="D52" t="s">
        <v>257</v>
      </c>
    </row>
    <row r="53" spans="1:4" x14ac:dyDescent="0.25">
      <c r="A53" s="7"/>
      <c r="C53" s="8"/>
    </row>
    <row r="54" spans="1:4" x14ac:dyDescent="0.25">
      <c r="A54" s="197" t="s">
        <v>258</v>
      </c>
      <c r="B54" s="198">
        <f>B42*B44*B46*B48*B50*B52</f>
        <v>14689.864792448998</v>
      </c>
      <c r="C54" s="201" t="s">
        <v>259</v>
      </c>
    </row>
    <row r="55" spans="1:4" x14ac:dyDescent="0.25">
      <c r="A55" s="7" t="s">
        <v>260</v>
      </c>
    </row>
  </sheetData>
  <phoneticPr fontId="11" type="noConversion"/>
  <conditionalFormatting sqref="G1:I1 H2 G3:I3">
    <cfRule type="containsBlanks" dxfId="35" priority="3">
      <formula>LEN(TRIM(G1))=0</formula>
    </cfRule>
  </conditionalFormatting>
  <hyperlinks>
    <hyperlink ref="E43" r:id="rId1" xr:uid="{A2B86406-0266-4145-A1F8-387CC1DCB774}"/>
    <hyperlink ref="E44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 x14ac:dyDescent="0.2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 x14ac:dyDescent="0.25">
      <c r="A2" s="411" t="s">
        <v>1156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t="s">
        <v>1157</v>
      </c>
    </row>
    <row r="3" spans="1:13" x14ac:dyDescent="0.25">
      <c r="M3" t="s">
        <v>1158</v>
      </c>
    </row>
    <row r="4" spans="1:13" x14ac:dyDescent="0.25">
      <c r="A4" s="51" t="s">
        <v>1121</v>
      </c>
    </row>
    <row r="5" spans="1:13" x14ac:dyDescent="0.25">
      <c r="A5" s="52"/>
      <c r="B5" s="52"/>
      <c r="C5" s="52" t="s">
        <v>1125</v>
      </c>
      <c r="D5" s="52" t="s">
        <v>586</v>
      </c>
      <c r="E5" s="52" t="s">
        <v>381</v>
      </c>
      <c r="G5" s="278"/>
      <c r="H5" s="278" t="s">
        <v>1115</v>
      </c>
      <c r="I5" s="278" t="s">
        <v>1119</v>
      </c>
      <c r="J5" s="278" t="s">
        <v>1128</v>
      </c>
    </row>
    <row r="6" spans="1:13" x14ac:dyDescent="0.25">
      <c r="A6" s="52" t="s">
        <v>1112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1116</v>
      </c>
      <c r="H6" s="278">
        <v>0.6</v>
      </c>
      <c r="I6" s="278">
        <v>280</v>
      </c>
    </row>
    <row r="7" spans="1:13" x14ac:dyDescent="0.25">
      <c r="A7" s="52" t="s">
        <v>1126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1117</v>
      </c>
      <c r="H7" s="278">
        <v>0.5</v>
      </c>
      <c r="I7" s="278">
        <v>300</v>
      </c>
    </row>
    <row r="8" spans="1:13" x14ac:dyDescent="0.25">
      <c r="A8" s="261" t="s">
        <v>1068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1118</v>
      </c>
      <c r="H8" s="278"/>
      <c r="I8" s="278"/>
    </row>
    <row r="9" spans="1:13" x14ac:dyDescent="0.25">
      <c r="A9" s="5"/>
      <c r="B9" s="5"/>
      <c r="C9">
        <v>95</v>
      </c>
      <c r="D9" s="351"/>
      <c r="E9" s="5"/>
    </row>
    <row r="10" spans="1:13" x14ac:dyDescent="0.25">
      <c r="C10" s="5">
        <f>SUM(C6:C9)</f>
        <v>2297</v>
      </c>
      <c r="G10" t="s">
        <v>1124</v>
      </c>
    </row>
    <row r="11" spans="1:13" x14ac:dyDescent="0.25">
      <c r="G11" s="410" t="s">
        <v>1126</v>
      </c>
      <c r="H11" s="69">
        <v>1754</v>
      </c>
      <c r="I11">
        <v>100</v>
      </c>
      <c r="K11" t="s">
        <v>1123</v>
      </c>
      <c r="L11">
        <f>(H12*I11)/H11</f>
        <v>16.704675028506273</v>
      </c>
    </row>
    <row r="12" spans="1:13" x14ac:dyDescent="0.25">
      <c r="A12" s="51" t="s">
        <v>1122</v>
      </c>
      <c r="G12" s="410"/>
      <c r="H12">
        <v>293</v>
      </c>
      <c r="I12" t="s">
        <v>1123</v>
      </c>
    </row>
    <row r="13" spans="1:13" x14ac:dyDescent="0.25">
      <c r="A13" s="52"/>
      <c r="B13" s="52"/>
      <c r="C13" s="52" t="s">
        <v>1120</v>
      </c>
      <c r="D13" s="52" t="s">
        <v>586</v>
      </c>
      <c r="E13" s="52" t="s">
        <v>381</v>
      </c>
      <c r="G13" s="410" t="s">
        <v>1068</v>
      </c>
      <c r="H13" s="69">
        <v>1754</v>
      </c>
      <c r="I13">
        <v>100</v>
      </c>
      <c r="K13" t="s">
        <v>1123</v>
      </c>
      <c r="L13">
        <f>(H14*I13)/H13</f>
        <v>10.319270239452679</v>
      </c>
    </row>
    <row r="14" spans="1:13" x14ac:dyDescent="0.25">
      <c r="A14" s="52" t="s">
        <v>1112</v>
      </c>
      <c r="B14" s="52"/>
      <c r="C14" s="266">
        <v>1754</v>
      </c>
      <c r="D14" s="352">
        <f>100-D15-D16</f>
        <v>72.405929304446971</v>
      </c>
      <c r="E14" s="52" t="s">
        <v>22</v>
      </c>
      <c r="G14" s="410"/>
      <c r="H14">
        <v>181</v>
      </c>
      <c r="I14" t="s">
        <v>1123</v>
      </c>
    </row>
    <row r="15" spans="1:13" x14ac:dyDescent="0.25">
      <c r="A15" s="52" t="s">
        <v>1067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 x14ac:dyDescent="0.25">
      <c r="A16" s="261" t="s">
        <v>1068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1127</v>
      </c>
    </row>
    <row r="17" spans="1:12" x14ac:dyDescent="0.25">
      <c r="A17" s="5" t="s">
        <v>1149</v>
      </c>
      <c r="B17" s="5"/>
      <c r="C17">
        <v>95</v>
      </c>
      <c r="D17" s="351"/>
      <c r="E17" s="5"/>
      <c r="G17" s="410" t="s">
        <v>1126</v>
      </c>
      <c r="H17" s="69">
        <v>1754</v>
      </c>
      <c r="I17">
        <v>100</v>
      </c>
      <c r="K17" t="s">
        <v>1123</v>
      </c>
      <c r="L17">
        <f>(H18*I17)/H17</f>
        <v>17.10376282782212</v>
      </c>
    </row>
    <row r="18" spans="1:12" x14ac:dyDescent="0.25">
      <c r="C18" s="5">
        <f>SUM(C14:C17)</f>
        <v>2307</v>
      </c>
      <c r="G18" s="410"/>
      <c r="H18">
        <v>300</v>
      </c>
      <c r="I18" t="s">
        <v>1123</v>
      </c>
    </row>
    <row r="19" spans="1:12" x14ac:dyDescent="0.25">
      <c r="G19" s="410" t="s">
        <v>1068</v>
      </c>
      <c r="H19" s="69">
        <v>1754</v>
      </c>
      <c r="I19">
        <v>100</v>
      </c>
      <c r="K19" t="s">
        <v>1123</v>
      </c>
      <c r="L19">
        <f>(H20*I19)/H19</f>
        <v>10.4903078677309</v>
      </c>
    </row>
    <row r="20" spans="1:12" x14ac:dyDescent="0.25">
      <c r="G20" s="410"/>
      <c r="H20">
        <v>184</v>
      </c>
      <c r="I20" t="s">
        <v>1123</v>
      </c>
    </row>
    <row r="22" spans="1:12" ht="20.25" customHeight="1" x14ac:dyDescent="0.25">
      <c r="A22" s="51" t="s">
        <v>1069</v>
      </c>
      <c r="B22" s="51"/>
      <c r="C22" s="51"/>
      <c r="D22" s="51"/>
      <c r="E22" s="51"/>
      <c r="F22" s="51"/>
      <c r="G22" s="354" t="s">
        <v>1132</v>
      </c>
    </row>
    <row r="23" spans="1:12" ht="19.5" customHeight="1" x14ac:dyDescent="0.25"/>
    <row r="24" spans="1:12" ht="18.75" customHeight="1" x14ac:dyDescent="0.25">
      <c r="A24" t="s">
        <v>1070</v>
      </c>
      <c r="F24" t="s">
        <v>1144</v>
      </c>
      <c r="G24">
        <f>100-50</f>
        <v>50</v>
      </c>
    </row>
    <row r="25" spans="1:12" ht="18.75" customHeight="1" x14ac:dyDescent="0.25">
      <c r="F25" t="s">
        <v>1143</v>
      </c>
      <c r="G25">
        <f>94-50</f>
        <v>44</v>
      </c>
    </row>
    <row r="26" spans="1:12" ht="15" customHeight="1" x14ac:dyDescent="0.25">
      <c r="A26" t="s">
        <v>1071</v>
      </c>
      <c r="J26" t="s">
        <v>1141</v>
      </c>
      <c r="K26" t="s">
        <v>1142</v>
      </c>
    </row>
    <row r="27" spans="1:12" x14ac:dyDescent="0.25">
      <c r="J27" t="s">
        <v>1137</v>
      </c>
      <c r="K27" s="44">
        <f>($D$7/100*$G$24/100)*100</f>
        <v>8.3523375142531364</v>
      </c>
    </row>
    <row r="28" spans="1:12" ht="15" customHeight="1" x14ac:dyDescent="0.25">
      <c r="A28" s="412" t="s">
        <v>1072</v>
      </c>
      <c r="B28" s="412" t="s">
        <v>1073</v>
      </c>
      <c r="C28" s="413" t="s">
        <v>1074</v>
      </c>
      <c r="D28" s="413"/>
      <c r="E28" s="413"/>
      <c r="F28" s="413"/>
      <c r="G28" s="413"/>
      <c r="H28" s="413"/>
      <c r="J28" t="s">
        <v>1138</v>
      </c>
      <c r="K28" s="44">
        <f>($D$7/100*$G$25/100)*100</f>
        <v>7.3500570125427602</v>
      </c>
    </row>
    <row r="29" spans="1:12" x14ac:dyDescent="0.25">
      <c r="A29" s="412"/>
      <c r="B29" s="412"/>
      <c r="C29" s="409" t="s">
        <v>1075</v>
      </c>
      <c r="D29" s="409" t="s">
        <v>1076</v>
      </c>
      <c r="E29" s="409" t="s">
        <v>1077</v>
      </c>
      <c r="F29" s="342" t="s">
        <v>1078</v>
      </c>
      <c r="G29" s="409" t="s">
        <v>1080</v>
      </c>
      <c r="H29" s="409" t="s">
        <v>1081</v>
      </c>
      <c r="J29" t="s">
        <v>1139</v>
      </c>
      <c r="K29" s="44">
        <f>($D$15/100*$G$24/100)*100</f>
        <v>8.5518814139110599</v>
      </c>
    </row>
    <row r="30" spans="1:12" x14ac:dyDescent="0.25">
      <c r="A30" s="412"/>
      <c r="B30" s="412"/>
      <c r="C30" s="409"/>
      <c r="D30" s="409"/>
      <c r="E30" s="409"/>
      <c r="F30" s="342" t="s">
        <v>1079</v>
      </c>
      <c r="G30" s="409"/>
      <c r="H30" s="409"/>
      <c r="J30" t="s">
        <v>1140</v>
      </c>
      <c r="K30" s="44">
        <f>($D$15/100*$G$25/100)*100</f>
        <v>7.5256556442417324</v>
      </c>
    </row>
    <row r="31" spans="1:12" x14ac:dyDescent="0.25">
      <c r="A31" s="343" t="s">
        <v>1082</v>
      </c>
      <c r="B31" s="52" t="s">
        <v>1085</v>
      </c>
      <c r="C31" s="52" t="s">
        <v>1082</v>
      </c>
      <c r="D31" s="344" t="s">
        <v>1101</v>
      </c>
      <c r="E31" s="344" t="s">
        <v>1106</v>
      </c>
      <c r="F31" s="344" t="s">
        <v>1106</v>
      </c>
      <c r="G31" s="344" t="s">
        <v>1106</v>
      </c>
      <c r="H31" s="344" t="s">
        <v>1111</v>
      </c>
    </row>
    <row r="32" spans="1:12" ht="30" x14ac:dyDescent="0.25">
      <c r="A32" s="346" t="s">
        <v>1083</v>
      </c>
      <c r="B32" s="345" t="s">
        <v>1086</v>
      </c>
      <c r="C32" s="52" t="s">
        <v>1088</v>
      </c>
      <c r="D32" s="344" t="s">
        <v>1102</v>
      </c>
      <c r="E32" s="344" t="s">
        <v>1107</v>
      </c>
      <c r="F32" s="344" t="s">
        <v>1106</v>
      </c>
      <c r="G32" s="344" t="s">
        <v>1106</v>
      </c>
      <c r="H32" s="344" t="s">
        <v>1111</v>
      </c>
    </row>
    <row r="33" spans="1:12" x14ac:dyDescent="0.25">
      <c r="A33" s="346"/>
      <c r="B33" s="345"/>
      <c r="C33" s="52" t="s">
        <v>1090</v>
      </c>
      <c r="D33" s="344" t="s">
        <v>1103</v>
      </c>
      <c r="E33" s="344" t="s">
        <v>1108</v>
      </c>
      <c r="F33" s="344" t="s">
        <v>1106</v>
      </c>
      <c r="G33" s="344" t="s">
        <v>1106</v>
      </c>
      <c r="H33" s="344" t="s">
        <v>1111</v>
      </c>
    </row>
    <row r="34" spans="1:12" ht="30" x14ac:dyDescent="0.25">
      <c r="A34" s="346"/>
      <c r="B34" s="345" t="s">
        <v>1089</v>
      </c>
      <c r="C34" s="52" t="s">
        <v>1093</v>
      </c>
      <c r="D34" s="344" t="s">
        <v>1102</v>
      </c>
      <c r="E34" s="344" t="s">
        <v>1106</v>
      </c>
      <c r="F34" s="344" t="s">
        <v>1107</v>
      </c>
      <c r="G34" s="344" t="s">
        <v>1106</v>
      </c>
      <c r="H34" s="344" t="s">
        <v>1111</v>
      </c>
    </row>
    <row r="35" spans="1:12" x14ac:dyDescent="0.25">
      <c r="A35" s="346"/>
      <c r="B35" s="345"/>
      <c r="C35" s="52" t="s">
        <v>1094</v>
      </c>
      <c r="D35" s="344" t="s">
        <v>1103</v>
      </c>
      <c r="E35" s="344" t="s">
        <v>1106</v>
      </c>
      <c r="F35" s="344" t="s">
        <v>1108</v>
      </c>
      <c r="G35" s="344" t="s">
        <v>1106</v>
      </c>
      <c r="H35" s="344" t="s">
        <v>1111</v>
      </c>
    </row>
    <row r="36" spans="1:12" ht="30" x14ac:dyDescent="0.25">
      <c r="A36" s="346"/>
      <c r="B36" s="347" t="s">
        <v>1091</v>
      </c>
      <c r="C36" s="52" t="s">
        <v>1095</v>
      </c>
      <c r="D36" s="344" t="s">
        <v>1102</v>
      </c>
      <c r="E36" s="344" t="s">
        <v>1106</v>
      </c>
      <c r="F36" s="344" t="s">
        <v>1106</v>
      </c>
      <c r="G36" s="344" t="s">
        <v>1107</v>
      </c>
      <c r="H36" s="344" t="s">
        <v>1111</v>
      </c>
    </row>
    <row r="37" spans="1:12" x14ac:dyDescent="0.25">
      <c r="A37" s="346"/>
      <c r="B37" s="347"/>
      <c r="C37" s="52" t="s">
        <v>1096</v>
      </c>
      <c r="D37" s="344" t="s">
        <v>1103</v>
      </c>
      <c r="E37" s="344" t="s">
        <v>1106</v>
      </c>
      <c r="F37" s="344" t="s">
        <v>1106</v>
      </c>
      <c r="G37" s="344" t="s">
        <v>1108</v>
      </c>
      <c r="H37" s="344" t="s">
        <v>1111</v>
      </c>
    </row>
    <row r="38" spans="1:12" ht="30" x14ac:dyDescent="0.25">
      <c r="A38" s="346"/>
      <c r="B38" s="347" t="s">
        <v>1092</v>
      </c>
      <c r="C38" s="52" t="s">
        <v>1097</v>
      </c>
      <c r="D38" s="344" t="s">
        <v>1102</v>
      </c>
      <c r="E38" s="344" t="s">
        <v>1107</v>
      </c>
      <c r="F38" s="344"/>
      <c r="G38" s="344"/>
      <c r="H38" s="344" t="s">
        <v>1111</v>
      </c>
    </row>
    <row r="39" spans="1:12" x14ac:dyDescent="0.25">
      <c r="A39" s="346"/>
      <c r="B39" s="347"/>
      <c r="C39" s="52" t="s">
        <v>1098</v>
      </c>
      <c r="D39" s="344" t="s">
        <v>1103</v>
      </c>
      <c r="E39" s="344" t="s">
        <v>1108</v>
      </c>
      <c r="F39" s="344"/>
      <c r="G39" s="344"/>
      <c r="H39" s="344" t="s">
        <v>1111</v>
      </c>
    </row>
    <row r="40" spans="1:12" x14ac:dyDescent="0.25">
      <c r="A40" s="346" t="s">
        <v>1084</v>
      </c>
      <c r="B40" s="345" t="s">
        <v>1087</v>
      </c>
      <c r="C40" s="52" t="s">
        <v>1099</v>
      </c>
      <c r="D40" s="344" t="s">
        <v>1104</v>
      </c>
      <c r="E40" s="344" t="s">
        <v>1109</v>
      </c>
      <c r="F40" s="344" t="s">
        <v>1106</v>
      </c>
      <c r="G40" s="344" t="s">
        <v>1106</v>
      </c>
      <c r="H40" s="344" t="s">
        <v>1111</v>
      </c>
    </row>
    <row r="41" spans="1:12" x14ac:dyDescent="0.25">
      <c r="A41" s="346"/>
      <c r="B41" s="345"/>
      <c r="C41" s="52" t="s">
        <v>1100</v>
      </c>
      <c r="D41" s="344" t="s">
        <v>1105</v>
      </c>
      <c r="E41" s="344" t="s">
        <v>1110</v>
      </c>
      <c r="F41" s="344" t="s">
        <v>1106</v>
      </c>
      <c r="G41" s="344" t="s">
        <v>1106</v>
      </c>
      <c r="H41" s="344" t="s">
        <v>1111</v>
      </c>
    </row>
    <row r="42" spans="1:12" x14ac:dyDescent="0.25">
      <c r="D42" s="1"/>
      <c r="E42" s="1"/>
      <c r="F42" s="1"/>
      <c r="G42" s="1"/>
      <c r="H42" s="1"/>
    </row>
    <row r="43" spans="1:12" x14ac:dyDescent="0.25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18"/>
  <sheetViews>
    <sheetView zoomScale="85" zoomScaleNormal="85" workbookViewId="0">
      <selection activeCell="E13" sqref="E13"/>
    </sheetView>
  </sheetViews>
  <sheetFormatPr baseColWidth="10" defaultColWidth="11.42578125" defaultRowHeight="15" x14ac:dyDescent="0.25"/>
  <cols>
    <col min="1" max="1" width="43.140625" bestFit="1" customWidth="1"/>
    <col min="2" max="2" width="12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 x14ac:dyDescent="0.25">
      <c r="A2" s="101" t="s">
        <v>269</v>
      </c>
      <c r="B2" s="101"/>
      <c r="C2" s="101"/>
      <c r="D2" s="101"/>
      <c r="K2" t="s">
        <v>270</v>
      </c>
    </row>
    <row r="3" spans="1:11" x14ac:dyDescent="0.25">
      <c r="A3" s="98" t="s">
        <v>98</v>
      </c>
      <c r="B3" s="98">
        <v>43</v>
      </c>
      <c r="C3" s="98"/>
      <c r="D3" s="98" t="s">
        <v>271</v>
      </c>
      <c r="K3" t="s">
        <v>228</v>
      </c>
    </row>
    <row r="4" spans="1:11" x14ac:dyDescent="0.25">
      <c r="A4" s="98" t="s">
        <v>120</v>
      </c>
      <c r="B4" s="98">
        <v>0.05</v>
      </c>
      <c r="C4" s="98"/>
      <c r="D4" s="98" t="s">
        <v>272</v>
      </c>
    </row>
    <row r="5" spans="1:11" ht="17.25" x14ac:dyDescent="0.25">
      <c r="A5" s="98" t="s">
        <v>273</v>
      </c>
      <c r="B5" s="98">
        <f>B3/B4</f>
        <v>860</v>
      </c>
      <c r="C5" s="98"/>
      <c r="D5" s="98" t="s">
        <v>274</v>
      </c>
    </row>
    <row r="7" spans="1:11" x14ac:dyDescent="0.25">
      <c r="A7" s="101" t="s">
        <v>275</v>
      </c>
      <c r="B7" s="101"/>
      <c r="C7" s="101"/>
      <c r="D7" s="101"/>
      <c r="E7" s="3" t="s">
        <v>276</v>
      </c>
      <c r="I7" t="s">
        <v>21</v>
      </c>
      <c r="J7" s="96">
        <f>Gesamtauswertung!D8/100</f>
        <v>0.8</v>
      </c>
    </row>
    <row r="8" spans="1:11" ht="17.25" x14ac:dyDescent="0.25">
      <c r="A8" s="102" t="s">
        <v>273</v>
      </c>
      <c r="B8" s="102">
        <v>450</v>
      </c>
      <c r="C8" s="102"/>
      <c r="D8" s="227" t="s">
        <v>274</v>
      </c>
      <c r="E8" t="s">
        <v>277</v>
      </c>
    </row>
    <row r="9" spans="1:11" x14ac:dyDescent="0.25">
      <c r="A9" s="102" t="s">
        <v>120</v>
      </c>
      <c r="B9" s="102">
        <v>0.106</v>
      </c>
      <c r="C9" s="102"/>
      <c r="D9" s="102" t="s">
        <v>272</v>
      </c>
    </row>
    <row r="10" spans="1:11" ht="17.25" x14ac:dyDescent="0.25">
      <c r="A10" s="102" t="s">
        <v>278</v>
      </c>
      <c r="B10" s="102">
        <f>B8*B9</f>
        <v>47.699999999999996</v>
      </c>
      <c r="C10" s="102"/>
      <c r="D10" s="227" t="s">
        <v>279</v>
      </c>
    </row>
    <row r="12" spans="1:11" x14ac:dyDescent="0.25">
      <c r="A12" t="s">
        <v>29</v>
      </c>
      <c r="B12" t="s">
        <v>3</v>
      </c>
      <c r="C12" t="s">
        <v>280</v>
      </c>
      <c r="D12" t="s">
        <v>130</v>
      </c>
      <c r="E12" t="s">
        <v>281</v>
      </c>
      <c r="F12" t="s">
        <v>282</v>
      </c>
      <c r="G12" t="s">
        <v>236</v>
      </c>
      <c r="H12" t="s">
        <v>283</v>
      </c>
      <c r="I12" t="s">
        <v>284</v>
      </c>
      <c r="J12" t="s">
        <v>129</v>
      </c>
      <c r="K12" t="s">
        <v>2</v>
      </c>
    </row>
    <row r="13" spans="1:11" x14ac:dyDescent="0.25">
      <c r="A13" t="s">
        <v>1180</v>
      </c>
      <c r="B13">
        <v>174203.87340000001</v>
      </c>
      <c r="C13">
        <v>1415.23</v>
      </c>
      <c r="D13" s="44">
        <f>Gesamtauswertung!$D$9</f>
        <v>100</v>
      </c>
      <c r="E13" t="s">
        <v>270</v>
      </c>
      <c r="F13">
        <f>IF(Fenster[[#This Row],[Art]] = "Glas", $B$3, $B$10)</f>
        <v>47.699999999999996</v>
      </c>
      <c r="G13">
        <f>Fenster[[#This Row],[Flächenbezogene Masse '[kg/m2']]]*Fenster[[#This Row],[Fläche]]</f>
        <v>67506.47099999999</v>
      </c>
      <c r="H13">
        <f>Fenster[[#This Row],[Masse '[kg']]]/Fenster[[#This Row],[Dichte '[kg/m3']]]</f>
        <v>150.01437999999999</v>
      </c>
      <c r="I13">
        <f>IF(Fenster[[#This Row],[Art]] = "Glas", $B$5,$B$8)</f>
        <v>450</v>
      </c>
      <c r="J13">
        <f>IF('Transport Kennzahlen'!$D$26&lt;Fenster[[#This Row],[Dichte '[kg/m3']]],Fenster[[#This Row],[Masse '[kg']]]/'Transport Kennzahlen'!$D$25,Fenster[[#This Row],[Volumen '[m3']]]/'Transport Kennzahlen'!$F$25)*(1/$J$7)</f>
        <v>8.4383088749999988</v>
      </c>
      <c r="K13">
        <f>'Transport Kennzahlen'!$E$30*Fenster[[#This Row],[LKW-Fahrten]]*Fenster[[#This Row],[Distanz '[km']]]*$J$7</f>
        <v>626.12251852499628</v>
      </c>
    </row>
    <row r="14" spans="1:11" x14ac:dyDescent="0.25">
      <c r="B14">
        <f>SUBTOTAL(109,Fenster[GWP])</f>
        <v>174203.87340000001</v>
      </c>
      <c r="K14">
        <f>SUBTOTAL(109,Fenster[Transportemissionen '[kgCO2 eq.']])</f>
        <v>626.12251852499628</v>
      </c>
    </row>
    <row r="18" spans="11:11" x14ac:dyDescent="0.25">
      <c r="K18" t="s">
        <v>1055</v>
      </c>
    </row>
  </sheetData>
  <dataValidations count="1">
    <dataValidation type="list" allowBlank="1" showInputMessage="1" showErrorMessage="1" sqref="E13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topLeftCell="C1" zoomScale="115" zoomScaleNormal="115" workbookViewId="0">
      <selection activeCell="C4" sqref="C4"/>
    </sheetView>
  </sheetViews>
  <sheetFormatPr baseColWidth="10" defaultColWidth="11.42578125" defaultRowHeight="15" x14ac:dyDescent="0.2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 x14ac:dyDescent="0.25">
      <c r="F1" s="414" t="s">
        <v>656</v>
      </c>
      <c r="G1" s="414"/>
    </row>
    <row r="2" spans="2:14" x14ac:dyDescent="0.25">
      <c r="B2" s="59" t="s">
        <v>203</v>
      </c>
      <c r="C2" s="262" t="s">
        <v>234</v>
      </c>
      <c r="D2" s="59" t="s">
        <v>235</v>
      </c>
      <c r="E2" s="59" t="s">
        <v>236</v>
      </c>
      <c r="F2" s="59" t="s">
        <v>237</v>
      </c>
      <c r="G2" s="59" t="s">
        <v>238</v>
      </c>
      <c r="H2" s="59" t="s">
        <v>130</v>
      </c>
      <c r="I2" s="59" t="s">
        <v>239</v>
      </c>
      <c r="N2" t="s">
        <v>132</v>
      </c>
    </row>
    <row r="3" spans="2:14" x14ac:dyDescent="0.25">
      <c r="B3" s="52" t="s">
        <v>89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 x14ac:dyDescent="0.25">
      <c r="B4" s="52" t="s">
        <v>102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 x14ac:dyDescent="0.25">
      <c r="B5" s="52" t="s">
        <v>228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 x14ac:dyDescent="0.25">
      <c r="B6" s="52" t="s">
        <v>212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 x14ac:dyDescent="0.25">
      <c r="B7" s="52" t="s">
        <v>214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 x14ac:dyDescent="0.25">
      <c r="B8" s="52" t="s">
        <v>216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 x14ac:dyDescent="0.25">
      <c r="B9" s="52" t="s">
        <v>227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 x14ac:dyDescent="0.25">
      <c r="B10" s="52" t="s">
        <v>229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 x14ac:dyDescent="0.25">
      <c r="B11" s="261" t="s">
        <v>230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 x14ac:dyDescent="0.25">
      <c r="B12" s="52" t="s">
        <v>231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 x14ac:dyDescent="0.25">
      <c r="B13" s="90" t="s">
        <v>149</v>
      </c>
      <c r="C13" s="264"/>
      <c r="D13" s="265"/>
      <c r="E13" s="265"/>
      <c r="F13" s="265"/>
      <c r="G13" s="265"/>
      <c r="H13" s="265"/>
      <c r="I13" s="265"/>
    </row>
    <row r="14" spans="2:14" x14ac:dyDescent="0.25">
      <c r="B14" s="52" t="s">
        <v>219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 x14ac:dyDescent="0.25">
      <c r="B15" s="52" t="s">
        <v>220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 x14ac:dyDescent="0.25">
      <c r="B16" s="52" t="s">
        <v>222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 x14ac:dyDescent="0.25">
      <c r="B17" s="52" t="s">
        <v>224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 x14ac:dyDescent="0.25">
      <c r="B18" s="261" t="s">
        <v>226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 x14ac:dyDescent="0.25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 x14ac:dyDescent="0.25">
      <c r="B21" t="s">
        <v>657</v>
      </c>
      <c r="E21" s="266"/>
      <c r="F21" t="s">
        <v>1024</v>
      </c>
    </row>
    <row r="35" spans="2:2" x14ac:dyDescent="0.25">
      <c r="B35" s="3" t="s">
        <v>240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 x14ac:dyDescent="0.2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 x14ac:dyDescent="0.25">
      <c r="A1" s="415" t="s">
        <v>975</v>
      </c>
      <c r="B1" s="415"/>
      <c r="C1" s="415"/>
      <c r="D1" s="415"/>
      <c r="E1" s="415"/>
      <c r="F1" s="415"/>
      <c r="G1" s="415"/>
      <c r="H1" s="415"/>
      <c r="J1" t="s">
        <v>261</v>
      </c>
      <c r="N1" s="417" t="s">
        <v>933</v>
      </c>
      <c r="O1" s="417"/>
      <c r="P1" s="417"/>
      <c r="R1" t="s">
        <v>1038</v>
      </c>
      <c r="S1" t="s">
        <v>1039</v>
      </c>
    </row>
    <row r="2" spans="1:19" x14ac:dyDescent="0.25">
      <c r="A2" s="321"/>
      <c r="B2" s="322"/>
      <c r="C2" s="311" t="s">
        <v>982</v>
      </c>
      <c r="D2" s="52" t="s">
        <v>980</v>
      </c>
      <c r="F2" t="s">
        <v>978</v>
      </c>
    </row>
    <row r="3" spans="1:19" x14ac:dyDescent="0.25">
      <c r="A3" s="320" t="s">
        <v>829</v>
      </c>
      <c r="B3" s="320"/>
      <c r="C3" s="266">
        <v>12</v>
      </c>
      <c r="D3" s="266">
        <v>10</v>
      </c>
      <c r="F3" s="57"/>
      <c r="G3" t="s">
        <v>979</v>
      </c>
      <c r="J3" t="s">
        <v>262</v>
      </c>
      <c r="N3" s="416" t="s">
        <v>842</v>
      </c>
      <c r="O3" s="416"/>
      <c r="P3" s="416"/>
    </row>
    <row r="4" spans="1:19" x14ac:dyDescent="0.25">
      <c r="A4" s="52" t="s">
        <v>983</v>
      </c>
      <c r="B4" s="52"/>
      <c r="C4" s="266">
        <v>0</v>
      </c>
      <c r="D4" s="266">
        <v>0</v>
      </c>
      <c r="F4" t="s">
        <v>980</v>
      </c>
      <c r="G4" t="s">
        <v>981</v>
      </c>
      <c r="N4" s="52"/>
      <c r="O4" s="52" t="s">
        <v>852</v>
      </c>
      <c r="P4" s="52" t="s">
        <v>916</v>
      </c>
    </row>
    <row r="5" spans="1:19" x14ac:dyDescent="0.25">
      <c r="A5" s="52" t="s">
        <v>823</v>
      </c>
      <c r="B5" s="52"/>
      <c r="C5" s="266">
        <v>0</v>
      </c>
      <c r="D5" s="266">
        <v>0</v>
      </c>
      <c r="J5">
        <v>0.42</v>
      </c>
      <c r="K5" t="s">
        <v>264</v>
      </c>
      <c r="N5" s="52" t="s">
        <v>938</v>
      </c>
      <c r="O5" s="52"/>
      <c r="P5" s="52">
        <v>4.9000000000000004</v>
      </c>
    </row>
    <row r="6" spans="1:19" x14ac:dyDescent="0.25">
      <c r="A6" s="52" t="s">
        <v>945</v>
      </c>
      <c r="B6" s="52"/>
      <c r="C6" s="266">
        <v>0</v>
      </c>
      <c r="D6" s="266">
        <v>0</v>
      </c>
      <c r="N6" s="52" t="s">
        <v>939</v>
      </c>
      <c r="O6" s="52"/>
      <c r="P6" s="52">
        <v>15</v>
      </c>
    </row>
    <row r="7" spans="1:19" x14ac:dyDescent="0.25">
      <c r="A7" s="52" t="s">
        <v>946</v>
      </c>
      <c r="B7" s="52"/>
      <c r="C7" s="266">
        <v>0</v>
      </c>
      <c r="D7" s="266">
        <v>0</v>
      </c>
    </row>
    <row r="8" spans="1:19" x14ac:dyDescent="0.25">
      <c r="A8" s="52" t="s">
        <v>977</v>
      </c>
      <c r="B8" s="52"/>
      <c r="C8" s="266">
        <v>0</v>
      </c>
      <c r="D8" s="266">
        <v>0</v>
      </c>
      <c r="N8" s="416" t="s">
        <v>854</v>
      </c>
      <c r="O8" s="416"/>
      <c r="P8" s="416"/>
    </row>
    <row r="9" spans="1:19" x14ac:dyDescent="0.25">
      <c r="O9" s="52" t="s">
        <v>852</v>
      </c>
      <c r="P9" s="52" t="s">
        <v>921</v>
      </c>
    </row>
    <row r="10" spans="1:19" ht="18" x14ac:dyDescent="0.35">
      <c r="A10" s="278" t="s">
        <v>984</v>
      </c>
      <c r="B10" s="278"/>
      <c r="C10" s="278"/>
      <c r="D10" s="278"/>
      <c r="E10" s="57" t="s">
        <v>986</v>
      </c>
      <c r="F10" s="57"/>
      <c r="G10" s="57"/>
      <c r="O10" s="52"/>
      <c r="P10" s="52">
        <v>2</v>
      </c>
    </row>
    <row r="11" spans="1:19" x14ac:dyDescent="0.25">
      <c r="A11" t="s">
        <v>829</v>
      </c>
      <c r="C11">
        <f>C3*D3*4*P29</f>
        <v>62832</v>
      </c>
      <c r="D11" t="s">
        <v>267</v>
      </c>
      <c r="E11">
        <f>C11*$J$5</f>
        <v>26389.439999999999</v>
      </c>
      <c r="F11" t="s">
        <v>259</v>
      </c>
    </row>
    <row r="12" spans="1:19" x14ac:dyDescent="0.25">
      <c r="A12" t="s">
        <v>983</v>
      </c>
      <c r="C12">
        <f t="shared" ref="C12:C13" si="0">C4*D4*4*P30</f>
        <v>0</v>
      </c>
      <c r="D12" t="s">
        <v>267</v>
      </c>
      <c r="E12">
        <f t="shared" ref="E12:E16" si="1">C12*$J$5</f>
        <v>0</v>
      </c>
      <c r="F12" t="s">
        <v>259</v>
      </c>
      <c r="N12" s="416" t="s">
        <v>855</v>
      </c>
      <c r="O12" s="416"/>
      <c r="P12" s="416"/>
    </row>
    <row r="13" spans="1:19" x14ac:dyDescent="0.25">
      <c r="A13" t="s">
        <v>823</v>
      </c>
      <c r="C13">
        <f t="shared" si="0"/>
        <v>0</v>
      </c>
      <c r="D13" t="s">
        <v>267</v>
      </c>
      <c r="E13">
        <f t="shared" si="1"/>
        <v>0</v>
      </c>
      <c r="F13" t="s">
        <v>259</v>
      </c>
      <c r="N13" s="52"/>
      <c r="O13" s="52" t="s">
        <v>852</v>
      </c>
      <c r="P13" s="52" t="s">
        <v>916</v>
      </c>
    </row>
    <row r="14" spans="1:19" x14ac:dyDescent="0.25">
      <c r="A14" t="s">
        <v>945</v>
      </c>
      <c r="C14">
        <f>C6*D6*4*P33</f>
        <v>0</v>
      </c>
      <c r="D14" t="s">
        <v>267</v>
      </c>
      <c r="E14">
        <f t="shared" si="1"/>
        <v>0</v>
      </c>
      <c r="F14" t="s">
        <v>259</v>
      </c>
      <c r="N14" s="52" t="s">
        <v>856</v>
      </c>
      <c r="O14" s="308" t="s">
        <v>857</v>
      </c>
      <c r="P14" s="308" t="s">
        <v>857</v>
      </c>
    </row>
    <row r="15" spans="1:19" x14ac:dyDescent="0.25">
      <c r="A15" t="s">
        <v>946</v>
      </c>
      <c r="C15">
        <f>C7*D7*4*P34</f>
        <v>0</v>
      </c>
      <c r="D15" t="s">
        <v>267</v>
      </c>
      <c r="E15">
        <f t="shared" si="1"/>
        <v>0</v>
      </c>
      <c r="F15" t="s">
        <v>259</v>
      </c>
      <c r="N15" s="52" t="s">
        <v>1114</v>
      </c>
      <c r="O15" s="52"/>
      <c r="P15" s="308">
        <v>80</v>
      </c>
    </row>
    <row r="16" spans="1:19" x14ac:dyDescent="0.25">
      <c r="A16" t="s">
        <v>977</v>
      </c>
      <c r="C16">
        <f>C8*D8*4*P35</f>
        <v>0</v>
      </c>
      <c r="D16" t="s">
        <v>267</v>
      </c>
      <c r="E16">
        <f t="shared" si="1"/>
        <v>0</v>
      </c>
      <c r="F16" t="s">
        <v>259</v>
      </c>
      <c r="N16" s="52" t="s">
        <v>918</v>
      </c>
      <c r="O16" s="52"/>
      <c r="P16" s="308">
        <v>100</v>
      </c>
    </row>
    <row r="17" spans="1:17" x14ac:dyDescent="0.25">
      <c r="A17" s="318"/>
      <c r="B17" s="318" t="s">
        <v>985</v>
      </c>
      <c r="C17" s="318">
        <f>SUM(C11:C16)</f>
        <v>62832</v>
      </c>
      <c r="D17" s="318" t="s">
        <v>267</v>
      </c>
      <c r="E17" s="58">
        <f>SUM(E11:E16)</f>
        <v>26389.439999999999</v>
      </c>
      <c r="F17" s="58" t="s">
        <v>259</v>
      </c>
      <c r="G17" s="58"/>
      <c r="N17" s="52" t="s">
        <v>919</v>
      </c>
      <c r="O17" s="52"/>
      <c r="P17" s="308">
        <v>190</v>
      </c>
    </row>
    <row r="19" spans="1:17" x14ac:dyDescent="0.25">
      <c r="A19" s="99" t="s">
        <v>987</v>
      </c>
      <c r="B19" s="99"/>
      <c r="C19" s="99"/>
      <c r="D19" s="99"/>
      <c r="E19" s="221" t="s">
        <v>992</v>
      </c>
      <c r="F19" s="221"/>
      <c r="G19" s="221"/>
      <c r="N19" s="416" t="s">
        <v>920</v>
      </c>
      <c r="O19" s="416"/>
      <c r="P19" s="416"/>
    </row>
    <row r="20" spans="1:17" x14ac:dyDescent="0.25">
      <c r="A20" t="s">
        <v>989</v>
      </c>
      <c r="C20">
        <f>SUM(C3:C8)</f>
        <v>12</v>
      </c>
      <c r="D20" t="s">
        <v>84</v>
      </c>
      <c r="N20" s="52"/>
      <c r="O20" s="52" t="s">
        <v>852</v>
      </c>
      <c r="P20" s="52" t="s">
        <v>916</v>
      </c>
    </row>
    <row r="21" spans="1:17" x14ac:dyDescent="0.25">
      <c r="A21" t="s">
        <v>990</v>
      </c>
      <c r="C21" s="319">
        <v>50</v>
      </c>
      <c r="D21" t="s">
        <v>16</v>
      </c>
      <c r="N21" s="52" t="s">
        <v>919</v>
      </c>
      <c r="O21" s="52"/>
      <c r="P21" s="308">
        <v>40</v>
      </c>
    </row>
    <row r="22" spans="1:17" x14ac:dyDescent="0.25">
      <c r="B22" t="s">
        <v>985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259</v>
      </c>
    </row>
    <row r="23" spans="1:17" x14ac:dyDescent="0.25">
      <c r="B23" s="2" t="s">
        <v>991</v>
      </c>
      <c r="C23" s="2"/>
      <c r="N23" s="416" t="s">
        <v>858</v>
      </c>
      <c r="O23" s="416"/>
      <c r="P23" s="416"/>
    </row>
    <row r="24" spans="1:17" x14ac:dyDescent="0.25">
      <c r="N24" s="52"/>
      <c r="O24" s="52" t="s">
        <v>852</v>
      </c>
      <c r="P24" s="52" t="s">
        <v>915</v>
      </c>
    </row>
    <row r="25" spans="1:17" x14ac:dyDescent="0.25">
      <c r="A25" s="58" t="s">
        <v>1113</v>
      </c>
      <c r="B25" s="58"/>
      <c r="C25" s="58"/>
      <c r="D25" s="58"/>
      <c r="E25" s="58"/>
      <c r="F25" s="58"/>
      <c r="G25" s="58"/>
      <c r="N25" s="52" t="s">
        <v>859</v>
      </c>
      <c r="O25" s="308" t="s">
        <v>857</v>
      </c>
      <c r="P25" s="308" t="s">
        <v>857</v>
      </c>
    </row>
    <row r="26" spans="1:17" x14ac:dyDescent="0.25">
      <c r="E26">
        <f>E17+E22</f>
        <v>27502.439999999991</v>
      </c>
      <c r="F26" t="s">
        <v>259</v>
      </c>
      <c r="N26" s="52" t="s">
        <v>936</v>
      </c>
      <c r="O26" s="52"/>
      <c r="P26" s="308">
        <v>11</v>
      </c>
    </row>
    <row r="28" spans="1:17" x14ac:dyDescent="0.25">
      <c r="N28" s="221" t="s">
        <v>940</v>
      </c>
      <c r="O28" s="221"/>
      <c r="P28" s="261" t="s">
        <v>915</v>
      </c>
      <c r="Q28" t="s">
        <v>988</v>
      </c>
    </row>
    <row r="29" spans="1:17" x14ac:dyDescent="0.25">
      <c r="N29" s="52" t="s">
        <v>937</v>
      </c>
      <c r="O29" s="52"/>
      <c r="P29" s="52">
        <f>P6+P16+P26+P5</f>
        <v>130.9</v>
      </c>
    </row>
    <row r="30" spans="1:17" x14ac:dyDescent="0.25">
      <c r="A30" t="s">
        <v>993</v>
      </c>
      <c r="N30" s="52" t="s">
        <v>943</v>
      </c>
      <c r="O30" s="52"/>
      <c r="P30" s="52">
        <f>P5+P15+P26+P10</f>
        <v>97.9</v>
      </c>
    </row>
    <row r="31" spans="1:17" x14ac:dyDescent="0.25">
      <c r="N31" s="52" t="s">
        <v>976</v>
      </c>
      <c r="O31" s="52"/>
      <c r="P31" s="52">
        <f>P17+P21+P5</f>
        <v>234.9</v>
      </c>
    </row>
    <row r="32" spans="1:17" x14ac:dyDescent="0.25">
      <c r="N32" s="315"/>
      <c r="O32" s="316"/>
      <c r="P32" s="317"/>
    </row>
    <row r="33" spans="14:16" x14ac:dyDescent="0.25">
      <c r="N33" s="52" t="s">
        <v>945</v>
      </c>
      <c r="O33" s="52"/>
      <c r="P33" s="52">
        <f>P5+P26+P15</f>
        <v>95.9</v>
      </c>
    </row>
    <row r="34" spans="14:16" x14ac:dyDescent="0.25">
      <c r="N34" s="52" t="s">
        <v>946</v>
      </c>
      <c r="O34" s="52"/>
      <c r="P34" s="52">
        <f>P5</f>
        <v>4.9000000000000004</v>
      </c>
    </row>
    <row r="35" spans="14:16" x14ac:dyDescent="0.25">
      <c r="N35" s="52" t="s">
        <v>947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 x14ac:dyDescent="0.2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 x14ac:dyDescent="0.3">
      <c r="A1" s="417" t="s">
        <v>933</v>
      </c>
      <c r="B1" s="417"/>
      <c r="C1" s="417"/>
      <c r="E1" s="256" t="s">
        <v>823</v>
      </c>
      <c r="F1" s="271" t="s">
        <v>209</v>
      </c>
      <c r="G1" s="295"/>
      <c r="I1" s="58" t="s">
        <v>941</v>
      </c>
      <c r="L1" s="297" t="s">
        <v>822</v>
      </c>
      <c r="M1" s="289" t="s">
        <v>860</v>
      </c>
      <c r="N1" s="257"/>
    </row>
    <row r="2" spans="1:14" x14ac:dyDescent="0.25">
      <c r="E2" s="258" t="s">
        <v>824</v>
      </c>
      <c r="F2" s="285">
        <v>1</v>
      </c>
      <c r="G2" s="259" t="s">
        <v>826</v>
      </c>
      <c r="I2" s="58" t="s">
        <v>942</v>
      </c>
      <c r="L2" s="293"/>
      <c r="M2" s="294" t="s">
        <v>806</v>
      </c>
      <c r="N2" s="295" t="s">
        <v>807</v>
      </c>
    </row>
    <row r="3" spans="1:14" x14ac:dyDescent="0.25">
      <c r="A3" s="416" t="s">
        <v>842</v>
      </c>
      <c r="B3" s="416"/>
      <c r="C3" s="416"/>
      <c r="E3" s="258" t="s">
        <v>825</v>
      </c>
      <c r="F3" s="285">
        <v>1</v>
      </c>
      <c r="G3" s="259" t="s">
        <v>826</v>
      </c>
      <c r="I3" s="58"/>
      <c r="L3" s="258" t="s">
        <v>805</v>
      </c>
      <c r="M3">
        <v>6.0549999999999997</v>
      </c>
      <c r="N3" s="259">
        <v>2.4350000000000001</v>
      </c>
    </row>
    <row r="4" spans="1:14" x14ac:dyDescent="0.25">
      <c r="A4" s="52"/>
      <c r="B4" s="52" t="s">
        <v>852</v>
      </c>
      <c r="C4" s="52" t="s">
        <v>916</v>
      </c>
      <c r="E4" s="258"/>
      <c r="F4" s="285"/>
      <c r="G4" s="259"/>
      <c r="I4" s="58"/>
      <c r="L4" s="258"/>
      <c r="N4" s="259"/>
    </row>
    <row r="5" spans="1:14" ht="15.75" thickBot="1" x14ac:dyDescent="0.3">
      <c r="A5" s="52" t="s">
        <v>938</v>
      </c>
      <c r="B5" s="52"/>
      <c r="C5" s="52">
        <v>4.9000000000000004</v>
      </c>
      <c r="E5" s="255" t="s">
        <v>827</v>
      </c>
      <c r="F5" s="288">
        <v>1</v>
      </c>
      <c r="G5" s="60" t="s">
        <v>828</v>
      </c>
      <c r="I5" s="58"/>
      <c r="L5" s="258" t="s">
        <v>808</v>
      </c>
      <c r="N5" s="259"/>
    </row>
    <row r="6" spans="1:14" ht="15.75" thickBot="1" x14ac:dyDescent="0.3">
      <c r="A6" s="52" t="s">
        <v>939</v>
      </c>
      <c r="B6" s="52"/>
      <c r="C6" s="52">
        <v>15</v>
      </c>
      <c r="F6" s="271" t="s">
        <v>840</v>
      </c>
      <c r="G6" s="271" t="s">
        <v>841</v>
      </c>
      <c r="H6" s="271" t="s">
        <v>862</v>
      </c>
      <c r="I6" s="58"/>
      <c r="L6" s="258" t="s">
        <v>809</v>
      </c>
      <c r="N6" s="259"/>
    </row>
    <row r="7" spans="1:14" x14ac:dyDescent="0.25">
      <c r="F7" s="285" t="s">
        <v>842</v>
      </c>
      <c r="G7" s="285">
        <v>200</v>
      </c>
      <c r="H7" s="418">
        <v>1</v>
      </c>
      <c r="I7" s="58"/>
      <c r="L7" s="258" t="s">
        <v>810</v>
      </c>
      <c r="N7" s="259"/>
    </row>
    <row r="8" spans="1:14" ht="15.75" thickBot="1" x14ac:dyDescent="0.3">
      <c r="A8" s="416" t="s">
        <v>854</v>
      </c>
      <c r="B8" s="416"/>
      <c r="C8" s="416"/>
      <c r="F8" s="288" t="s">
        <v>843</v>
      </c>
      <c r="G8" s="288">
        <v>3000</v>
      </c>
      <c r="H8" s="420"/>
      <c r="I8" s="58"/>
      <c r="L8" s="258" t="s">
        <v>811</v>
      </c>
      <c r="N8" s="259"/>
    </row>
    <row r="9" spans="1:14" ht="15.75" thickBot="1" x14ac:dyDescent="0.3">
      <c r="B9" s="52" t="s">
        <v>852</v>
      </c>
      <c r="C9" s="52" t="s">
        <v>921</v>
      </c>
      <c r="G9" t="s">
        <v>850</v>
      </c>
      <c r="I9" s="58"/>
      <c r="L9" s="258"/>
      <c r="N9" s="259"/>
    </row>
    <row r="10" spans="1:14" ht="15.75" thickBot="1" x14ac:dyDescent="0.3">
      <c r="B10" s="52"/>
      <c r="C10" s="52">
        <v>2</v>
      </c>
      <c r="G10" s="289" t="s">
        <v>860</v>
      </c>
      <c r="I10" s="58"/>
      <c r="L10" s="258"/>
      <c r="N10" s="259"/>
    </row>
    <row r="11" spans="1:14" ht="15.75" thickBot="1" x14ac:dyDescent="0.3">
      <c r="I11" s="58"/>
      <c r="L11" s="258" t="s">
        <v>812</v>
      </c>
      <c r="N11" s="259"/>
    </row>
    <row r="12" spans="1:14" ht="15.75" thickBot="1" x14ac:dyDescent="0.3">
      <c r="A12" s="416" t="s">
        <v>855</v>
      </c>
      <c r="B12" s="416"/>
      <c r="C12" s="416"/>
      <c r="E12" s="271" t="s">
        <v>829</v>
      </c>
      <c r="F12" s="295"/>
      <c r="I12" s="58"/>
      <c r="L12" s="258" t="s">
        <v>816</v>
      </c>
      <c r="M12" t="s">
        <v>815</v>
      </c>
      <c r="N12" s="259"/>
    </row>
    <row r="13" spans="1:14" ht="15.75" thickBot="1" x14ac:dyDescent="0.3">
      <c r="A13" s="52"/>
      <c r="B13" s="52" t="s">
        <v>852</v>
      </c>
      <c r="C13" s="52" t="s">
        <v>916</v>
      </c>
      <c r="E13" s="255" t="s">
        <v>830</v>
      </c>
      <c r="F13" s="60" t="s">
        <v>831</v>
      </c>
      <c r="I13" s="58"/>
      <c r="L13" s="258" t="s">
        <v>813</v>
      </c>
      <c r="M13" t="s">
        <v>817</v>
      </c>
      <c r="N13" s="259"/>
    </row>
    <row r="14" spans="1:14" ht="15.75" thickBot="1" x14ac:dyDescent="0.3">
      <c r="A14" s="52" t="s">
        <v>856</v>
      </c>
      <c r="B14" s="308" t="s">
        <v>857</v>
      </c>
      <c r="C14" s="308" t="s">
        <v>857</v>
      </c>
      <c r="E14" s="271" t="s">
        <v>840</v>
      </c>
      <c r="F14" s="271" t="s">
        <v>841</v>
      </c>
      <c r="I14" s="58"/>
      <c r="L14" s="258" t="s">
        <v>814</v>
      </c>
      <c r="M14" t="s">
        <v>818</v>
      </c>
      <c r="N14" s="259" t="s">
        <v>819</v>
      </c>
    </row>
    <row r="15" spans="1:14" x14ac:dyDescent="0.25">
      <c r="A15" s="52" t="s">
        <v>917</v>
      </c>
      <c r="B15" s="52"/>
      <c r="C15" s="308">
        <v>80</v>
      </c>
      <c r="E15" s="285" t="s">
        <v>842</v>
      </c>
      <c r="F15" s="285">
        <v>200</v>
      </c>
      <c r="I15" s="58"/>
      <c r="L15" s="258" t="s">
        <v>820</v>
      </c>
      <c r="N15" s="259"/>
    </row>
    <row r="16" spans="1:14" ht="15.75" thickBot="1" x14ac:dyDescent="0.3">
      <c r="A16" s="52" t="s">
        <v>918</v>
      </c>
      <c r="B16" s="52"/>
      <c r="C16" s="308">
        <v>100</v>
      </c>
      <c r="E16" s="285" t="s">
        <v>843</v>
      </c>
      <c r="F16" s="285">
        <v>3000</v>
      </c>
      <c r="I16" s="58"/>
      <c r="L16" s="255" t="s">
        <v>821</v>
      </c>
      <c r="M16" s="55"/>
      <c r="N16" s="60"/>
    </row>
    <row r="17" spans="1:15" ht="15.75" thickBot="1" x14ac:dyDescent="0.3">
      <c r="A17" s="52" t="s">
        <v>919</v>
      </c>
      <c r="B17" s="52"/>
      <c r="C17" s="308">
        <v>190</v>
      </c>
      <c r="E17" s="285" t="s">
        <v>837</v>
      </c>
      <c r="F17" s="285">
        <v>2000</v>
      </c>
      <c r="I17" s="58"/>
      <c r="L17" s="271" t="s">
        <v>839</v>
      </c>
      <c r="M17" s="422" t="s">
        <v>838</v>
      </c>
      <c r="N17" s="423"/>
      <c r="O17" s="271" t="s">
        <v>862</v>
      </c>
    </row>
    <row r="18" spans="1:15" ht="15.75" thickBot="1" x14ac:dyDescent="0.3">
      <c r="E18" s="60" t="s">
        <v>844</v>
      </c>
      <c r="F18" s="288">
        <v>1000</v>
      </c>
      <c r="I18" s="58"/>
      <c r="L18" s="286" t="s">
        <v>842</v>
      </c>
      <c r="M18" s="424">
        <v>200</v>
      </c>
      <c r="N18" s="425"/>
      <c r="O18" s="418">
        <v>2</v>
      </c>
    </row>
    <row r="19" spans="1:15" ht="15.75" thickBot="1" x14ac:dyDescent="0.3">
      <c r="A19" s="416" t="s">
        <v>920</v>
      </c>
      <c r="B19" s="416"/>
      <c r="C19" s="416"/>
      <c r="G19" s="271" t="s">
        <v>862</v>
      </c>
      <c r="I19" s="58"/>
      <c r="L19" s="285" t="s">
        <v>836</v>
      </c>
      <c r="M19" s="426">
        <v>3000</v>
      </c>
      <c r="N19" s="427"/>
      <c r="O19" s="419"/>
    </row>
    <row r="20" spans="1:15" ht="15.75" thickBot="1" x14ac:dyDescent="0.3">
      <c r="A20" s="52"/>
      <c r="B20" s="52" t="s">
        <v>852</v>
      </c>
      <c r="C20" s="52" t="s">
        <v>916</v>
      </c>
      <c r="F20" s="289" t="s">
        <v>860</v>
      </c>
      <c r="G20">
        <v>3</v>
      </c>
      <c r="I20" s="58"/>
      <c r="L20" s="288" t="s">
        <v>837</v>
      </c>
      <c r="M20" s="428">
        <v>2000</v>
      </c>
      <c r="N20" s="429"/>
      <c r="O20" s="420"/>
    </row>
    <row r="21" spans="1:15" ht="15.75" thickBot="1" x14ac:dyDescent="0.3">
      <c r="A21" s="52" t="s">
        <v>919</v>
      </c>
      <c r="B21" s="52"/>
      <c r="C21" s="308">
        <v>40</v>
      </c>
      <c r="I21" s="58"/>
    </row>
    <row r="22" spans="1:15" ht="15.75" thickBot="1" x14ac:dyDescent="0.3">
      <c r="E22" s="271" t="s">
        <v>832</v>
      </c>
      <c r="F22" s="295"/>
      <c r="I22" s="58"/>
    </row>
    <row r="23" spans="1:15" ht="15.75" thickBot="1" x14ac:dyDescent="0.3">
      <c r="A23" s="416" t="s">
        <v>858</v>
      </c>
      <c r="B23" s="416"/>
      <c r="C23" s="416"/>
      <c r="E23" s="255" t="s">
        <v>833</v>
      </c>
      <c r="F23" s="60" t="s">
        <v>834</v>
      </c>
      <c r="I23" s="58"/>
    </row>
    <row r="24" spans="1:15" ht="15.75" thickBot="1" x14ac:dyDescent="0.3">
      <c r="A24" s="52"/>
      <c r="B24" s="52" t="s">
        <v>852</v>
      </c>
      <c r="C24" s="52" t="s">
        <v>915</v>
      </c>
      <c r="E24" s="271" t="s">
        <v>840</v>
      </c>
      <c r="F24" s="271" t="s">
        <v>841</v>
      </c>
      <c r="I24" s="58"/>
    </row>
    <row r="25" spans="1:15" ht="15.75" thickBot="1" x14ac:dyDescent="0.3">
      <c r="A25" s="52" t="s">
        <v>859</v>
      </c>
      <c r="B25" s="308" t="s">
        <v>857</v>
      </c>
      <c r="C25" s="308" t="s">
        <v>857</v>
      </c>
      <c r="E25" s="255" t="s">
        <v>842</v>
      </c>
      <c r="F25" s="271">
        <v>200</v>
      </c>
      <c r="I25" s="58"/>
      <c r="L25" s="271" t="s">
        <v>846</v>
      </c>
    </row>
    <row r="26" spans="1:15" ht="15.75" thickBot="1" x14ac:dyDescent="0.3">
      <c r="A26" s="52" t="s">
        <v>936</v>
      </c>
      <c r="B26" s="52"/>
      <c r="C26" s="308">
        <v>11</v>
      </c>
      <c r="F26" t="s">
        <v>849</v>
      </c>
      <c r="I26" s="58"/>
      <c r="L26" s="271" t="s">
        <v>840</v>
      </c>
      <c r="M26" s="271" t="s">
        <v>841</v>
      </c>
    </row>
    <row r="27" spans="1:15" ht="15.75" thickBot="1" x14ac:dyDescent="0.3">
      <c r="F27" t="s">
        <v>851</v>
      </c>
      <c r="G27" s="271" t="s">
        <v>862</v>
      </c>
      <c r="I27" s="58"/>
      <c r="L27" s="285" t="s">
        <v>842</v>
      </c>
      <c r="M27" s="285">
        <v>200</v>
      </c>
    </row>
    <row r="28" spans="1:15" ht="15.75" thickBot="1" x14ac:dyDescent="0.3">
      <c r="A28" s="57" t="s">
        <v>940</v>
      </c>
      <c r="B28" s="57"/>
      <c r="C28" s="261" t="s">
        <v>915</v>
      </c>
      <c r="F28" s="289" t="s">
        <v>860</v>
      </c>
      <c r="G28">
        <v>4</v>
      </c>
      <c r="I28" s="58"/>
      <c r="L28" s="285" t="s">
        <v>836</v>
      </c>
      <c r="M28" s="285">
        <v>3000</v>
      </c>
    </row>
    <row r="29" spans="1:15" ht="15.75" thickBot="1" x14ac:dyDescent="0.3">
      <c r="A29" s="52" t="s">
        <v>937</v>
      </c>
      <c r="B29" s="52"/>
      <c r="C29" s="52">
        <f>C6+C16+C26+C5</f>
        <v>130.9</v>
      </c>
      <c r="I29" s="58"/>
      <c r="L29" s="288" t="s">
        <v>837</v>
      </c>
      <c r="M29" s="288">
        <v>2000</v>
      </c>
      <c r="N29" s="271" t="s">
        <v>862</v>
      </c>
    </row>
    <row r="30" spans="1:15" ht="15.75" thickBot="1" x14ac:dyDescent="0.3">
      <c r="A30" s="52" t="s">
        <v>943</v>
      </c>
      <c r="B30" s="52"/>
      <c r="C30" s="52">
        <f>C5+C15+C26</f>
        <v>95.9</v>
      </c>
      <c r="E30" t="s">
        <v>845</v>
      </c>
      <c r="I30" s="58"/>
      <c r="N30">
        <v>3</v>
      </c>
    </row>
    <row r="31" spans="1:15" ht="15.75" thickBot="1" x14ac:dyDescent="0.3">
      <c r="A31" s="52" t="s">
        <v>944</v>
      </c>
      <c r="B31" s="52"/>
      <c r="C31" s="52">
        <f>C17+C21</f>
        <v>230</v>
      </c>
      <c r="E31" s="271" t="s">
        <v>840</v>
      </c>
      <c r="F31" s="271" t="s">
        <v>841</v>
      </c>
      <c r="I31" s="58"/>
      <c r="M31" s="289" t="s">
        <v>860</v>
      </c>
    </row>
    <row r="32" spans="1:15" x14ac:dyDescent="0.25">
      <c r="A32" s="262"/>
      <c r="B32" s="313"/>
      <c r="C32" s="314"/>
      <c r="E32" s="286" t="s">
        <v>842</v>
      </c>
      <c r="F32" s="286">
        <v>200</v>
      </c>
      <c r="I32" s="58"/>
    </row>
    <row r="33" spans="1:14" x14ac:dyDescent="0.25">
      <c r="A33" s="52" t="s">
        <v>945</v>
      </c>
      <c r="B33" s="52"/>
      <c r="C33" s="52">
        <f>C5</f>
        <v>4.9000000000000004</v>
      </c>
      <c r="E33" s="285" t="s">
        <v>836</v>
      </c>
      <c r="F33" s="285">
        <v>3000</v>
      </c>
      <c r="I33" s="58"/>
    </row>
    <row r="34" spans="1:14" ht="15.75" thickBot="1" x14ac:dyDescent="0.3">
      <c r="A34" s="52" t="s">
        <v>946</v>
      </c>
      <c r="B34" s="52"/>
      <c r="C34" s="52">
        <f>C5</f>
        <v>4.9000000000000004</v>
      </c>
      <c r="E34" s="285" t="s">
        <v>837</v>
      </c>
      <c r="F34" s="285">
        <v>2000</v>
      </c>
      <c r="I34" s="58"/>
    </row>
    <row r="35" spans="1:14" ht="15.75" thickBot="1" x14ac:dyDescent="0.3">
      <c r="A35" s="52" t="s">
        <v>947</v>
      </c>
      <c r="B35" s="52"/>
      <c r="C35" s="52">
        <f>C5</f>
        <v>4.9000000000000004</v>
      </c>
      <c r="E35" s="288" t="s">
        <v>847</v>
      </c>
      <c r="F35" s="288">
        <v>400</v>
      </c>
      <c r="G35" s="271" t="s">
        <v>862</v>
      </c>
      <c r="I35" s="58"/>
    </row>
    <row r="36" spans="1:14" ht="15.75" thickBot="1" x14ac:dyDescent="0.3">
      <c r="G36">
        <v>1</v>
      </c>
      <c r="I36" s="58"/>
    </row>
    <row r="37" spans="1:14" ht="15.75" thickBot="1" x14ac:dyDescent="0.3">
      <c r="F37" s="289" t="s">
        <v>860</v>
      </c>
      <c r="I37" s="58"/>
      <c r="L37" s="296" t="s">
        <v>925</v>
      </c>
    </row>
    <row r="38" spans="1:14" ht="15.75" thickBot="1" x14ac:dyDescent="0.3">
      <c r="I38" s="58"/>
      <c r="L38" s="286" t="s">
        <v>861</v>
      </c>
      <c r="M38" s="286" t="s">
        <v>841</v>
      </c>
    </row>
    <row r="39" spans="1:14" ht="15.75" thickBot="1" x14ac:dyDescent="0.3">
      <c r="E39" s="271" t="s">
        <v>835</v>
      </c>
      <c r="I39" s="58"/>
      <c r="L39" s="271" t="s">
        <v>863</v>
      </c>
      <c r="M39" s="271">
        <v>66.7</v>
      </c>
    </row>
    <row r="40" spans="1:14" ht="15.75" thickBot="1" x14ac:dyDescent="0.3">
      <c r="E40" s="271" t="s">
        <v>840</v>
      </c>
      <c r="F40" s="271" t="s">
        <v>841</v>
      </c>
      <c r="I40" s="58"/>
      <c r="L40" s="271" t="s">
        <v>864</v>
      </c>
      <c r="M40" s="271">
        <v>80</v>
      </c>
    </row>
    <row r="41" spans="1:14" ht="15.75" thickBot="1" x14ac:dyDescent="0.3">
      <c r="E41" s="255" t="s">
        <v>842</v>
      </c>
      <c r="F41" s="271">
        <v>200</v>
      </c>
      <c r="I41" s="58"/>
      <c r="L41" s="288" t="s">
        <v>865</v>
      </c>
      <c r="M41" s="288">
        <v>15.4</v>
      </c>
    </row>
    <row r="42" spans="1:14" ht="15.75" thickBot="1" x14ac:dyDescent="0.3">
      <c r="E42" s="296" t="s">
        <v>848</v>
      </c>
      <c r="F42" s="296">
        <v>3000</v>
      </c>
      <c r="G42" t="s">
        <v>849</v>
      </c>
      <c r="H42" s="271" t="s">
        <v>862</v>
      </c>
      <c r="I42" s="58"/>
      <c r="L42" s="271" t="s">
        <v>852</v>
      </c>
      <c r="M42" s="271" t="s">
        <v>853</v>
      </c>
      <c r="N42" s="271" t="s">
        <v>866</v>
      </c>
    </row>
    <row r="43" spans="1:14" ht="15.75" thickBot="1" x14ac:dyDescent="0.3">
      <c r="F43" t="s">
        <v>851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 x14ac:dyDescent="0.3"/>
    <row r="45" spans="1:14" ht="15.75" thickBot="1" x14ac:dyDescent="0.3">
      <c r="M45" s="289" t="s">
        <v>867</v>
      </c>
    </row>
    <row r="49" spans="12:15" ht="15.75" thickBot="1" x14ac:dyDescent="0.3"/>
    <row r="50" spans="12:15" ht="15.75" thickBot="1" x14ac:dyDescent="0.3">
      <c r="L50" s="307" t="s">
        <v>868</v>
      </c>
    </row>
    <row r="51" spans="12:15" x14ac:dyDescent="0.25">
      <c r="L51" s="293" t="s">
        <v>871</v>
      </c>
      <c r="M51" s="295">
        <v>59.5</v>
      </c>
      <c r="N51" s="306" t="s">
        <v>893</v>
      </c>
    </row>
    <row r="52" spans="12:15" x14ac:dyDescent="0.25">
      <c r="L52" s="258" t="s">
        <v>869</v>
      </c>
      <c r="M52" s="299">
        <v>0.8</v>
      </c>
      <c r="N52" s="32" t="s">
        <v>874</v>
      </c>
    </row>
    <row r="53" spans="12:15" x14ac:dyDescent="0.25">
      <c r="L53" s="258" t="s">
        <v>872</v>
      </c>
      <c r="M53" s="259">
        <v>39</v>
      </c>
      <c r="N53" s="306" t="s">
        <v>893</v>
      </c>
    </row>
    <row r="54" spans="12:15" x14ac:dyDescent="0.25">
      <c r="L54" s="258" t="s">
        <v>870</v>
      </c>
      <c r="M54" s="299">
        <v>4.2</v>
      </c>
      <c r="N54" s="32" t="s">
        <v>874</v>
      </c>
    </row>
    <row r="55" spans="12:15" x14ac:dyDescent="0.25">
      <c r="L55" s="258" t="s">
        <v>873</v>
      </c>
      <c r="M55" s="299">
        <v>0.5</v>
      </c>
      <c r="N55" s="32" t="s">
        <v>874</v>
      </c>
    </row>
    <row r="56" spans="12:15" ht="15.75" thickBot="1" x14ac:dyDescent="0.3">
      <c r="L56" s="255" t="s">
        <v>875</v>
      </c>
      <c r="M56" s="300">
        <v>12</v>
      </c>
      <c r="N56" s="301">
        <f>M56/12</f>
        <v>1</v>
      </c>
      <c r="O56" s="301" t="s">
        <v>876</v>
      </c>
    </row>
    <row r="57" spans="12:15" ht="15.75" thickBot="1" x14ac:dyDescent="0.3">
      <c r="L57" s="303" t="s">
        <v>898</v>
      </c>
      <c r="M57" s="304">
        <f>M51*M52*M53*M54*M55*N56</f>
        <v>3898.4400000000005</v>
      </c>
    </row>
    <row r="58" spans="12:15" ht="15.75" thickBot="1" x14ac:dyDescent="0.3"/>
    <row r="59" spans="12:15" ht="15.75" thickBot="1" x14ac:dyDescent="0.3">
      <c r="M59" s="289" t="s">
        <v>878</v>
      </c>
    </row>
    <row r="62" spans="12:15" x14ac:dyDescent="0.25">
      <c r="L62" s="16" t="s">
        <v>877</v>
      </c>
    </row>
    <row r="63" spans="12:15" ht="15.75" thickBot="1" x14ac:dyDescent="0.3">
      <c r="L63" t="s">
        <v>879</v>
      </c>
    </row>
    <row r="64" spans="12:15" x14ac:dyDescent="0.25">
      <c r="L64" s="293" t="s">
        <v>880</v>
      </c>
      <c r="M64" s="295">
        <v>18</v>
      </c>
      <c r="N64" s="306" t="s">
        <v>893</v>
      </c>
    </row>
    <row r="65" spans="12:18" x14ac:dyDescent="0.25">
      <c r="L65" s="258" t="s">
        <v>882</v>
      </c>
      <c r="M65" s="259">
        <v>0.85</v>
      </c>
      <c r="N65" s="306" t="s">
        <v>893</v>
      </c>
    </row>
    <row r="66" spans="12:18" x14ac:dyDescent="0.25">
      <c r="L66" s="258" t="s">
        <v>881</v>
      </c>
      <c r="M66" s="259">
        <v>1200</v>
      </c>
      <c r="N66" s="301">
        <f>M66/1000</f>
        <v>1.2</v>
      </c>
      <c r="O66" s="301" t="s">
        <v>894</v>
      </c>
    </row>
    <row r="67" spans="12:18" x14ac:dyDescent="0.25">
      <c r="L67" s="258" t="s">
        <v>883</v>
      </c>
      <c r="M67" s="299">
        <v>0.95</v>
      </c>
      <c r="N67" s="32" t="s">
        <v>874</v>
      </c>
    </row>
    <row r="68" spans="12:18" x14ac:dyDescent="0.25">
      <c r="L68" s="258" t="s">
        <v>884</v>
      </c>
      <c r="M68" s="299">
        <v>70</v>
      </c>
      <c r="N68" s="302" t="s">
        <v>874</v>
      </c>
      <c r="O68" s="254" t="s">
        <v>892</v>
      </c>
      <c r="P68" t="s">
        <v>885</v>
      </c>
    </row>
    <row r="69" spans="12:18" ht="15.75" thickBot="1" x14ac:dyDescent="0.3">
      <c r="L69" s="255"/>
      <c r="M69" s="60"/>
      <c r="P69" t="s">
        <v>886</v>
      </c>
    </row>
    <row r="70" spans="12:18" ht="15.75" thickBot="1" x14ac:dyDescent="0.3">
      <c r="L70" s="303" t="s">
        <v>887</v>
      </c>
      <c r="M70" s="304">
        <f>N66*M68*M67</f>
        <v>79.8</v>
      </c>
    </row>
    <row r="72" spans="12:18" ht="15.75" thickBot="1" x14ac:dyDescent="0.3">
      <c r="L72" t="s">
        <v>888</v>
      </c>
      <c r="M72">
        <v>28000</v>
      </c>
      <c r="N72" s="306" t="s">
        <v>893</v>
      </c>
    </row>
    <row r="73" spans="12:18" ht="15.75" thickBot="1" x14ac:dyDescent="0.3">
      <c r="L73" s="303" t="s">
        <v>889</v>
      </c>
      <c r="M73" s="304">
        <f>M72/M70</f>
        <v>350.87719298245617</v>
      </c>
    </row>
    <row r="74" spans="12:18" ht="15.75" thickBot="1" x14ac:dyDescent="0.3">
      <c r="L74" t="s">
        <v>891</v>
      </c>
      <c r="M74" s="298">
        <v>15</v>
      </c>
      <c r="N74" s="32" t="s">
        <v>874</v>
      </c>
      <c r="O74" t="s">
        <v>895</v>
      </c>
      <c r="P74" s="254" t="s">
        <v>892</v>
      </c>
      <c r="Q74" s="310" t="s">
        <v>934</v>
      </c>
      <c r="R74" s="309"/>
    </row>
    <row r="75" spans="12:18" ht="15.75" thickBot="1" x14ac:dyDescent="0.3">
      <c r="L75" s="303" t="s">
        <v>890</v>
      </c>
      <c r="M75" s="304">
        <f>M74*M73</f>
        <v>5263.1578947368425</v>
      </c>
    </row>
    <row r="76" spans="12:18" ht="15.75" thickBot="1" x14ac:dyDescent="0.3"/>
    <row r="77" spans="12:18" ht="15.75" thickBot="1" x14ac:dyDescent="0.3">
      <c r="M77" s="289" t="s">
        <v>911</v>
      </c>
    </row>
    <row r="80" spans="12:18" x14ac:dyDescent="0.25">
      <c r="L80" t="s">
        <v>896</v>
      </c>
    </row>
    <row r="81" spans="1:16" x14ac:dyDescent="0.25">
      <c r="L81" s="421" t="s">
        <v>897</v>
      </c>
      <c r="M81" s="421"/>
      <c r="N81" s="23">
        <v>5</v>
      </c>
      <c r="O81" s="32" t="s">
        <v>874</v>
      </c>
    </row>
    <row r="82" spans="1:16" x14ac:dyDescent="0.25">
      <c r="L82" t="s">
        <v>899</v>
      </c>
      <c r="M82">
        <v>1.5</v>
      </c>
      <c r="N82" s="306" t="s">
        <v>893</v>
      </c>
      <c r="P82" s="3" t="s">
        <v>935</v>
      </c>
    </row>
    <row r="83" spans="1:16" ht="15.75" thickBot="1" x14ac:dyDescent="0.3">
      <c r="L83" t="s">
        <v>900</v>
      </c>
      <c r="M83">
        <v>4.25</v>
      </c>
      <c r="N83" s="32" t="s">
        <v>874</v>
      </c>
    </row>
    <row r="84" spans="1:16" ht="15.75" thickBot="1" x14ac:dyDescent="0.3">
      <c r="L84" s="303" t="s">
        <v>901</v>
      </c>
      <c r="M84" s="305">
        <f>(M83/M82)/60</f>
        <v>4.7222222222222228E-2</v>
      </c>
    </row>
    <row r="86" spans="1:16" x14ac:dyDescent="0.25">
      <c r="L86" t="s">
        <v>904</v>
      </c>
      <c r="M86">
        <v>7.5</v>
      </c>
      <c r="N86" s="306" t="s">
        <v>893</v>
      </c>
    </row>
    <row r="87" spans="1:16" ht="15.75" thickBot="1" x14ac:dyDescent="0.3">
      <c r="L87" t="s">
        <v>902</v>
      </c>
      <c r="M87" s="301">
        <f>(M86*M84)</f>
        <v>0.35416666666666669</v>
      </c>
      <c r="N87" s="301" t="s">
        <v>894</v>
      </c>
    </row>
    <row r="88" spans="1:16" ht="15.75" thickBot="1" x14ac:dyDescent="0.3">
      <c r="L88" s="303" t="s">
        <v>903</v>
      </c>
      <c r="M88" s="305">
        <f>N81*M87</f>
        <v>1.7708333333333335</v>
      </c>
    </row>
    <row r="89" spans="1:16" ht="15.75" thickBot="1" x14ac:dyDescent="0.3"/>
    <row r="90" spans="1:16" ht="15.75" thickBot="1" x14ac:dyDescent="0.3">
      <c r="M90" s="289" t="s">
        <v>912</v>
      </c>
    </row>
    <row r="91" spans="1:16" ht="15.75" thickBot="1" x14ac:dyDescent="0.3">
      <c r="D91" s="271" t="s">
        <v>913</v>
      </c>
    </row>
    <row r="93" spans="1:16" x14ac:dyDescent="0.25">
      <c r="A93" t="s">
        <v>905</v>
      </c>
    </row>
    <row r="94" spans="1:16" x14ac:dyDescent="0.25">
      <c r="A94" t="s">
        <v>906</v>
      </c>
    </row>
    <row r="95" spans="1:16" x14ac:dyDescent="0.25">
      <c r="A95" t="s">
        <v>907</v>
      </c>
    </row>
    <row r="96" spans="1:16" x14ac:dyDescent="0.25">
      <c r="A96" t="s">
        <v>908</v>
      </c>
    </row>
    <row r="97" spans="1:1" x14ac:dyDescent="0.25">
      <c r="A97" t="s">
        <v>909</v>
      </c>
    </row>
    <row r="98" spans="1:1" x14ac:dyDescent="0.25">
      <c r="A98" t="s">
        <v>910</v>
      </c>
    </row>
    <row r="138" spans="25:25" ht="15.75" thickBot="1" x14ac:dyDescent="0.3"/>
    <row r="139" spans="25:25" ht="15.75" thickBot="1" x14ac:dyDescent="0.3">
      <c r="Y139" s="271" t="s">
        <v>914</v>
      </c>
    </row>
    <row r="145" spans="22:23" x14ac:dyDescent="0.25">
      <c r="W145" t="s">
        <v>924</v>
      </c>
    </row>
    <row r="146" spans="22:23" x14ac:dyDescent="0.25">
      <c r="V146" t="s">
        <v>922</v>
      </c>
      <c r="W146">
        <v>86</v>
      </c>
    </row>
    <row r="147" spans="22:23" x14ac:dyDescent="0.25">
      <c r="V147" t="s">
        <v>923</v>
      </c>
      <c r="W147">
        <v>55</v>
      </c>
    </row>
    <row r="148" spans="22:23" x14ac:dyDescent="0.25">
      <c r="V148" t="s">
        <v>925</v>
      </c>
      <c r="W148">
        <v>49</v>
      </c>
    </row>
    <row r="149" spans="22:23" x14ac:dyDescent="0.25">
      <c r="V149" t="s">
        <v>926</v>
      </c>
      <c r="W149" t="s">
        <v>927</v>
      </c>
    </row>
    <row r="150" spans="22:23" x14ac:dyDescent="0.25">
      <c r="V150" t="s">
        <v>928</v>
      </c>
      <c r="W150" t="s">
        <v>929</v>
      </c>
    </row>
    <row r="151" spans="22:23" x14ac:dyDescent="0.25">
      <c r="V151" t="s">
        <v>930</v>
      </c>
      <c r="W151" t="s">
        <v>931</v>
      </c>
    </row>
    <row r="152" spans="22:23" x14ac:dyDescent="0.25">
      <c r="V152" t="s">
        <v>932</v>
      </c>
      <c r="W152">
        <v>87</v>
      </c>
    </row>
  </sheetData>
  <mergeCells count="13">
    <mergeCell ref="A23:C23"/>
    <mergeCell ref="O18:O20"/>
    <mergeCell ref="H7:H8"/>
    <mergeCell ref="L81:M81"/>
    <mergeCell ref="M17:N17"/>
    <mergeCell ref="M18:N18"/>
    <mergeCell ref="M19:N19"/>
    <mergeCell ref="M20:N20"/>
    <mergeCell ref="A1:C1"/>
    <mergeCell ref="A3:C3"/>
    <mergeCell ref="A8:C8"/>
    <mergeCell ref="A12:C12"/>
    <mergeCell ref="A19:C19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 x14ac:dyDescent="0.2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 x14ac:dyDescent="0.25">
      <c r="C1" s="341" t="s">
        <v>1057</v>
      </c>
      <c r="F1" t="s">
        <v>1026</v>
      </c>
    </row>
    <row r="2" spans="1:25" x14ac:dyDescent="0.25">
      <c r="B2" t="s">
        <v>1056</v>
      </c>
      <c r="C2">
        <f>(5+47+40+8)/1000</f>
        <v>0.1</v>
      </c>
      <c r="D2" s="277" t="b">
        <v>0</v>
      </c>
      <c r="F2" s="319"/>
      <c r="G2" t="s">
        <v>1040</v>
      </c>
      <c r="W2" t="s">
        <v>1022</v>
      </c>
      <c r="X2" t="s">
        <v>1030</v>
      </c>
      <c r="Y2" t="s">
        <v>1031</v>
      </c>
    </row>
    <row r="3" spans="1:25" x14ac:dyDescent="0.25">
      <c r="B3" s="333" t="s">
        <v>995</v>
      </c>
      <c r="F3" s="334"/>
      <c r="G3" t="s">
        <v>1024</v>
      </c>
      <c r="S3" t="s">
        <v>265</v>
      </c>
      <c r="T3" t="s">
        <v>266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 x14ac:dyDescent="0.25">
      <c r="D4" t="s">
        <v>1029</v>
      </c>
      <c r="S4" t="s">
        <v>268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 x14ac:dyDescent="0.25">
      <c r="C5" s="20" t="s">
        <v>996</v>
      </c>
      <c r="D5" s="327" t="s">
        <v>1027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 x14ac:dyDescent="0.25">
      <c r="B6" s="337" t="s">
        <v>997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 x14ac:dyDescent="0.25">
      <c r="A7" s="1"/>
      <c r="D7" s="7" t="s">
        <v>1034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 x14ac:dyDescent="0.25">
      <c r="B8" s="337" t="s">
        <v>1048</v>
      </c>
      <c r="C8" s="95">
        <v>1000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 x14ac:dyDescent="0.25">
      <c r="B9" s="336" t="s">
        <v>1010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 x14ac:dyDescent="0.25">
      <c r="A10" s="277" t="b">
        <v>0</v>
      </c>
      <c r="B10" s="336" t="s">
        <v>1023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 x14ac:dyDescent="0.25">
      <c r="B11" s="338" t="s">
        <v>1011</v>
      </c>
      <c r="C11" s="339">
        <f>C6*IF(A10,C10,C9)</f>
        <v>29160</v>
      </c>
      <c r="D11" s="327">
        <f>SUM(D9:O9)</f>
        <v>30087</v>
      </c>
      <c r="S11" t="s">
        <v>1162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 x14ac:dyDescent="0.25">
      <c r="D12" s="7"/>
      <c r="S12" t="s">
        <v>1045</v>
      </c>
      <c r="T12" t="s">
        <v>1046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 x14ac:dyDescent="0.35">
      <c r="B13" s="329" t="s">
        <v>1025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 x14ac:dyDescent="0.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 x14ac:dyDescent="0.35">
      <c r="B15" s="340" t="s">
        <v>1017</v>
      </c>
      <c r="C15" s="46">
        <f>C11*C13</f>
        <v>6590.16</v>
      </c>
      <c r="D15" s="331">
        <f>(D11*C13)</f>
        <v>6799.6620000000003</v>
      </c>
      <c r="E15" t="s">
        <v>1019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 x14ac:dyDescent="0.25">
      <c r="W16">
        <v>14</v>
      </c>
      <c r="X16">
        <f t="shared" si="1"/>
        <v>26226.888910917936</v>
      </c>
      <c r="Y16">
        <f t="shared" si="0"/>
        <v>15388.851369794433</v>
      </c>
    </row>
    <row r="17" spans="1:25" x14ac:dyDescent="0.25">
      <c r="W17">
        <v>15</v>
      </c>
      <c r="X17">
        <f t="shared" si="1"/>
        <v>29182.792702728206</v>
      </c>
      <c r="Y17">
        <f t="shared" si="0"/>
        <v>17855.949300711218</v>
      </c>
    </row>
    <row r="18" spans="1:25" x14ac:dyDescent="0.25">
      <c r="W18">
        <v>16</v>
      </c>
      <c r="X18">
        <f t="shared" si="1"/>
        <v>32248.722222220753</v>
      </c>
      <c r="Y18">
        <f t="shared" si="0"/>
        <v>20520.618632046258</v>
      </c>
    </row>
    <row r="19" spans="1:25" x14ac:dyDescent="0.25">
      <c r="B19" s="2" t="s">
        <v>1042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 x14ac:dyDescent="0.25">
      <c r="B20" s="335" t="s">
        <v>1012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 x14ac:dyDescent="0.25">
      <c r="B21" s="337" t="s">
        <v>997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 x14ac:dyDescent="0.25">
      <c r="B22" s="221" t="s">
        <v>1048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 x14ac:dyDescent="0.25">
      <c r="B23" s="221" t="s">
        <v>1036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 x14ac:dyDescent="0.25">
      <c r="A24" s="277" t="b">
        <v>0</v>
      </c>
      <c r="B24" s="221" t="s">
        <v>1035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 x14ac:dyDescent="0.25">
      <c r="B25" s="341" t="s">
        <v>1043</v>
      </c>
      <c r="C25" s="341">
        <f>(C21*IF(A24,C24,C23))*1000</f>
        <v>190799.99999999997</v>
      </c>
      <c r="D25" s="221" t="s">
        <v>1016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 x14ac:dyDescent="0.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 x14ac:dyDescent="0.35">
      <c r="B27" s="328" t="s">
        <v>1028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 x14ac:dyDescent="0.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 x14ac:dyDescent="0.35">
      <c r="D29" s="328" t="s">
        <v>1041</v>
      </c>
      <c r="E29" s="329">
        <f>3.31</f>
        <v>3.31</v>
      </c>
      <c r="F29" t="s">
        <v>1015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 x14ac:dyDescent="0.25">
      <c r="I30" s="332" t="s">
        <v>1013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 x14ac:dyDescent="0.35">
      <c r="C31" s="27" t="s">
        <v>1033</v>
      </c>
      <c r="D31" s="37" t="s">
        <v>1020</v>
      </c>
      <c r="I31" s="3" t="s">
        <v>1014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 x14ac:dyDescent="0.25">
      <c r="W32">
        <v>30</v>
      </c>
      <c r="X32">
        <f t="shared" si="2"/>
        <v>85327.924186283519</v>
      </c>
      <c r="Y32">
        <f t="shared" si="0"/>
        <v>79535.825103984724</v>
      </c>
    </row>
    <row r="33" spans="2:25" x14ac:dyDescent="0.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 x14ac:dyDescent="0.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 x14ac:dyDescent="0.35">
      <c r="B35" s="20" t="s">
        <v>1018</v>
      </c>
      <c r="C35" s="20">
        <f>SUM(C33:D33)</f>
        <v>43127.42</v>
      </c>
      <c r="D35" s="20" t="s">
        <v>1019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 x14ac:dyDescent="0.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 x14ac:dyDescent="0.35">
      <c r="B37" s="41" t="s">
        <v>1021</v>
      </c>
      <c r="C37" s="41">
        <f>IF(G5=TRUE,D15,C15)+IF(E19=TRUE,C35,C36)</f>
        <v>49717.58</v>
      </c>
      <c r="D37" s="41" t="s">
        <v>1019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 x14ac:dyDescent="0.25">
      <c r="W38">
        <v>36</v>
      </c>
      <c r="X38">
        <f t="shared" si="2"/>
        <v>113150.33164790492</v>
      </c>
      <c r="Y38">
        <f t="shared" si="0"/>
        <v>117818.69615272222</v>
      </c>
    </row>
    <row r="39" spans="2:25" x14ac:dyDescent="0.25">
      <c r="W39">
        <v>37</v>
      </c>
      <c r="X39">
        <f t="shared" si="2"/>
        <v>118052.35060383145</v>
      </c>
      <c r="Y39">
        <f t="shared" si="0"/>
        <v>124985.43853146481</v>
      </c>
    </row>
    <row r="40" spans="2:25" x14ac:dyDescent="0.25">
      <c r="B40" t="s">
        <v>1135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 x14ac:dyDescent="0.25">
      <c r="W41">
        <v>39</v>
      </c>
      <c r="X41">
        <f t="shared" si="2"/>
        <v>128074.92065811205</v>
      </c>
      <c r="Y41">
        <f t="shared" si="0"/>
        <v>140001.76269044951</v>
      </c>
    </row>
    <row r="42" spans="2:25" x14ac:dyDescent="0.25">
      <c r="W42">
        <v>40</v>
      </c>
      <c r="X42">
        <f t="shared" si="2"/>
        <v>133193.75136189847</v>
      </c>
      <c r="Y42">
        <f t="shared" si="0"/>
        <v>147853.20936234953</v>
      </c>
    </row>
    <row r="44" spans="2:25" x14ac:dyDescent="0.25">
      <c r="W44" t="s">
        <v>1049</v>
      </c>
    </row>
    <row r="46" spans="2:25" x14ac:dyDescent="0.25">
      <c r="W46" t="s">
        <v>1050</v>
      </c>
    </row>
    <row r="48" spans="2:25" x14ac:dyDescent="0.25">
      <c r="W48" t="s">
        <v>1051</v>
      </c>
    </row>
    <row r="50" spans="23:23" x14ac:dyDescent="0.25">
      <c r="W50" t="s">
        <v>1052</v>
      </c>
    </row>
    <row r="52" spans="23:23" x14ac:dyDescent="0.25">
      <c r="W52" t="s">
        <v>1053</v>
      </c>
    </row>
    <row r="54" spans="23:23" x14ac:dyDescent="0.25">
      <c r="W54" t="s">
        <v>1054</v>
      </c>
    </row>
  </sheetData>
  <conditionalFormatting sqref="B13">
    <cfRule type="expression" dxfId="34" priority="9">
      <formula>#REF!=TRUE</formula>
    </cfRule>
    <cfRule type="expression" dxfId="33" priority="10">
      <formula>#REF!=TRUE</formula>
    </cfRule>
  </conditionalFormatting>
  <conditionalFormatting sqref="B20:G35">
    <cfRule type="expression" dxfId="32" priority="15">
      <formula>$E$19=FALSE</formula>
    </cfRule>
    <cfRule type="expression" dxfId="31" priority="16">
      <formula>$E$19=FALSE</formula>
    </cfRule>
  </conditionalFormatting>
  <conditionalFormatting sqref="C22:C24">
    <cfRule type="expression" dxfId="30" priority="1">
      <formula>#REF!=TRUE</formula>
    </cfRule>
    <cfRule type="expression" dxfId="29" priority="2">
      <formula>#REF!=TRUE</formula>
    </cfRule>
  </conditionalFormatting>
  <conditionalFormatting sqref="D6:O15">
    <cfRule type="expression" dxfId="28" priority="11">
      <formula>$G$5=FALSE</formula>
    </cfRule>
    <cfRule type="expression" dxfId="27" priority="12">
      <formula>$G$5=FALSE</formula>
    </cfRule>
  </conditionalFormatting>
  <conditionalFormatting sqref="F3 C6 C9:C15">
    <cfRule type="expression" dxfId="26" priority="193">
      <formula>#REF!=TRUE</formula>
    </cfRule>
    <cfRule type="expression" dxfId="25" priority="194">
      <formula>#REF!=TRUE</formula>
    </cfRule>
  </conditionalFormatting>
  <conditionalFormatting sqref="G16">
    <cfRule type="expression" dxfId="24" priority="20">
      <formula>$D$8:$O$15="FALSCH"</formula>
    </cfRule>
  </conditionalFormatting>
  <conditionalFormatting sqref="P9">
    <cfRule type="expression" dxfId="23" priority="7">
      <formula>#REF!=TRUE</formula>
    </cfRule>
    <cfRule type="expression" dxfId="22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 x14ac:dyDescent="0.2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 x14ac:dyDescent="0.25">
      <c r="F1" t="s">
        <v>1026</v>
      </c>
    </row>
    <row r="2" spans="1:22" x14ac:dyDescent="0.25">
      <c r="F2" s="319"/>
      <c r="G2" t="s">
        <v>1040</v>
      </c>
    </row>
    <row r="3" spans="1:22" x14ac:dyDescent="0.25">
      <c r="B3" s="333" t="s">
        <v>995</v>
      </c>
      <c r="F3" s="334"/>
      <c r="G3" t="s">
        <v>1024</v>
      </c>
    </row>
    <row r="4" spans="1:22" x14ac:dyDescent="0.25">
      <c r="D4" t="s">
        <v>1029</v>
      </c>
      <c r="U4" t="s">
        <v>1044</v>
      </c>
    </row>
    <row r="5" spans="1:22" x14ac:dyDescent="0.25">
      <c r="C5" s="20" t="s">
        <v>996</v>
      </c>
      <c r="D5" s="327" t="s">
        <v>1027</v>
      </c>
      <c r="G5" s="277" t="b">
        <v>0</v>
      </c>
      <c r="U5" t="s">
        <v>1045</v>
      </c>
      <c r="V5" t="s">
        <v>1046</v>
      </c>
    </row>
    <row r="6" spans="1:22" x14ac:dyDescent="0.25">
      <c r="B6" s="337" t="s">
        <v>997</v>
      </c>
      <c r="C6" s="334">
        <v>9</v>
      </c>
      <c r="D6" s="7"/>
      <c r="U6">
        <v>14.09</v>
      </c>
      <c r="V6">
        <v>10.63326357</v>
      </c>
    </row>
    <row r="7" spans="1:22" x14ac:dyDescent="0.25">
      <c r="A7" s="1"/>
      <c r="D7" s="7" t="s">
        <v>1034</v>
      </c>
    </row>
    <row r="8" spans="1:22" x14ac:dyDescent="0.25">
      <c r="B8" s="337" t="s">
        <v>1048</v>
      </c>
      <c r="C8" s="95">
        <v>31652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U8" t="s">
        <v>1047</v>
      </c>
    </row>
    <row r="9" spans="1:22" x14ac:dyDescent="0.25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 x14ac:dyDescent="0.25">
      <c r="A10" s="277" t="b">
        <v>1</v>
      </c>
      <c r="B10" s="8"/>
      <c r="D10" s="7"/>
    </row>
    <row r="11" spans="1:22" x14ac:dyDescent="0.25">
      <c r="B11" s="338" t="s">
        <v>1011</v>
      </c>
      <c r="C11" s="339">
        <f>C9*C6</f>
        <v>461486.16000000003</v>
      </c>
      <c r="D11" s="327">
        <f>SUM(D9:O9)</f>
        <v>30087</v>
      </c>
    </row>
    <row r="12" spans="1:22" x14ac:dyDescent="0.25">
      <c r="D12" s="7"/>
    </row>
    <row r="13" spans="1:22" ht="18" x14ac:dyDescent="0.35">
      <c r="B13" s="329" t="s">
        <v>1025</v>
      </c>
      <c r="C13" s="329">
        <f>108/1000</f>
        <v>0.108</v>
      </c>
      <c r="D13" s="7"/>
    </row>
    <row r="14" spans="1:22" x14ac:dyDescent="0.25">
      <c r="D14" s="7"/>
    </row>
    <row r="15" spans="1:22" ht="18" x14ac:dyDescent="0.35">
      <c r="B15" s="340" t="s">
        <v>1017</v>
      </c>
      <c r="C15" s="46">
        <f>C11*C13</f>
        <v>49840.505280000005</v>
      </c>
      <c r="D15" s="331">
        <f>(D11*C13)</f>
        <v>3249.3960000000002</v>
      </c>
      <c r="E15" t="s">
        <v>1019</v>
      </c>
    </row>
    <row r="19" spans="1:9" x14ac:dyDescent="0.25">
      <c r="B19" s="2" t="s">
        <v>1042</v>
      </c>
      <c r="C19" s="2"/>
      <c r="E19" s="277" t="b">
        <v>1</v>
      </c>
    </row>
    <row r="20" spans="1:9" x14ac:dyDescent="0.25">
      <c r="B20" s="335" t="s">
        <v>1012</v>
      </c>
    </row>
    <row r="22" spans="1:9" x14ac:dyDescent="0.25">
      <c r="B22" s="221" t="s">
        <v>1032</v>
      </c>
      <c r="C22" s="334">
        <v>1</v>
      </c>
    </row>
    <row r="23" spans="1:9" x14ac:dyDescent="0.25">
      <c r="B23" s="221" t="s">
        <v>1036</v>
      </c>
      <c r="C23" s="44" t="e">
        <f>_xlfn.XLOOKUP(C22,#REF!,#REF!)</f>
        <v>#REF!</v>
      </c>
    </row>
    <row r="24" spans="1:9" x14ac:dyDescent="0.25">
      <c r="A24" s="277" t="b">
        <v>0</v>
      </c>
      <c r="B24" s="221" t="s">
        <v>1035</v>
      </c>
      <c r="C24" s="319"/>
    </row>
    <row r="25" spans="1:9" x14ac:dyDescent="0.25">
      <c r="B25" s="341" t="s">
        <v>1043</v>
      </c>
      <c r="C25" s="341" t="e">
        <f>(C6*IF(A24,C24,C23))*1000</f>
        <v>#REF!</v>
      </c>
      <c r="D25" s="221" t="s">
        <v>1016</v>
      </c>
      <c r="E25" s="57">
        <v>0</v>
      </c>
    </row>
    <row r="27" spans="1:9" ht="18" x14ac:dyDescent="0.35">
      <c r="B27" s="328" t="s">
        <v>1028</v>
      </c>
      <c r="C27" s="329">
        <f>108/1000</f>
        <v>0.108</v>
      </c>
    </row>
    <row r="29" spans="1:9" ht="18" x14ac:dyDescent="0.35">
      <c r="D29" s="328" t="s">
        <v>1041</v>
      </c>
      <c r="E29" s="329">
        <f>3.31</f>
        <v>3.31</v>
      </c>
      <c r="F29" t="s">
        <v>1015</v>
      </c>
    </row>
    <row r="30" spans="1:9" x14ac:dyDescent="0.25">
      <c r="I30" s="332" t="s">
        <v>1013</v>
      </c>
    </row>
    <row r="31" spans="1:9" ht="18" x14ac:dyDescent="0.35">
      <c r="C31" s="27" t="s">
        <v>1033</v>
      </c>
      <c r="D31" s="37" t="s">
        <v>1020</v>
      </c>
      <c r="I31" s="3" t="s">
        <v>1014</v>
      </c>
    </row>
    <row r="33" spans="2:4" x14ac:dyDescent="0.25">
      <c r="C33" s="330" t="e">
        <f>C25*C27</f>
        <v>#REF!</v>
      </c>
      <c r="D33" s="330">
        <f>E25*E29</f>
        <v>0</v>
      </c>
    </row>
    <row r="35" spans="2:4" ht="18" x14ac:dyDescent="0.35">
      <c r="B35" s="20" t="s">
        <v>1018</v>
      </c>
      <c r="C35" s="20" t="e">
        <f>SUM(C33:E33)</f>
        <v>#REF!</v>
      </c>
      <c r="D35" s="20" t="s">
        <v>1019</v>
      </c>
    </row>
    <row r="37" spans="2:4" ht="18" x14ac:dyDescent="0.35">
      <c r="B37" s="41" t="s">
        <v>1021</v>
      </c>
      <c r="C37" s="41" t="e">
        <f>IF(G5=TRUE,D15,C15)+IF(E19=TRUE,C35,C36)</f>
        <v>#REF!</v>
      </c>
      <c r="D37" s="41" t="s">
        <v>1019</v>
      </c>
    </row>
  </sheetData>
  <conditionalFormatting sqref="B13">
    <cfRule type="expression" dxfId="21" priority="5">
      <formula>#REF!=TRUE</formula>
    </cfRule>
    <cfRule type="expression" dxfId="20" priority="6">
      <formula>#REF!=TRUE</formula>
    </cfRule>
  </conditionalFormatting>
  <conditionalFormatting sqref="B20:G35">
    <cfRule type="expression" dxfId="19" priority="9">
      <formula>$E$19=FALSE</formula>
    </cfRule>
    <cfRule type="expression" dxfId="18" priority="10">
      <formula>$E$19=FALSE</formula>
    </cfRule>
  </conditionalFormatting>
  <conditionalFormatting sqref="C22:C24">
    <cfRule type="expression" dxfId="17" priority="1">
      <formula>#REF!=TRUE</formula>
    </cfRule>
    <cfRule type="expression" dxfId="16" priority="2">
      <formula>#REF!=TRUE</formula>
    </cfRule>
  </conditionalFormatting>
  <conditionalFormatting sqref="D6:O15">
    <cfRule type="expression" dxfId="15" priority="7">
      <formula>$G$5=FALSE</formula>
    </cfRule>
    <cfRule type="expression" dxfId="14" priority="8">
      <formula>$G$5=FALSE</formula>
    </cfRule>
  </conditionalFormatting>
  <conditionalFormatting sqref="F3 C6 C9:C15">
    <cfRule type="expression" dxfId="13" priority="12">
      <formula>#REF!=TRUE</formula>
    </cfRule>
    <cfRule type="expression" dxfId="12" priority="13">
      <formula>#REF!=TRUE</formula>
    </cfRule>
  </conditionalFormatting>
  <conditionalFormatting sqref="G16">
    <cfRule type="expression" dxfId="11" priority="11">
      <formula>$D$8:$O$15="FALSCH"</formula>
    </cfRule>
  </conditionalFormatting>
  <conditionalFormatting sqref="P9">
    <cfRule type="expression" dxfId="10" priority="3">
      <formula>#REF!=TRUE</formula>
    </cfRule>
    <cfRule type="expression" dxfId="9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 x14ac:dyDescent="0.25"/>
  <cols>
    <col min="1" max="1" width="10.140625" customWidth="1"/>
    <col min="2" max="2" width="58.7109375" customWidth="1"/>
  </cols>
  <sheetData>
    <row r="1" spans="1:19" x14ac:dyDescent="0.25">
      <c r="A1" s="57" t="s">
        <v>285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x14ac:dyDescent="0.25">
      <c r="A2">
        <v>1</v>
      </c>
      <c r="B2" t="s">
        <v>286</v>
      </c>
      <c r="C2" t="s">
        <v>718</v>
      </c>
    </row>
    <row r="3" spans="1:19" ht="18" x14ac:dyDescent="0.35">
      <c r="A3">
        <v>2</v>
      </c>
      <c r="B3" t="s">
        <v>13</v>
      </c>
      <c r="C3" t="s">
        <v>719</v>
      </c>
    </row>
    <row r="4" spans="1:19" ht="18" x14ac:dyDescent="0.35">
      <c r="A4">
        <v>3</v>
      </c>
      <c r="B4" t="s">
        <v>287</v>
      </c>
      <c r="C4" t="s">
        <v>720</v>
      </c>
    </row>
    <row r="5" spans="1:19" x14ac:dyDescent="0.25">
      <c r="A5">
        <v>4</v>
      </c>
      <c r="B5" t="s">
        <v>288</v>
      </c>
      <c r="C5" t="s">
        <v>721</v>
      </c>
    </row>
    <row r="6" spans="1:19" x14ac:dyDescent="0.25">
      <c r="A6">
        <v>5</v>
      </c>
      <c r="B6" t="s">
        <v>289</v>
      </c>
      <c r="C6" t="s">
        <v>722</v>
      </c>
    </row>
    <row r="7" spans="1:19" ht="18" x14ac:dyDescent="0.35">
      <c r="A7">
        <v>6</v>
      </c>
      <c r="B7" t="s">
        <v>27</v>
      </c>
      <c r="C7" t="s">
        <v>723</v>
      </c>
    </row>
    <row r="8" spans="1:19" ht="18" x14ac:dyDescent="0.35">
      <c r="A8">
        <v>7</v>
      </c>
      <c r="B8" t="s">
        <v>290</v>
      </c>
      <c r="C8" t="s">
        <v>724</v>
      </c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>
        <v>8</v>
      </c>
      <c r="B10" t="s">
        <v>33</v>
      </c>
      <c r="C10" t="s">
        <v>725</v>
      </c>
    </row>
    <row r="11" spans="1:19" ht="18" x14ac:dyDescent="0.35">
      <c r="A11">
        <v>9</v>
      </c>
      <c r="B11" t="s">
        <v>41</v>
      </c>
      <c r="C11" t="s">
        <v>726</v>
      </c>
    </row>
    <row r="12" spans="1:19" x14ac:dyDescent="0.25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 x14ac:dyDescent="0.25">
      <c r="A13">
        <v>10</v>
      </c>
      <c r="B13" t="s">
        <v>108</v>
      </c>
      <c r="C13" t="s">
        <v>291</v>
      </c>
    </row>
    <row r="14" spans="1:19" x14ac:dyDescent="0.25">
      <c r="A14">
        <v>11</v>
      </c>
      <c r="B14" t="s">
        <v>15</v>
      </c>
      <c r="C14" t="s">
        <v>716</v>
      </c>
    </row>
    <row r="15" spans="1:19" x14ac:dyDescent="0.25">
      <c r="A15">
        <v>12</v>
      </c>
      <c r="B15" t="s">
        <v>25</v>
      </c>
      <c r="C15" t="s">
        <v>727</v>
      </c>
    </row>
    <row r="16" spans="1:19" x14ac:dyDescent="0.25">
      <c r="A16">
        <v>13</v>
      </c>
      <c r="B16" t="s">
        <v>717</v>
      </c>
      <c r="C16" t="s">
        <v>728</v>
      </c>
    </row>
    <row r="17" spans="1:19" x14ac:dyDescent="0.25">
      <c r="A17">
        <v>14</v>
      </c>
      <c r="B17" t="s">
        <v>15</v>
      </c>
      <c r="C17" t="s">
        <v>730</v>
      </c>
    </row>
    <row r="18" spans="1:19" x14ac:dyDescent="0.25">
      <c r="A18">
        <v>15</v>
      </c>
      <c r="B18" t="s">
        <v>292</v>
      </c>
      <c r="C18" t="s">
        <v>731</v>
      </c>
    </row>
    <row r="19" spans="1:19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 x14ac:dyDescent="0.25">
      <c r="A20">
        <v>16</v>
      </c>
      <c r="B20" t="s">
        <v>13</v>
      </c>
      <c r="C20" t="s">
        <v>732</v>
      </c>
    </row>
    <row r="21" spans="1:19" x14ac:dyDescent="0.25">
      <c r="A21">
        <v>17</v>
      </c>
      <c r="B21" t="s">
        <v>27</v>
      </c>
      <c r="C21" t="s">
        <v>733</v>
      </c>
    </row>
    <row r="22" spans="1:19" x14ac:dyDescent="0.25">
      <c r="A22">
        <v>18</v>
      </c>
      <c r="B22" t="s">
        <v>35</v>
      </c>
      <c r="C22" t="s">
        <v>734</v>
      </c>
    </row>
    <row r="23" spans="1:19" x14ac:dyDescent="0.25">
      <c r="A23">
        <v>19</v>
      </c>
      <c r="B23" t="s">
        <v>40</v>
      </c>
      <c r="C23" t="s">
        <v>735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 x14ac:dyDescent="0.25"/>
  <cols>
    <col min="5" max="5" width="16.85546875" customWidth="1"/>
  </cols>
  <sheetData>
    <row r="2" spans="2:17" ht="15.75" thickBot="1" x14ac:dyDescent="0.3">
      <c r="B2" s="431" t="s">
        <v>736</v>
      </c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</row>
    <row r="3" spans="2:17" ht="15" customHeight="1" x14ac:dyDescent="0.25">
      <c r="B3" s="436" t="s">
        <v>1061</v>
      </c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  <c r="N3" s="437"/>
      <c r="O3" s="438"/>
      <c r="P3" s="294"/>
      <c r="Q3" s="295"/>
    </row>
    <row r="4" spans="2:17" ht="15.75" thickBot="1" x14ac:dyDescent="0.3">
      <c r="B4" s="439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1"/>
      <c r="P4" s="55"/>
      <c r="Q4" s="60"/>
    </row>
    <row r="5" spans="2:17" x14ac:dyDescent="0.25">
      <c r="B5" s="426" t="s">
        <v>737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7"/>
      <c r="Q5" s="433" t="s">
        <v>738</v>
      </c>
    </row>
    <row r="6" spans="2:17" ht="15.75" thickBot="1" x14ac:dyDescent="0.3">
      <c r="B6" s="428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29"/>
      <c r="Q6" s="434"/>
    </row>
    <row r="7" spans="2:17" ht="15.75" thickBot="1" x14ac:dyDescent="0.3">
      <c r="B7" s="424" t="s">
        <v>739</v>
      </c>
      <c r="C7" s="435"/>
      <c r="D7" s="425"/>
      <c r="E7" s="424" t="s">
        <v>740</v>
      </c>
      <c r="F7" s="425"/>
      <c r="G7" s="435" t="s">
        <v>741</v>
      </c>
      <c r="H7" s="435"/>
      <c r="I7" s="435"/>
      <c r="J7" s="435"/>
      <c r="K7" s="435"/>
      <c r="L7" s="422" t="s">
        <v>742</v>
      </c>
      <c r="M7" s="430"/>
      <c r="N7" s="430"/>
      <c r="O7" s="423"/>
      <c r="Q7" s="284" t="s">
        <v>743</v>
      </c>
    </row>
    <row r="8" spans="2:17" ht="15.75" thickBot="1" x14ac:dyDescent="0.3">
      <c r="B8" s="428" t="s">
        <v>744</v>
      </c>
      <c r="C8" s="432"/>
      <c r="D8" s="429"/>
      <c r="E8" s="428" t="s">
        <v>745</v>
      </c>
      <c r="F8" s="429"/>
      <c r="G8" s="432" t="s">
        <v>1058</v>
      </c>
      <c r="H8" s="432"/>
      <c r="I8" s="432"/>
      <c r="J8" s="432"/>
      <c r="K8" s="432"/>
      <c r="L8" s="422" t="s">
        <v>746</v>
      </c>
      <c r="M8" s="430"/>
      <c r="N8" s="430"/>
      <c r="O8" s="423"/>
      <c r="Q8" s="285" t="s">
        <v>747</v>
      </c>
    </row>
    <row r="9" spans="2:17" x14ac:dyDescent="0.25">
      <c r="B9" s="286" t="s">
        <v>748</v>
      </c>
      <c r="C9" s="286" t="s">
        <v>749</v>
      </c>
      <c r="D9" s="286" t="s">
        <v>750</v>
      </c>
      <c r="E9" s="286" t="s">
        <v>751</v>
      </c>
      <c r="F9" s="286" t="s">
        <v>752</v>
      </c>
      <c r="G9" s="280" t="s">
        <v>753</v>
      </c>
      <c r="H9" s="287" t="s">
        <v>754</v>
      </c>
      <c r="I9" s="287" t="s">
        <v>755</v>
      </c>
      <c r="J9" s="287" t="s">
        <v>756</v>
      </c>
      <c r="K9" s="279" t="s">
        <v>757</v>
      </c>
      <c r="L9" s="287" t="s">
        <v>758</v>
      </c>
      <c r="M9" s="287" t="s">
        <v>759</v>
      </c>
      <c r="N9" s="287" t="s">
        <v>760</v>
      </c>
      <c r="O9" s="287" t="s">
        <v>761</v>
      </c>
      <c r="Q9" s="419" t="s">
        <v>762</v>
      </c>
    </row>
    <row r="10" spans="2:17" ht="15.75" thickBot="1" x14ac:dyDescent="0.3">
      <c r="B10" s="288" t="s">
        <v>763</v>
      </c>
      <c r="C10" s="288" t="s">
        <v>764</v>
      </c>
      <c r="D10" s="288" t="s">
        <v>765</v>
      </c>
      <c r="E10" s="288" t="s">
        <v>766</v>
      </c>
      <c r="F10" s="288" t="s">
        <v>767</v>
      </c>
      <c r="G10" s="60" t="s">
        <v>768</v>
      </c>
      <c r="H10" s="288" t="s">
        <v>769</v>
      </c>
      <c r="I10" s="288" t="s">
        <v>769</v>
      </c>
      <c r="J10" s="288" t="s">
        <v>770</v>
      </c>
      <c r="K10" s="255" t="s">
        <v>771</v>
      </c>
      <c r="L10" s="288" t="s">
        <v>772</v>
      </c>
      <c r="M10" s="288" t="s">
        <v>764</v>
      </c>
      <c r="N10" s="288" t="s">
        <v>773</v>
      </c>
      <c r="O10" s="288" t="s">
        <v>774</v>
      </c>
      <c r="Q10" s="419"/>
    </row>
    <row r="11" spans="2:17" x14ac:dyDescent="0.25">
      <c r="B11" s="258"/>
      <c r="E11" t="s">
        <v>775</v>
      </c>
      <c r="F11" s="259" t="s">
        <v>775</v>
      </c>
      <c r="H11" t="s">
        <v>775</v>
      </c>
      <c r="I11" t="s">
        <v>775</v>
      </c>
      <c r="J11" t="s">
        <v>775</v>
      </c>
      <c r="K11" t="s">
        <v>775</v>
      </c>
      <c r="L11" s="258" t="s">
        <v>775</v>
      </c>
      <c r="M11" t="s">
        <v>775</v>
      </c>
      <c r="N11" t="s">
        <v>775</v>
      </c>
      <c r="O11" s="259" t="s">
        <v>775</v>
      </c>
      <c r="Q11" s="285"/>
    </row>
    <row r="12" spans="2:17" ht="15.75" thickBot="1" x14ac:dyDescent="0.3">
      <c r="B12" s="258"/>
      <c r="F12" s="259"/>
      <c r="L12" s="258"/>
      <c r="O12" s="259"/>
      <c r="Q12" s="285"/>
    </row>
    <row r="13" spans="2:17" ht="15.75" thickBot="1" x14ac:dyDescent="0.3">
      <c r="B13" s="258"/>
      <c r="F13" s="259"/>
      <c r="G13" s="289" t="s">
        <v>776</v>
      </c>
      <c r="H13" s="430" t="s">
        <v>1059</v>
      </c>
      <c r="I13" s="430"/>
      <c r="J13" s="423"/>
      <c r="K13" t="s">
        <v>775</v>
      </c>
      <c r="L13" s="258"/>
      <c r="O13" s="259"/>
      <c r="Q13" s="285"/>
    </row>
    <row r="14" spans="2:17" ht="15.75" thickBot="1" x14ac:dyDescent="0.3">
      <c r="B14" s="258"/>
      <c r="F14" s="259"/>
      <c r="L14" s="258"/>
      <c r="O14" s="259"/>
      <c r="Q14" s="285"/>
    </row>
    <row r="15" spans="2:17" ht="15.75" thickBot="1" x14ac:dyDescent="0.3">
      <c r="B15" s="258"/>
      <c r="F15" s="259"/>
      <c r="G15" s="289" t="s">
        <v>777</v>
      </c>
      <c r="H15" s="430" t="s">
        <v>1060</v>
      </c>
      <c r="I15" s="430"/>
      <c r="J15" s="423"/>
      <c r="K15" t="s">
        <v>778</v>
      </c>
      <c r="L15" s="258"/>
      <c r="O15" s="259"/>
      <c r="Q15" s="285"/>
    </row>
    <row r="16" spans="2:17" ht="15.75" thickBot="1" x14ac:dyDescent="0.3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 x14ac:dyDescent="0.25">
      <c r="A18" t="s">
        <v>779</v>
      </c>
      <c r="B18" s="290"/>
      <c r="C18" s="290"/>
      <c r="D18" s="290"/>
    </row>
    <row r="19" spans="1:17" x14ac:dyDescent="0.25">
      <c r="A19" t="s">
        <v>780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804</v>
      </c>
    </row>
    <row r="20" spans="1:17" x14ac:dyDescent="0.25">
      <c r="A20" t="s">
        <v>781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 x14ac:dyDescent="0.25">
      <c r="B25" t="s">
        <v>782</v>
      </c>
      <c r="C25" t="s">
        <v>783</v>
      </c>
      <c r="I25" t="s">
        <v>784</v>
      </c>
      <c r="J25" s="421" t="s">
        <v>785</v>
      </c>
      <c r="K25" s="421"/>
      <c r="L25" s="421"/>
    </row>
    <row r="26" spans="1:17" ht="15.75" thickBot="1" x14ac:dyDescent="0.3">
      <c r="I26" t="s">
        <v>786</v>
      </c>
      <c r="J26" s="453" t="s">
        <v>787</v>
      </c>
      <c r="K26" s="454"/>
      <c r="L26" s="454"/>
      <c r="M26" s="454"/>
      <c r="N26" s="454"/>
    </row>
    <row r="27" spans="1:17" x14ac:dyDescent="0.25">
      <c r="B27" s="418" t="s">
        <v>788</v>
      </c>
      <c r="C27" s="444" t="s">
        <v>1062</v>
      </c>
      <c r="D27" s="445"/>
      <c r="E27" s="446"/>
      <c r="F27" s="455" t="s">
        <v>789</v>
      </c>
      <c r="I27" t="s">
        <v>790</v>
      </c>
      <c r="J27" s="453" t="s">
        <v>791</v>
      </c>
      <c r="K27" s="454"/>
      <c r="L27" s="454"/>
      <c r="M27" s="454"/>
      <c r="N27" s="454"/>
    </row>
    <row r="28" spans="1:17" x14ac:dyDescent="0.25">
      <c r="B28" s="419"/>
      <c r="C28" s="447"/>
      <c r="D28" s="448"/>
      <c r="E28" s="449"/>
      <c r="F28" s="456"/>
    </row>
    <row r="29" spans="1:17" x14ac:dyDescent="0.25">
      <c r="B29" s="419"/>
      <c r="C29" s="447"/>
      <c r="D29" s="448"/>
      <c r="E29" s="449"/>
      <c r="F29" s="456"/>
    </row>
    <row r="30" spans="1:17" x14ac:dyDescent="0.25">
      <c r="B30" s="419"/>
      <c r="C30" s="447"/>
      <c r="D30" s="448"/>
      <c r="E30" s="449"/>
      <c r="F30" s="456"/>
    </row>
    <row r="31" spans="1:17" ht="15.75" thickBot="1" x14ac:dyDescent="0.3">
      <c r="B31" s="420"/>
      <c r="C31" s="450"/>
      <c r="D31" s="451"/>
      <c r="E31" s="452"/>
      <c r="F31" s="457"/>
    </row>
    <row r="32" spans="1:17" x14ac:dyDescent="0.25">
      <c r="B32" s="418" t="s">
        <v>792</v>
      </c>
      <c r="C32" s="444" t="s">
        <v>1063</v>
      </c>
      <c r="D32" s="445"/>
      <c r="E32" s="446"/>
      <c r="F32" s="259"/>
    </row>
    <row r="33" spans="2:6" ht="15.75" thickBot="1" x14ac:dyDescent="0.3">
      <c r="B33" s="420"/>
      <c r="C33" s="450"/>
      <c r="D33" s="451"/>
      <c r="E33" s="452"/>
      <c r="F33" s="259"/>
    </row>
    <row r="34" spans="2:6" x14ac:dyDescent="0.25">
      <c r="B34" s="418" t="s">
        <v>793</v>
      </c>
      <c r="C34" s="444" t="s">
        <v>794</v>
      </c>
      <c r="D34" s="458"/>
      <c r="E34" s="459"/>
      <c r="F34" s="442" t="s">
        <v>795</v>
      </c>
    </row>
    <row r="35" spans="2:6" ht="27" customHeight="1" thickBot="1" x14ac:dyDescent="0.3">
      <c r="B35" s="420"/>
      <c r="C35" s="460"/>
      <c r="D35" s="461"/>
      <c r="E35" s="462"/>
      <c r="F35" s="443"/>
    </row>
    <row r="36" spans="2:6" x14ac:dyDescent="0.25">
      <c r="B36" s="418" t="s">
        <v>796</v>
      </c>
      <c r="C36" s="444" t="s">
        <v>797</v>
      </c>
      <c r="D36" s="445"/>
      <c r="E36" s="446"/>
      <c r="F36" s="259"/>
    </row>
    <row r="37" spans="2:6" x14ac:dyDescent="0.25">
      <c r="B37" s="419"/>
      <c r="C37" s="447"/>
      <c r="D37" s="448"/>
      <c r="E37" s="449"/>
      <c r="F37" s="259"/>
    </row>
    <row r="38" spans="2:6" x14ac:dyDescent="0.25">
      <c r="B38" s="419"/>
      <c r="C38" s="447"/>
      <c r="D38" s="448"/>
      <c r="E38" s="449"/>
      <c r="F38" s="259"/>
    </row>
    <row r="39" spans="2:6" x14ac:dyDescent="0.25">
      <c r="B39" s="419"/>
      <c r="C39" s="447"/>
      <c r="D39" s="448"/>
      <c r="E39" s="449"/>
      <c r="F39" s="259"/>
    </row>
    <row r="40" spans="2:6" x14ac:dyDescent="0.25">
      <c r="B40" s="419"/>
      <c r="C40" s="447"/>
      <c r="D40" s="448"/>
      <c r="E40" s="449"/>
      <c r="F40" s="259"/>
    </row>
    <row r="41" spans="2:6" x14ac:dyDescent="0.25">
      <c r="B41" s="419"/>
      <c r="C41" s="447"/>
      <c r="D41" s="448"/>
      <c r="E41" s="449"/>
      <c r="F41" s="259"/>
    </row>
    <row r="42" spans="2:6" ht="73.5" customHeight="1" thickBot="1" x14ac:dyDescent="0.3">
      <c r="B42" s="420"/>
      <c r="C42" s="450"/>
      <c r="D42" s="451"/>
      <c r="E42" s="452"/>
      <c r="F42" s="259"/>
    </row>
    <row r="43" spans="2:6" x14ac:dyDescent="0.25">
      <c r="B43" s="418" t="s">
        <v>798</v>
      </c>
      <c r="C43" s="444" t="s">
        <v>799</v>
      </c>
      <c r="D43" s="458"/>
      <c r="E43" s="459"/>
      <c r="F43" s="442" t="s">
        <v>795</v>
      </c>
    </row>
    <row r="44" spans="2:6" ht="15.75" thickBot="1" x14ac:dyDescent="0.3">
      <c r="B44" s="420"/>
      <c r="C44" s="460"/>
      <c r="D44" s="461"/>
      <c r="E44" s="462"/>
      <c r="F44" s="443"/>
    </row>
    <row r="45" spans="2:6" x14ac:dyDescent="0.25">
      <c r="B45" s="418" t="s">
        <v>800</v>
      </c>
      <c r="C45" s="444" t="s">
        <v>801</v>
      </c>
      <c r="D45" s="458"/>
      <c r="E45" s="459"/>
      <c r="F45" s="259"/>
    </row>
    <row r="46" spans="2:6" x14ac:dyDescent="0.25">
      <c r="B46" s="419"/>
      <c r="C46" s="463"/>
      <c r="D46" s="454"/>
      <c r="E46" s="464"/>
      <c r="F46" s="259"/>
    </row>
    <row r="47" spans="2:6" ht="15.75" thickBot="1" x14ac:dyDescent="0.3">
      <c r="B47" s="420"/>
      <c r="C47" s="460"/>
      <c r="D47" s="461"/>
      <c r="E47" s="462"/>
      <c r="F47" s="259"/>
    </row>
    <row r="48" spans="2:6" x14ac:dyDescent="0.25">
      <c r="B48" s="418" t="s">
        <v>802</v>
      </c>
      <c r="C48" s="444" t="s">
        <v>803</v>
      </c>
      <c r="D48" s="458"/>
      <c r="E48" s="459"/>
      <c r="F48" s="259"/>
    </row>
    <row r="49" spans="2:6" x14ac:dyDescent="0.25">
      <c r="B49" s="419"/>
      <c r="C49" s="463"/>
      <c r="D49" s="454"/>
      <c r="E49" s="464"/>
      <c r="F49" s="259"/>
    </row>
    <row r="50" spans="2:6" ht="30" customHeight="1" thickBot="1" x14ac:dyDescent="0.3">
      <c r="B50" s="420"/>
      <c r="C50" s="460"/>
      <c r="D50" s="461"/>
      <c r="E50" s="462"/>
      <c r="F50" s="60"/>
    </row>
  </sheetData>
  <mergeCells count="35">
    <mergeCell ref="B48:B50"/>
    <mergeCell ref="C48:E50"/>
    <mergeCell ref="B43:B44"/>
    <mergeCell ref="C43:E44"/>
    <mergeCell ref="F43:F44"/>
    <mergeCell ref="B45:B47"/>
    <mergeCell ref="C45:E47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 x14ac:dyDescent="0.2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 x14ac:dyDescent="0.25">
      <c r="B2" s="468" t="s">
        <v>377</v>
      </c>
      <c r="C2" s="469"/>
      <c r="D2" s="469"/>
      <c r="E2" s="469"/>
      <c r="F2" s="469"/>
      <c r="G2" s="470"/>
      <c r="P2" s="59" t="s">
        <v>203</v>
      </c>
      <c r="Q2" s="59" t="s">
        <v>204</v>
      </c>
      <c r="R2" s="59" t="s">
        <v>205</v>
      </c>
    </row>
    <row r="3" spans="1:18" x14ac:dyDescent="0.25">
      <c r="B3" s="94" t="s">
        <v>378</v>
      </c>
      <c r="C3" s="57"/>
      <c r="D3" s="57"/>
      <c r="E3" s="57"/>
      <c r="F3" s="57"/>
      <c r="G3" s="95"/>
      <c r="P3" s="52" t="s">
        <v>89</v>
      </c>
      <c r="Q3" s="52">
        <v>2400</v>
      </c>
      <c r="R3" s="52" t="s">
        <v>208</v>
      </c>
    </row>
    <row r="4" spans="1:18" ht="19.5" customHeight="1" x14ac:dyDescent="0.25">
      <c r="A4" t="s">
        <v>379</v>
      </c>
      <c r="B4" s="91" t="s">
        <v>10</v>
      </c>
      <c r="C4" s="58" t="s">
        <v>205</v>
      </c>
      <c r="D4" s="58" t="s">
        <v>380</v>
      </c>
      <c r="E4" s="58" t="s">
        <v>381</v>
      </c>
      <c r="F4" s="58"/>
      <c r="G4" s="92"/>
      <c r="P4" s="52" t="s">
        <v>102</v>
      </c>
      <c r="Q4" s="52">
        <v>7850</v>
      </c>
      <c r="R4" s="52" t="s">
        <v>208</v>
      </c>
    </row>
    <row r="5" spans="1:18" x14ac:dyDescent="0.25">
      <c r="B5" s="7"/>
      <c r="D5">
        <f>Q3*F5</f>
        <v>16800</v>
      </c>
      <c r="E5" t="s">
        <v>116</v>
      </c>
      <c r="F5">
        <v>7</v>
      </c>
      <c r="G5" t="s">
        <v>382</v>
      </c>
      <c r="H5" s="117"/>
      <c r="P5" s="52" t="s">
        <v>212</v>
      </c>
      <c r="Q5" s="52">
        <v>675</v>
      </c>
      <c r="R5" s="52" t="s">
        <v>208</v>
      </c>
    </row>
    <row r="6" spans="1:18" x14ac:dyDescent="0.25">
      <c r="B6" s="65" t="s">
        <v>383</v>
      </c>
      <c r="D6">
        <f>D5/F5</f>
        <v>2400</v>
      </c>
      <c r="E6" t="s">
        <v>73</v>
      </c>
      <c r="G6" s="8"/>
      <c r="P6" s="52" t="s">
        <v>214</v>
      </c>
      <c r="Q6" s="52">
        <v>680</v>
      </c>
      <c r="R6" s="52" t="s">
        <v>208</v>
      </c>
    </row>
    <row r="7" spans="1:18" x14ac:dyDescent="0.25">
      <c r="B7" s="91" t="s">
        <v>384</v>
      </c>
      <c r="C7" s="58"/>
      <c r="D7" s="58"/>
      <c r="E7" s="58"/>
      <c r="F7" s="58"/>
      <c r="G7" s="92"/>
      <c r="P7" s="52" t="s">
        <v>216</v>
      </c>
      <c r="Q7" s="52">
        <v>470</v>
      </c>
      <c r="R7" s="52" t="s">
        <v>208</v>
      </c>
    </row>
    <row r="8" spans="1:18" x14ac:dyDescent="0.25">
      <c r="B8" s="7">
        <v>22.45</v>
      </c>
      <c r="C8" t="s">
        <v>385</v>
      </c>
      <c r="G8" s="8"/>
      <c r="P8" s="90" t="s">
        <v>149</v>
      </c>
      <c r="Q8" s="90"/>
      <c r="R8" s="90"/>
    </row>
    <row r="9" spans="1:18" ht="18" x14ac:dyDescent="0.35">
      <c r="B9" s="91" t="s">
        <v>386</v>
      </c>
      <c r="C9" s="58"/>
      <c r="D9" s="58"/>
      <c r="E9" s="58"/>
      <c r="F9" s="58"/>
      <c r="G9" s="92"/>
      <c r="P9" s="52" t="s">
        <v>219</v>
      </c>
      <c r="Q9" s="52">
        <v>15.8</v>
      </c>
      <c r="R9" s="52" t="s">
        <v>208</v>
      </c>
    </row>
    <row r="10" spans="1:18" ht="18" x14ac:dyDescent="0.35">
      <c r="B10" s="93">
        <f>B8/C35</f>
        <v>594.92499999999643</v>
      </c>
      <c r="C10" t="s">
        <v>387</v>
      </c>
      <c r="E10" s="21">
        <f>B10/10^3</f>
        <v>0.59492499999999648</v>
      </c>
      <c r="F10" t="s">
        <v>388</v>
      </c>
      <c r="G10" s="8"/>
      <c r="P10" s="52" t="s">
        <v>220</v>
      </c>
      <c r="Q10" s="52">
        <v>30</v>
      </c>
      <c r="R10" s="52" t="s">
        <v>208</v>
      </c>
    </row>
    <row r="11" spans="1:18" x14ac:dyDescent="0.25">
      <c r="B11" s="91" t="s">
        <v>389</v>
      </c>
      <c r="C11" s="58"/>
      <c r="D11" s="58"/>
      <c r="E11" s="58"/>
      <c r="F11" s="58"/>
      <c r="G11" s="92"/>
      <c r="P11" s="52" t="s">
        <v>222</v>
      </c>
      <c r="Q11" s="52">
        <v>24</v>
      </c>
      <c r="R11" s="52" t="s">
        <v>208</v>
      </c>
    </row>
    <row r="12" spans="1:18" x14ac:dyDescent="0.25">
      <c r="B12" s="9">
        <f>B10/D5</f>
        <v>3.5412202380952169E-2</v>
      </c>
      <c r="C12" s="10" t="s">
        <v>390</v>
      </c>
      <c r="D12" s="10"/>
      <c r="E12" s="10"/>
      <c r="F12" s="10"/>
      <c r="G12" s="11"/>
      <c r="P12" s="52" t="s">
        <v>224</v>
      </c>
      <c r="Q12" s="52">
        <v>125</v>
      </c>
      <c r="R12" s="52" t="s">
        <v>208</v>
      </c>
    </row>
    <row r="13" spans="1:18" x14ac:dyDescent="0.25">
      <c r="B13" s="471" t="s">
        <v>391</v>
      </c>
      <c r="C13" s="472"/>
      <c r="D13" s="472"/>
      <c r="E13" s="472"/>
      <c r="F13" s="472"/>
      <c r="G13" s="473"/>
      <c r="P13" s="52" t="s">
        <v>226</v>
      </c>
      <c r="Q13" s="52">
        <v>70</v>
      </c>
      <c r="R13" s="52" t="s">
        <v>208</v>
      </c>
    </row>
    <row r="14" spans="1:18" x14ac:dyDescent="0.25">
      <c r="B14" s="91" t="s">
        <v>10</v>
      </c>
      <c r="C14" s="58" t="s">
        <v>205</v>
      </c>
      <c r="D14" s="58" t="s">
        <v>380</v>
      </c>
      <c r="E14" s="58" t="s">
        <v>381</v>
      </c>
      <c r="F14" s="58" t="s">
        <v>392</v>
      </c>
      <c r="G14" s="92"/>
      <c r="H14" s="58" t="s">
        <v>393</v>
      </c>
      <c r="I14" s="58" t="s">
        <v>394</v>
      </c>
      <c r="P14" s="59" t="s">
        <v>203</v>
      </c>
      <c r="Q14" s="59" t="s">
        <v>204</v>
      </c>
      <c r="R14" s="59" t="s">
        <v>205</v>
      </c>
    </row>
    <row r="15" spans="1:18" x14ac:dyDescent="0.25">
      <c r="B15" s="65" t="s">
        <v>395</v>
      </c>
      <c r="D15">
        <v>28000</v>
      </c>
      <c r="E15" t="s">
        <v>116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227</v>
      </c>
      <c r="Q15" s="52">
        <v>500</v>
      </c>
      <c r="R15" s="52" t="s">
        <v>208</v>
      </c>
    </row>
    <row r="16" spans="1:18" x14ac:dyDescent="0.25">
      <c r="B16" s="65" t="s">
        <v>383</v>
      </c>
      <c r="D16" s="21">
        <f>D15/F15</f>
        <v>1819.9545011374714</v>
      </c>
      <c r="E16" t="s">
        <v>73</v>
      </c>
      <c r="G16" s="8"/>
      <c r="P16" s="52" t="s">
        <v>228</v>
      </c>
      <c r="Q16" s="52">
        <v>2500</v>
      </c>
      <c r="R16" s="52" t="s">
        <v>208</v>
      </c>
    </row>
    <row r="17" spans="2:18" x14ac:dyDescent="0.25">
      <c r="B17" s="91" t="s">
        <v>384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208</v>
      </c>
    </row>
    <row r="18" spans="2:18" x14ac:dyDescent="0.25">
      <c r="B18" s="7">
        <v>35</v>
      </c>
      <c r="C18" t="s">
        <v>385</v>
      </c>
      <c r="G18" s="8"/>
      <c r="P18" s="52" t="s">
        <v>229</v>
      </c>
      <c r="Q18" s="52">
        <v>650</v>
      </c>
      <c r="R18" s="52" t="s">
        <v>208</v>
      </c>
    </row>
    <row r="19" spans="2:18" ht="18" x14ac:dyDescent="0.35">
      <c r="B19" s="91" t="s">
        <v>386</v>
      </c>
      <c r="C19" s="58"/>
      <c r="D19" s="58"/>
      <c r="E19" s="58"/>
      <c r="F19" s="58"/>
      <c r="G19" s="92"/>
      <c r="P19" s="52" t="s">
        <v>230</v>
      </c>
      <c r="Q19" s="52">
        <v>470</v>
      </c>
      <c r="R19" s="52" t="s">
        <v>208</v>
      </c>
    </row>
    <row r="20" spans="2:18" ht="18" x14ac:dyDescent="0.35">
      <c r="B20" s="93">
        <f>B18/C35</f>
        <v>927.49999999999443</v>
      </c>
      <c r="C20" t="s">
        <v>387</v>
      </c>
      <c r="E20" s="21">
        <f>B20/10^3</f>
        <v>0.92749999999999444</v>
      </c>
      <c r="F20" t="s">
        <v>388</v>
      </c>
      <c r="G20" s="8"/>
    </row>
    <row r="21" spans="2:18" x14ac:dyDescent="0.25">
      <c r="B21" s="91" t="s">
        <v>389</v>
      </c>
      <c r="C21" s="58"/>
      <c r="D21" s="58"/>
      <c r="E21" s="58"/>
      <c r="F21" s="58"/>
      <c r="G21" s="92"/>
    </row>
    <row r="22" spans="2:18" x14ac:dyDescent="0.25">
      <c r="B22" s="9">
        <f>B20/D15</f>
        <v>3.31249999999998E-2</v>
      </c>
      <c r="C22" s="10" t="s">
        <v>390</v>
      </c>
      <c r="D22" s="10"/>
      <c r="E22" s="10"/>
      <c r="F22" s="10"/>
      <c r="G22" s="11"/>
    </row>
    <row r="23" spans="2:18" x14ac:dyDescent="0.25">
      <c r="B23" s="471" t="s">
        <v>396</v>
      </c>
      <c r="C23" s="472"/>
      <c r="D23" s="472"/>
      <c r="E23" s="472"/>
      <c r="F23" s="472"/>
      <c r="G23" s="473"/>
    </row>
    <row r="24" spans="2:18" x14ac:dyDescent="0.25">
      <c r="B24" s="91" t="s">
        <v>10</v>
      </c>
      <c r="C24" s="58" t="s">
        <v>205</v>
      </c>
      <c r="D24" s="58" t="s">
        <v>380</v>
      </c>
      <c r="E24" s="58" t="s">
        <v>381</v>
      </c>
      <c r="F24" s="58" t="s">
        <v>392</v>
      </c>
      <c r="G24" s="92"/>
    </row>
    <row r="25" spans="2:18" x14ac:dyDescent="0.25">
      <c r="B25" s="65" t="s">
        <v>395</v>
      </c>
      <c r="D25">
        <v>10000</v>
      </c>
      <c r="E25" t="s">
        <v>116</v>
      </c>
      <c r="F25">
        <v>90</v>
      </c>
      <c r="G25" s="8" t="s">
        <v>11</v>
      </c>
    </row>
    <row r="26" spans="2:18" x14ac:dyDescent="0.25">
      <c r="B26" s="65" t="s">
        <v>383</v>
      </c>
      <c r="D26">
        <f>D25/F25</f>
        <v>111.11111111111111</v>
      </c>
      <c r="E26" t="s">
        <v>73</v>
      </c>
      <c r="G26" s="8"/>
    </row>
    <row r="27" spans="2:18" x14ac:dyDescent="0.25">
      <c r="B27" s="91" t="s">
        <v>384</v>
      </c>
      <c r="C27" s="58"/>
      <c r="D27" s="58"/>
      <c r="E27" s="58"/>
      <c r="F27" s="58"/>
      <c r="G27" s="92"/>
    </row>
    <row r="28" spans="2:18" x14ac:dyDescent="0.25">
      <c r="B28" s="7">
        <v>35</v>
      </c>
      <c r="C28" t="s">
        <v>385</v>
      </c>
      <c r="G28" s="8"/>
    </row>
    <row r="29" spans="2:18" ht="18" x14ac:dyDescent="0.35">
      <c r="B29" s="91" t="s">
        <v>386</v>
      </c>
      <c r="C29" s="58"/>
      <c r="D29" s="58"/>
      <c r="E29" s="58"/>
      <c r="F29" s="58"/>
      <c r="G29" s="92"/>
    </row>
    <row r="30" spans="2:18" ht="18" x14ac:dyDescent="0.35">
      <c r="B30" s="93">
        <f>B28/C35</f>
        <v>927.49999999999443</v>
      </c>
      <c r="C30" t="s">
        <v>387</v>
      </c>
      <c r="E30" s="21">
        <f>B30/10^3</f>
        <v>0.92749999999999444</v>
      </c>
      <c r="F30" t="s">
        <v>388</v>
      </c>
      <c r="G30" s="8"/>
    </row>
    <row r="31" spans="2:18" x14ac:dyDescent="0.25">
      <c r="B31" s="91" t="s">
        <v>397</v>
      </c>
      <c r="C31" s="58"/>
      <c r="D31" s="58"/>
      <c r="E31" s="58"/>
      <c r="F31" s="58"/>
      <c r="G31" s="92"/>
    </row>
    <row r="32" spans="2:18" x14ac:dyDescent="0.25">
      <c r="B32" s="9">
        <f>B30/D25</f>
        <v>9.2749999999999444E-2</v>
      </c>
      <c r="C32" s="10" t="s">
        <v>390</v>
      </c>
      <c r="D32" s="10"/>
      <c r="E32" s="10"/>
      <c r="F32" s="10"/>
      <c r="G32" s="11"/>
    </row>
    <row r="33" spans="2:4" ht="15.75" thickBot="1" x14ac:dyDescent="0.3"/>
    <row r="34" spans="2:4" x14ac:dyDescent="0.25">
      <c r="B34" s="465" t="s">
        <v>398</v>
      </c>
      <c r="C34" s="466"/>
      <c r="D34" s="467"/>
    </row>
    <row r="35" spans="2:4" ht="15.75" thickBot="1" x14ac:dyDescent="0.3">
      <c r="B35" s="61" t="s">
        <v>399</v>
      </c>
      <c r="C35" s="62">
        <v>3.7735849056604001E-2</v>
      </c>
      <c r="D35" s="60" t="s">
        <v>400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 x14ac:dyDescent="0.2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 x14ac:dyDescent="0.3">
      <c r="H1" s="424" t="s">
        <v>148</v>
      </c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25"/>
      <c r="AB1" s="424" t="s">
        <v>149</v>
      </c>
      <c r="AC1" s="435"/>
      <c r="AD1" s="435"/>
      <c r="AE1" s="435"/>
      <c r="AF1" s="435"/>
      <c r="AG1" s="435"/>
      <c r="AH1" s="435"/>
      <c r="AI1" s="435"/>
      <c r="AJ1" s="435"/>
      <c r="AK1" s="425"/>
    </row>
    <row r="2" spans="3:39" ht="15.75" thickBot="1" x14ac:dyDescent="0.3">
      <c r="D2" t="s">
        <v>150</v>
      </c>
      <c r="E2" t="s">
        <v>151</v>
      </c>
      <c r="F2" t="s">
        <v>152</v>
      </c>
      <c r="H2" s="256" t="s">
        <v>153</v>
      </c>
      <c r="I2" s="257" t="s">
        <v>154</v>
      </c>
      <c r="J2" s="256" t="s">
        <v>155</v>
      </c>
      <c r="K2" s="257" t="s">
        <v>156</v>
      </c>
      <c r="L2" s="256" t="s">
        <v>157</v>
      </c>
      <c r="M2" s="257" t="s">
        <v>158</v>
      </c>
      <c r="N2" s="256" t="s">
        <v>159</v>
      </c>
      <c r="O2" s="257" t="s">
        <v>160</v>
      </c>
      <c r="P2" s="256" t="s">
        <v>161</v>
      </c>
      <c r="Q2" s="257" t="s">
        <v>162</v>
      </c>
      <c r="R2" s="256" t="s">
        <v>163</v>
      </c>
      <c r="S2" s="257" t="s">
        <v>164</v>
      </c>
      <c r="T2" s="256" t="s">
        <v>165</v>
      </c>
      <c r="U2" s="257" t="s">
        <v>166</v>
      </c>
      <c r="V2" s="256" t="s">
        <v>167</v>
      </c>
      <c r="W2" s="257" t="s">
        <v>168</v>
      </c>
      <c r="X2" s="256" t="s">
        <v>169</v>
      </c>
      <c r="Y2" s="257" t="s">
        <v>170</v>
      </c>
      <c r="Z2" s="256" t="s">
        <v>171</v>
      </c>
      <c r="AA2" s="257" t="s">
        <v>172</v>
      </c>
      <c r="AB2" s="256" t="s">
        <v>173</v>
      </c>
      <c r="AC2" s="257" t="s">
        <v>174</v>
      </c>
      <c r="AD2" s="256" t="s">
        <v>175</v>
      </c>
      <c r="AE2" s="257" t="s">
        <v>176</v>
      </c>
      <c r="AF2" s="256" t="s">
        <v>177</v>
      </c>
      <c r="AG2" s="257" t="s">
        <v>178</v>
      </c>
      <c r="AH2" s="256" t="s">
        <v>179</v>
      </c>
      <c r="AI2" s="257" t="s">
        <v>180</v>
      </c>
      <c r="AJ2" s="256" t="s">
        <v>181</v>
      </c>
      <c r="AK2" s="257" t="s">
        <v>182</v>
      </c>
      <c r="AL2" t="s">
        <v>183</v>
      </c>
      <c r="AM2" t="s">
        <v>184</v>
      </c>
    </row>
    <row r="3" spans="3:39" x14ac:dyDescent="0.25">
      <c r="C3" t="s">
        <v>185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 x14ac:dyDescent="0.25">
      <c r="C4" t="s">
        <v>186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 x14ac:dyDescent="0.25">
      <c r="C5" t="s">
        <v>187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 x14ac:dyDescent="0.25">
      <c r="C6" t="s">
        <v>188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 x14ac:dyDescent="0.25">
      <c r="C7" t="s">
        <v>189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 x14ac:dyDescent="0.25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 x14ac:dyDescent="0.25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 x14ac:dyDescent="0.25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 x14ac:dyDescent="0.25">
      <c r="C11" t="s">
        <v>190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 x14ac:dyDescent="0.25">
      <c r="C12" t="s">
        <v>191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 x14ac:dyDescent="0.25">
      <c r="C13" t="s">
        <v>192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 x14ac:dyDescent="0.25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 x14ac:dyDescent="0.25">
      <c r="C15" t="s">
        <v>193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 x14ac:dyDescent="0.25">
      <c r="C16" t="s">
        <v>193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 x14ac:dyDescent="0.25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 x14ac:dyDescent="0.25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 x14ac:dyDescent="0.25">
      <c r="C19" t="s">
        <v>194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 x14ac:dyDescent="0.25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 x14ac:dyDescent="0.25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 x14ac:dyDescent="0.25">
      <c r="C22" t="s">
        <v>195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 x14ac:dyDescent="0.25">
      <c r="C23" t="s">
        <v>195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 x14ac:dyDescent="0.25">
      <c r="C24" t="s">
        <v>195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 x14ac:dyDescent="0.25">
      <c r="C25" t="s">
        <v>195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 x14ac:dyDescent="0.25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 x14ac:dyDescent="0.25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 x14ac:dyDescent="0.3">
      <c r="C28" t="s">
        <v>195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 x14ac:dyDescent="0.25">
      <c r="C31" s="2" t="s">
        <v>196</v>
      </c>
    </row>
    <row r="32" spans="3:39" ht="15.75" thickBot="1" x14ac:dyDescent="0.3">
      <c r="C32" t="s">
        <v>197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 x14ac:dyDescent="0.3">
      <c r="C33" t="s">
        <v>198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 x14ac:dyDescent="0.3">
      <c r="C34" t="s">
        <v>199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 x14ac:dyDescent="0.25">
      <c r="C35" s="2" t="s">
        <v>200</v>
      </c>
    </row>
    <row r="36" spans="3:39" ht="15.75" thickBot="1" x14ac:dyDescent="0.3">
      <c r="C36" t="s">
        <v>195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 x14ac:dyDescent="0.3"/>
    <row r="38" spans="3:39" x14ac:dyDescent="0.25">
      <c r="C38" s="424" t="s">
        <v>201</v>
      </c>
      <c r="D38" s="435"/>
      <c r="E38" s="474" t="s">
        <v>202</v>
      </c>
      <c r="F38" s="435"/>
      <c r="G38" s="435"/>
      <c r="H38" s="435"/>
      <c r="I38" s="425"/>
      <c r="U38" s="59" t="s">
        <v>203</v>
      </c>
      <c r="V38" s="59" t="s">
        <v>204</v>
      </c>
      <c r="W38" s="59" t="s">
        <v>205</v>
      </c>
    </row>
    <row r="39" spans="3:39" x14ac:dyDescent="0.25">
      <c r="C39" s="426" t="s">
        <v>206</v>
      </c>
      <c r="D39" s="421"/>
      <c r="E39" s="475" t="s">
        <v>207</v>
      </c>
      <c r="F39" s="421"/>
      <c r="G39" s="421"/>
      <c r="H39" s="421"/>
      <c r="I39" s="427"/>
      <c r="U39" s="52" t="s">
        <v>89</v>
      </c>
      <c r="V39" s="52">
        <v>2400</v>
      </c>
      <c r="W39" s="52" t="s">
        <v>208</v>
      </c>
    </row>
    <row r="40" spans="3:39" ht="15.75" thickBot="1" x14ac:dyDescent="0.3">
      <c r="C40" s="428" t="s">
        <v>209</v>
      </c>
      <c r="D40" s="432"/>
      <c r="E40" s="431" t="s">
        <v>210</v>
      </c>
      <c r="F40" s="432"/>
      <c r="G40" s="432"/>
      <c r="H40" s="432"/>
      <c r="I40" s="429"/>
      <c r="U40" s="52" t="s">
        <v>102</v>
      </c>
      <c r="V40" s="52">
        <v>7850</v>
      </c>
      <c r="W40" s="52" t="s">
        <v>208</v>
      </c>
    </row>
    <row r="41" spans="3:39" x14ac:dyDescent="0.25">
      <c r="E41" s="482" t="s">
        <v>211</v>
      </c>
      <c r="F41" s="483"/>
      <c r="G41" s="483"/>
      <c r="H41" s="483"/>
      <c r="I41" s="484"/>
      <c r="U41" s="52" t="s">
        <v>212</v>
      </c>
      <c r="V41" s="52">
        <v>675</v>
      </c>
      <c r="W41" s="52" t="s">
        <v>208</v>
      </c>
    </row>
    <row r="42" spans="3:39" x14ac:dyDescent="0.25">
      <c r="E42" s="476" t="s">
        <v>213</v>
      </c>
      <c r="F42" s="485"/>
      <c r="G42" s="485"/>
      <c r="H42" s="485"/>
      <c r="I42" s="486"/>
      <c r="U42" s="52" t="s">
        <v>214</v>
      </c>
      <c r="V42" s="52">
        <v>680</v>
      </c>
      <c r="W42" s="52" t="s">
        <v>208</v>
      </c>
    </row>
    <row r="43" spans="3:39" x14ac:dyDescent="0.25">
      <c r="E43" s="476" t="s">
        <v>215</v>
      </c>
      <c r="F43" s="477"/>
      <c r="G43" s="477"/>
      <c r="H43" s="477"/>
      <c r="I43" s="478"/>
      <c r="U43" s="52" t="s">
        <v>216</v>
      </c>
      <c r="V43" s="52">
        <v>470</v>
      </c>
      <c r="W43" s="52" t="s">
        <v>208</v>
      </c>
    </row>
    <row r="44" spans="3:39" x14ac:dyDescent="0.25">
      <c r="E44" s="476" t="s">
        <v>217</v>
      </c>
      <c r="F44" s="477"/>
      <c r="G44" s="477"/>
      <c r="H44" s="477"/>
      <c r="I44" s="478"/>
      <c r="U44" s="90" t="s">
        <v>149</v>
      </c>
      <c r="V44" s="90"/>
      <c r="W44" s="90"/>
    </row>
    <row r="45" spans="3:39" ht="15.75" thickBot="1" x14ac:dyDescent="0.3">
      <c r="E45" s="479" t="s">
        <v>218</v>
      </c>
      <c r="F45" s="480"/>
      <c r="G45" s="480"/>
      <c r="H45" s="480"/>
      <c r="I45" s="481"/>
      <c r="U45" s="52" t="s">
        <v>219</v>
      </c>
      <c r="V45" s="52">
        <v>15.8</v>
      </c>
      <c r="W45" s="52" t="s">
        <v>208</v>
      </c>
    </row>
    <row r="46" spans="3:39" x14ac:dyDescent="0.25">
      <c r="E46" s="1"/>
      <c r="F46" s="1"/>
      <c r="G46" s="1"/>
      <c r="H46" s="1"/>
      <c r="I46" s="1"/>
      <c r="U46" s="52" t="s">
        <v>220</v>
      </c>
      <c r="V46" s="52">
        <v>30</v>
      </c>
      <c r="W46" s="52" t="s">
        <v>208</v>
      </c>
    </row>
    <row r="47" spans="3:39" x14ac:dyDescent="0.25">
      <c r="E47" s="1" t="s">
        <v>221</v>
      </c>
      <c r="F47" s="1"/>
      <c r="G47" s="1"/>
      <c r="H47" s="1"/>
      <c r="I47" s="1"/>
      <c r="U47" s="52" t="s">
        <v>222</v>
      </c>
      <c r="V47" s="52">
        <v>24</v>
      </c>
      <c r="W47" s="52" t="s">
        <v>208</v>
      </c>
    </row>
    <row r="48" spans="3:39" x14ac:dyDescent="0.25">
      <c r="E48" s="260" t="s">
        <v>223</v>
      </c>
      <c r="F48" s="1"/>
      <c r="G48" s="1"/>
      <c r="H48" s="1"/>
      <c r="I48" s="1"/>
      <c r="U48" s="52" t="s">
        <v>224</v>
      </c>
      <c r="V48" s="52">
        <v>125</v>
      </c>
      <c r="W48" s="52" t="s">
        <v>208</v>
      </c>
    </row>
    <row r="49" spans="4:26" x14ac:dyDescent="0.25">
      <c r="D49" s="487" t="s">
        <v>225</v>
      </c>
      <c r="E49" s="421"/>
      <c r="F49" s="421"/>
      <c r="G49" s="421"/>
      <c r="H49" s="421"/>
      <c r="I49" s="421"/>
      <c r="U49" s="52" t="s">
        <v>226</v>
      </c>
      <c r="V49" s="52">
        <v>70</v>
      </c>
      <c r="W49" s="52" t="s">
        <v>208</v>
      </c>
    </row>
    <row r="50" spans="4:26" x14ac:dyDescent="0.25">
      <c r="E50" s="421"/>
      <c r="F50" s="421"/>
      <c r="G50" s="421"/>
      <c r="H50" s="421"/>
      <c r="I50" s="421"/>
      <c r="U50" s="59" t="s">
        <v>203</v>
      </c>
      <c r="V50" s="59" t="s">
        <v>204</v>
      </c>
      <c r="W50" s="59" t="s">
        <v>205</v>
      </c>
    </row>
    <row r="51" spans="4:26" x14ac:dyDescent="0.25">
      <c r="U51" s="52" t="s">
        <v>227</v>
      </c>
      <c r="V51" s="52">
        <v>500</v>
      </c>
      <c r="W51" s="52" t="s">
        <v>208</v>
      </c>
    </row>
    <row r="52" spans="4:26" x14ac:dyDescent="0.25">
      <c r="U52" s="52" t="s">
        <v>228</v>
      </c>
      <c r="V52" s="52">
        <v>2500</v>
      </c>
      <c r="W52" s="52" t="s">
        <v>208</v>
      </c>
    </row>
    <row r="53" spans="4:26" x14ac:dyDescent="0.25">
      <c r="U53" s="52" t="s">
        <v>7</v>
      </c>
      <c r="V53" s="52">
        <v>1900</v>
      </c>
      <c r="W53" s="52" t="s">
        <v>208</v>
      </c>
    </row>
    <row r="54" spans="4:26" x14ac:dyDescent="0.25">
      <c r="U54" s="52" t="s">
        <v>229</v>
      </c>
      <c r="V54" s="52">
        <v>650</v>
      </c>
      <c r="W54" s="52" t="s">
        <v>208</v>
      </c>
    </row>
    <row r="55" spans="4:26" x14ac:dyDescent="0.25">
      <c r="U55" s="261" t="s">
        <v>230</v>
      </c>
      <c r="V55" s="261">
        <v>470</v>
      </c>
      <c r="W55" s="52" t="s">
        <v>208</v>
      </c>
    </row>
    <row r="56" spans="4:26" x14ac:dyDescent="0.25">
      <c r="U56" s="52" t="s">
        <v>231</v>
      </c>
      <c r="V56" s="52">
        <v>1100</v>
      </c>
      <c r="W56" s="52" t="s">
        <v>208</v>
      </c>
      <c r="X56" s="489" t="s">
        <v>232</v>
      </c>
      <c r="Y56" s="421"/>
      <c r="Z56" s="421"/>
    </row>
    <row r="58" spans="4:26" x14ac:dyDescent="0.25">
      <c r="U58" t="s">
        <v>233</v>
      </c>
    </row>
    <row r="66" spans="6:10" ht="15.75" thickBot="1" x14ac:dyDescent="0.3"/>
    <row r="67" spans="6:10" ht="15.75" thickBot="1" x14ac:dyDescent="0.3">
      <c r="F67" s="422" t="s">
        <v>658</v>
      </c>
      <c r="G67" s="423"/>
      <c r="H67" s="488" t="s">
        <v>640</v>
      </c>
      <c r="I67" s="421"/>
      <c r="J67" s="421"/>
    </row>
    <row r="68" spans="6:10" ht="15.75" thickBot="1" x14ac:dyDescent="0.3"/>
    <row r="69" spans="6:10" ht="15.75" thickBot="1" x14ac:dyDescent="0.3">
      <c r="F69" s="256" t="s">
        <v>659</v>
      </c>
      <c r="G69" s="422" t="s">
        <v>660</v>
      </c>
      <c r="H69" s="430"/>
      <c r="I69" s="430"/>
      <c r="J69" s="423"/>
    </row>
    <row r="70" spans="6:10" ht="15.75" thickBot="1" x14ac:dyDescent="0.3">
      <c r="F70" t="s">
        <v>661</v>
      </c>
      <c r="G70" s="271" t="s">
        <v>662</v>
      </c>
      <c r="H70" s="271" t="s">
        <v>663</v>
      </c>
      <c r="I70" s="271" t="s">
        <v>664</v>
      </c>
      <c r="J70" s="271" t="s">
        <v>665</v>
      </c>
    </row>
    <row r="71" spans="6:10" x14ac:dyDescent="0.25">
      <c r="F71" t="s">
        <v>666</v>
      </c>
      <c r="G71" t="s">
        <v>667</v>
      </c>
      <c r="H71" t="s">
        <v>668</v>
      </c>
      <c r="I71" t="s">
        <v>669</v>
      </c>
      <c r="J71" t="s">
        <v>670</v>
      </c>
    </row>
    <row r="72" spans="6:10" x14ac:dyDescent="0.25">
      <c r="F72" t="s">
        <v>671</v>
      </c>
      <c r="G72" t="s">
        <v>335</v>
      </c>
      <c r="H72" t="s">
        <v>672</v>
      </c>
      <c r="I72" t="s">
        <v>673</v>
      </c>
      <c r="J72" t="s">
        <v>674</v>
      </c>
    </row>
    <row r="73" spans="6:10" x14ac:dyDescent="0.25">
      <c r="F73" t="s">
        <v>675</v>
      </c>
      <c r="G73" t="s">
        <v>297</v>
      </c>
      <c r="H73" t="s">
        <v>676</v>
      </c>
      <c r="I73" t="s">
        <v>677</v>
      </c>
    </row>
    <row r="74" spans="6:10" x14ac:dyDescent="0.25">
      <c r="F74" t="s">
        <v>678</v>
      </c>
      <c r="G74" t="s">
        <v>679</v>
      </c>
      <c r="H74" t="s">
        <v>680</v>
      </c>
      <c r="I74" t="s">
        <v>681</v>
      </c>
    </row>
    <row r="75" spans="6:10" x14ac:dyDescent="0.25">
      <c r="F75" t="s">
        <v>682</v>
      </c>
      <c r="G75" t="s">
        <v>683</v>
      </c>
      <c r="H75" t="s">
        <v>684</v>
      </c>
      <c r="I75" t="s">
        <v>685</v>
      </c>
    </row>
    <row r="76" spans="6:10" x14ac:dyDescent="0.25">
      <c r="F76" t="s">
        <v>686</v>
      </c>
      <c r="G76" t="s">
        <v>687</v>
      </c>
      <c r="H76" t="s">
        <v>688</v>
      </c>
      <c r="I76" t="s">
        <v>689</v>
      </c>
    </row>
    <row r="77" spans="6:10" x14ac:dyDescent="0.25">
      <c r="F77" t="s">
        <v>690</v>
      </c>
      <c r="G77" t="s">
        <v>691</v>
      </c>
      <c r="H77" t="s">
        <v>692</v>
      </c>
      <c r="I77" t="s">
        <v>693</v>
      </c>
    </row>
    <row r="78" spans="6:10" x14ac:dyDescent="0.25">
      <c r="F78" t="s">
        <v>694</v>
      </c>
      <c r="G78" t="s">
        <v>228</v>
      </c>
      <c r="H78" t="s">
        <v>695</v>
      </c>
      <c r="I78" t="s">
        <v>696</v>
      </c>
    </row>
    <row r="79" spans="6:10" x14ac:dyDescent="0.25">
      <c r="F79" t="s">
        <v>697</v>
      </c>
      <c r="G79" t="s">
        <v>698</v>
      </c>
      <c r="H79" t="s">
        <v>690</v>
      </c>
    </row>
    <row r="80" spans="6:10" x14ac:dyDescent="0.25">
      <c r="F80" t="s">
        <v>699</v>
      </c>
      <c r="G80" t="s">
        <v>700</v>
      </c>
    </row>
    <row r="81" spans="6:7" x14ac:dyDescent="0.25">
      <c r="F81" t="s">
        <v>701</v>
      </c>
      <c r="G81" t="s">
        <v>702</v>
      </c>
    </row>
    <row r="82" spans="6:7" x14ac:dyDescent="0.25">
      <c r="F82" t="s">
        <v>703</v>
      </c>
      <c r="G82" t="s">
        <v>704</v>
      </c>
    </row>
    <row r="83" spans="6:7" x14ac:dyDescent="0.25">
      <c r="G83" t="s">
        <v>705</v>
      </c>
    </row>
    <row r="84" spans="6:7" x14ac:dyDescent="0.25">
      <c r="G84" t="s">
        <v>706</v>
      </c>
    </row>
    <row r="85" spans="6:7" x14ac:dyDescent="0.25">
      <c r="G85" t="s">
        <v>707</v>
      </c>
    </row>
    <row r="86" spans="6:7" x14ac:dyDescent="0.25">
      <c r="G86" t="s">
        <v>708</v>
      </c>
    </row>
    <row r="87" spans="6:7" x14ac:dyDescent="0.25">
      <c r="G87" t="s">
        <v>709</v>
      </c>
    </row>
    <row r="88" spans="6:7" x14ac:dyDescent="0.25">
      <c r="G88" t="s">
        <v>710</v>
      </c>
    </row>
    <row r="89" spans="6:7" x14ac:dyDescent="0.25">
      <c r="G89" t="s">
        <v>711</v>
      </c>
    </row>
    <row r="90" spans="6:7" x14ac:dyDescent="0.25">
      <c r="G90" t="s">
        <v>712</v>
      </c>
    </row>
    <row r="91" spans="6:7" x14ac:dyDescent="0.25">
      <c r="G91" t="s">
        <v>713</v>
      </c>
    </row>
    <row r="92" spans="6:7" x14ac:dyDescent="0.25">
      <c r="G92" t="s">
        <v>714</v>
      </c>
    </row>
    <row r="93" spans="6:7" x14ac:dyDescent="0.25">
      <c r="G93" t="s">
        <v>303</v>
      </c>
    </row>
  </sheetData>
  <mergeCells count="19">
    <mergeCell ref="F67:G67"/>
    <mergeCell ref="G69:J69"/>
    <mergeCell ref="H67:J67"/>
    <mergeCell ref="X56:Z56"/>
    <mergeCell ref="AB1:AK1"/>
    <mergeCell ref="H1:AA1"/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 x14ac:dyDescent="0.25"/>
  <sheetData>
    <row r="1" spans="1:25" ht="24" thickBot="1" x14ac:dyDescent="0.4">
      <c r="A1" s="139" t="s">
        <v>293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 x14ac:dyDescent="0.35">
      <c r="A2" s="208" t="s">
        <v>294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2" t="s">
        <v>295</v>
      </c>
      <c r="M2" s="493"/>
      <c r="N2" s="140"/>
      <c r="O2" s="494" t="s">
        <v>296</v>
      </c>
      <c r="P2" s="495"/>
      <c r="Q2" s="495"/>
      <c r="R2" s="495"/>
      <c r="S2" s="495"/>
      <c r="T2" s="495"/>
      <c r="U2" s="495"/>
      <c r="V2" s="495"/>
      <c r="W2" s="495"/>
      <c r="X2" s="141"/>
      <c r="Y2" s="140"/>
    </row>
    <row r="3" spans="1:25" ht="15.75" thickBot="1" x14ac:dyDescent="0.3">
      <c r="A3" s="496" t="s">
        <v>297</v>
      </c>
      <c r="B3" s="497"/>
      <c r="C3" s="497"/>
      <c r="D3" s="497"/>
      <c r="E3" s="497"/>
      <c r="F3" s="497"/>
      <c r="G3" s="497"/>
      <c r="H3" s="497"/>
      <c r="I3" s="497"/>
      <c r="J3" s="140"/>
      <c r="K3" s="140"/>
      <c r="L3" s="142" t="s">
        <v>29</v>
      </c>
      <c r="M3" s="143" t="s">
        <v>130</v>
      </c>
      <c r="N3" s="140"/>
      <c r="O3" s="490" t="s">
        <v>212</v>
      </c>
      <c r="P3" s="491"/>
      <c r="Q3" s="491"/>
      <c r="R3" s="491"/>
      <c r="S3" s="491"/>
      <c r="T3" s="491"/>
      <c r="U3" s="491"/>
      <c r="V3" s="491"/>
      <c r="W3" s="491"/>
      <c r="X3" s="140"/>
      <c r="Y3" s="140"/>
    </row>
    <row r="4" spans="1:25" x14ac:dyDescent="0.25">
      <c r="A4" s="144" t="s">
        <v>298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89</v>
      </c>
      <c r="M4" s="145">
        <v>52</v>
      </c>
      <c r="N4" s="140"/>
      <c r="O4" s="144" t="s">
        <v>299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 x14ac:dyDescent="0.25">
      <c r="A5" s="146" t="s">
        <v>300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102</v>
      </c>
      <c r="M5" s="145">
        <v>206</v>
      </c>
      <c r="N5" s="140"/>
      <c r="O5" s="144"/>
      <c r="P5" s="140"/>
      <c r="Q5" s="140" t="s">
        <v>301</v>
      </c>
      <c r="R5" s="140"/>
      <c r="S5" s="140"/>
      <c r="T5" s="140"/>
      <c r="U5" s="140"/>
      <c r="V5" s="140"/>
      <c r="W5" s="145"/>
      <c r="X5" s="140"/>
      <c r="Y5" s="140"/>
    </row>
    <row r="6" spans="1:25" x14ac:dyDescent="0.25">
      <c r="A6" s="144" t="s">
        <v>302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303</v>
      </c>
      <c r="M6" s="145">
        <v>34</v>
      </c>
      <c r="N6" s="140"/>
      <c r="O6" s="498" t="s">
        <v>304</v>
      </c>
      <c r="P6" s="499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 x14ac:dyDescent="0.25">
      <c r="A7" s="146" t="s">
        <v>305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214</v>
      </c>
      <c r="M7" s="145">
        <v>310</v>
      </c>
      <c r="N7" s="140"/>
      <c r="O7" s="144" t="s">
        <v>306</v>
      </c>
      <c r="P7" s="140"/>
      <c r="Q7" s="140"/>
      <c r="R7" s="140" t="s">
        <v>307</v>
      </c>
      <c r="S7" s="140"/>
      <c r="T7" s="140"/>
      <c r="U7" s="140"/>
      <c r="V7" s="140"/>
      <c r="W7" s="145"/>
      <c r="X7" s="140"/>
      <c r="Y7" s="140"/>
    </row>
    <row r="8" spans="1:25" x14ac:dyDescent="0.25">
      <c r="A8" s="144" t="s">
        <v>308</v>
      </c>
      <c r="B8" s="140"/>
      <c r="C8" s="140"/>
      <c r="D8" s="140"/>
      <c r="E8" s="140"/>
      <c r="F8" s="140"/>
      <c r="G8" s="140"/>
      <c r="H8" s="140">
        <v>60</v>
      </c>
      <c r="I8" s="145" t="s">
        <v>309</v>
      </c>
      <c r="J8" s="140"/>
      <c r="K8" s="140"/>
      <c r="L8" s="144" t="s">
        <v>216</v>
      </c>
      <c r="M8" s="145">
        <v>207</v>
      </c>
      <c r="N8" s="140"/>
      <c r="O8" s="144" t="s">
        <v>310</v>
      </c>
      <c r="P8" s="140"/>
      <c r="Q8" s="140">
        <v>22.8</v>
      </c>
      <c r="R8" s="147">
        <v>26</v>
      </c>
      <c r="S8" s="140"/>
      <c r="T8" s="148" t="s">
        <v>311</v>
      </c>
      <c r="U8" s="140"/>
      <c r="V8" s="140"/>
      <c r="W8" s="145"/>
      <c r="X8" s="140"/>
      <c r="Y8" s="140"/>
    </row>
    <row r="9" spans="1:25" x14ac:dyDescent="0.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312</v>
      </c>
      <c r="J9" s="140"/>
      <c r="K9" s="140"/>
      <c r="L9" s="144" t="s">
        <v>313</v>
      </c>
      <c r="M9" s="145">
        <v>143</v>
      </c>
      <c r="N9" s="140"/>
      <c r="O9" s="144" t="s">
        <v>314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 x14ac:dyDescent="0.3">
      <c r="A10" s="144" t="s">
        <v>315</v>
      </c>
      <c r="B10" s="140">
        <v>5400</v>
      </c>
      <c r="C10" s="140" t="s">
        <v>316</v>
      </c>
      <c r="D10" s="140"/>
      <c r="E10" s="140"/>
      <c r="F10" s="140"/>
      <c r="G10" s="140"/>
      <c r="H10" s="140"/>
      <c r="I10" s="145"/>
      <c r="J10" s="140"/>
      <c r="K10" s="140"/>
      <c r="L10" s="144" t="s">
        <v>317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 x14ac:dyDescent="0.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318</v>
      </c>
      <c r="M11" s="145">
        <v>315</v>
      </c>
      <c r="N11" s="140"/>
      <c r="O11" s="490" t="s">
        <v>297</v>
      </c>
      <c r="P11" s="491"/>
      <c r="Q11" s="491"/>
      <c r="R11" s="491"/>
      <c r="S11" s="491"/>
      <c r="T11" s="491"/>
      <c r="U11" s="491"/>
      <c r="V11" s="491"/>
      <c r="W11" s="491"/>
      <c r="X11" s="140"/>
      <c r="Y11" s="140"/>
    </row>
    <row r="12" spans="1:25" ht="15.75" thickBot="1" x14ac:dyDescent="0.3">
      <c r="A12" s="212" t="s">
        <v>319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228</v>
      </c>
      <c r="M12" s="145">
        <v>184</v>
      </c>
      <c r="N12" s="140"/>
      <c r="O12" s="144" t="s">
        <v>320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 x14ac:dyDescent="0.25">
      <c r="A13" s="496" t="s">
        <v>321</v>
      </c>
      <c r="B13" s="497"/>
      <c r="C13" s="497"/>
      <c r="D13" s="497"/>
      <c r="E13" s="497"/>
      <c r="F13" s="497"/>
      <c r="G13" s="497"/>
      <c r="H13" s="497"/>
      <c r="I13" s="497"/>
      <c r="J13" s="140"/>
      <c r="K13" s="140"/>
      <c r="L13" s="144" t="s">
        <v>322</v>
      </c>
      <c r="M13" s="145">
        <v>207</v>
      </c>
      <c r="N13" s="140"/>
      <c r="O13" s="144" t="s">
        <v>306</v>
      </c>
      <c r="P13" s="140"/>
      <c r="Q13" s="140"/>
      <c r="R13" s="140" t="s">
        <v>307</v>
      </c>
      <c r="S13" s="140"/>
      <c r="T13" s="140"/>
      <c r="U13" s="140"/>
      <c r="V13" s="140"/>
      <c r="W13" s="145"/>
      <c r="X13" s="140"/>
      <c r="Y13" s="140"/>
    </row>
    <row r="14" spans="1:25" x14ac:dyDescent="0.25">
      <c r="A14" s="146" t="s">
        <v>323</v>
      </c>
      <c r="B14" s="148"/>
      <c r="C14" s="148"/>
      <c r="D14" s="140"/>
      <c r="E14" s="140" t="s">
        <v>324</v>
      </c>
      <c r="F14" s="140"/>
      <c r="G14" s="140"/>
      <c r="H14" s="140"/>
      <c r="I14" s="145"/>
      <c r="J14" s="140"/>
      <c r="K14" s="140"/>
      <c r="L14" s="144" t="s">
        <v>325</v>
      </c>
      <c r="M14" s="145">
        <v>522</v>
      </c>
      <c r="N14" s="140"/>
      <c r="O14" s="144" t="s">
        <v>310</v>
      </c>
      <c r="P14" s="140"/>
      <c r="Q14" s="140">
        <v>22.8</v>
      </c>
      <c r="R14" s="147">
        <v>26</v>
      </c>
      <c r="S14" s="140"/>
      <c r="T14" s="148" t="s">
        <v>311</v>
      </c>
      <c r="U14" s="140"/>
      <c r="V14" s="140"/>
      <c r="W14" s="145"/>
      <c r="X14" s="140"/>
      <c r="Y14" s="140"/>
    </row>
    <row r="15" spans="1:25" x14ac:dyDescent="0.25">
      <c r="A15" s="144">
        <v>200</v>
      </c>
      <c r="B15" s="140" t="s">
        <v>326</v>
      </c>
      <c r="C15" s="140"/>
      <c r="D15" s="140"/>
      <c r="E15" s="140">
        <v>35</v>
      </c>
      <c r="F15" s="140" t="s">
        <v>327</v>
      </c>
      <c r="G15" s="140"/>
      <c r="H15" s="140">
        <v>0.35</v>
      </c>
      <c r="I15" s="145" t="s">
        <v>328</v>
      </c>
      <c r="J15" s="140"/>
      <c r="K15" s="140"/>
      <c r="L15" s="144" t="s">
        <v>329</v>
      </c>
      <c r="M15" s="145">
        <v>261</v>
      </c>
      <c r="N15" s="140"/>
      <c r="O15" s="144" t="s">
        <v>314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 x14ac:dyDescent="0.3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330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 x14ac:dyDescent="0.25">
      <c r="A17" s="144" t="s">
        <v>331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332</v>
      </c>
      <c r="M17" s="145">
        <v>123</v>
      </c>
      <c r="N17" s="140"/>
      <c r="O17" s="490" t="s">
        <v>102</v>
      </c>
      <c r="P17" s="491"/>
      <c r="Q17" s="491"/>
      <c r="R17" s="491"/>
      <c r="S17" s="491"/>
      <c r="T17" s="491"/>
      <c r="U17" s="491"/>
      <c r="V17" s="491"/>
      <c r="W17" s="491"/>
      <c r="X17" s="140"/>
      <c r="Y17" s="140"/>
    </row>
    <row r="18" spans="1:25" x14ac:dyDescent="0.25">
      <c r="A18" s="214" t="s">
        <v>333</v>
      </c>
      <c r="B18" s="215">
        <v>571</v>
      </c>
      <c r="C18" s="215" t="s">
        <v>16</v>
      </c>
      <c r="D18" s="140" t="s">
        <v>334</v>
      </c>
      <c r="E18" s="140"/>
      <c r="F18" s="140"/>
      <c r="G18" s="140"/>
      <c r="H18" s="140"/>
      <c r="I18" s="145"/>
      <c r="J18" s="140"/>
      <c r="K18" s="140"/>
      <c r="L18" s="152" t="s">
        <v>335</v>
      </c>
      <c r="M18" s="153">
        <v>123</v>
      </c>
      <c r="N18" s="140"/>
      <c r="O18" s="144" t="s">
        <v>336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 x14ac:dyDescent="0.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301</v>
      </c>
      <c r="R19" s="140"/>
      <c r="S19" s="140"/>
      <c r="T19" s="140"/>
      <c r="U19" s="140"/>
      <c r="V19" s="140"/>
      <c r="W19" s="145"/>
      <c r="X19" s="140"/>
      <c r="Y19" s="140"/>
    </row>
    <row r="20" spans="1:25" x14ac:dyDescent="0.25">
      <c r="A20" s="146" t="s">
        <v>337</v>
      </c>
      <c r="B20" s="148"/>
      <c r="C20" s="148"/>
      <c r="D20" s="140"/>
      <c r="E20" s="140" t="s">
        <v>324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8" t="s">
        <v>338</v>
      </c>
      <c r="P20" s="499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 x14ac:dyDescent="0.25">
      <c r="A21" s="144">
        <v>1500</v>
      </c>
      <c r="B21" s="140" t="s">
        <v>326</v>
      </c>
      <c r="C21" s="140"/>
      <c r="D21" s="140"/>
      <c r="E21" s="140">
        <v>35</v>
      </c>
      <c r="F21" s="140" t="s">
        <v>327</v>
      </c>
      <c r="G21" s="140"/>
      <c r="H21" s="140">
        <v>0.35</v>
      </c>
      <c r="I21" s="145" t="s">
        <v>328</v>
      </c>
      <c r="J21" s="140"/>
      <c r="K21" s="140"/>
      <c r="L21" s="140"/>
      <c r="M21" s="140"/>
      <c r="N21" s="140"/>
      <c r="O21" s="144" t="s">
        <v>306</v>
      </c>
      <c r="P21" s="140"/>
      <c r="Q21" s="140"/>
      <c r="R21" s="140" t="s">
        <v>339</v>
      </c>
      <c r="S21" s="140"/>
      <c r="T21" s="140"/>
      <c r="U21" s="140"/>
      <c r="V21" s="140"/>
      <c r="W21" s="145"/>
      <c r="X21" s="140"/>
      <c r="Y21" s="140"/>
    </row>
    <row r="22" spans="1:25" x14ac:dyDescent="0.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310</v>
      </c>
      <c r="P22" s="140"/>
      <c r="Q22" s="140">
        <v>22.8</v>
      </c>
      <c r="R22" s="147">
        <v>26</v>
      </c>
      <c r="S22" s="140"/>
      <c r="T22" s="148" t="s">
        <v>311</v>
      </c>
      <c r="U22" s="140"/>
      <c r="V22" s="140"/>
      <c r="W22" s="145"/>
      <c r="X22" s="140"/>
      <c r="Y22" s="140"/>
    </row>
    <row r="23" spans="1:25" x14ac:dyDescent="0.25">
      <c r="A23" s="144" t="s">
        <v>340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314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 x14ac:dyDescent="0.3">
      <c r="A24" s="214" t="s">
        <v>333</v>
      </c>
      <c r="B24" s="215">
        <v>4286</v>
      </c>
      <c r="C24" s="215" t="s">
        <v>16</v>
      </c>
      <c r="D24" s="140" t="s">
        <v>341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 x14ac:dyDescent="0.3">
      <c r="A25" s="500" t="s">
        <v>342</v>
      </c>
      <c r="B25" s="501"/>
      <c r="C25" s="501"/>
      <c r="D25" s="501"/>
      <c r="E25" s="501"/>
      <c r="F25" s="501"/>
      <c r="G25" s="501"/>
      <c r="H25" s="501"/>
      <c r="I25" s="501"/>
      <c r="J25" s="140"/>
      <c r="K25" s="140"/>
      <c r="L25" s="140"/>
      <c r="M25" s="140"/>
      <c r="N25" s="140"/>
      <c r="O25" s="490" t="s">
        <v>343</v>
      </c>
      <c r="P25" s="491"/>
      <c r="Q25" s="491"/>
      <c r="R25" s="491"/>
      <c r="S25" s="491"/>
      <c r="T25" s="491"/>
      <c r="U25" s="491"/>
      <c r="V25" s="491"/>
      <c r="W25" s="491"/>
      <c r="X25" s="140"/>
      <c r="Y25" s="140"/>
    </row>
    <row r="26" spans="1:25" x14ac:dyDescent="0.25">
      <c r="A26" s="154" t="s">
        <v>344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345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 x14ac:dyDescent="0.25">
      <c r="A27" s="146" t="s">
        <v>323</v>
      </c>
      <c r="B27" s="148"/>
      <c r="C27" s="148"/>
      <c r="D27" s="140"/>
      <c r="E27" s="140" t="s">
        <v>324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301</v>
      </c>
      <c r="R27" s="140"/>
      <c r="S27" s="140"/>
      <c r="T27" s="140"/>
      <c r="U27" s="140"/>
      <c r="V27" s="140"/>
      <c r="W27" s="145"/>
      <c r="X27" s="140"/>
      <c r="Y27" s="140"/>
    </row>
    <row r="28" spans="1:25" x14ac:dyDescent="0.25">
      <c r="A28" s="144">
        <v>365</v>
      </c>
      <c r="B28" s="140" t="s">
        <v>326</v>
      </c>
      <c r="C28" s="140"/>
      <c r="D28" s="140"/>
      <c r="E28" s="140">
        <v>35</v>
      </c>
      <c r="F28" s="140" t="s">
        <v>327</v>
      </c>
      <c r="G28" s="140"/>
      <c r="H28" s="140">
        <v>0.35</v>
      </c>
      <c r="I28" s="145" t="s">
        <v>328</v>
      </c>
      <c r="J28" s="140"/>
      <c r="K28" s="140"/>
      <c r="L28" s="140"/>
      <c r="M28" s="140"/>
      <c r="N28" s="140"/>
      <c r="O28" s="498" t="s">
        <v>346</v>
      </c>
      <c r="P28" s="499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 x14ac:dyDescent="0.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306</v>
      </c>
      <c r="P29" s="140"/>
      <c r="Q29" s="140"/>
      <c r="R29" s="140" t="s">
        <v>339</v>
      </c>
      <c r="S29" s="140"/>
      <c r="T29" s="140"/>
      <c r="U29" s="140"/>
      <c r="V29" s="140"/>
      <c r="W29" s="145"/>
      <c r="X29" s="140"/>
      <c r="Y29" s="140"/>
    </row>
    <row r="30" spans="1:25" x14ac:dyDescent="0.25">
      <c r="A30" s="144" t="s">
        <v>347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310</v>
      </c>
      <c r="P30" s="140"/>
      <c r="Q30" s="140">
        <v>22.8</v>
      </c>
      <c r="R30" s="147">
        <v>26</v>
      </c>
      <c r="S30" s="140"/>
      <c r="T30" s="148" t="s">
        <v>311</v>
      </c>
      <c r="U30" s="140"/>
      <c r="V30" s="140"/>
      <c r="W30" s="145"/>
      <c r="X30" s="140"/>
      <c r="Y30" s="140"/>
    </row>
    <row r="31" spans="1:25" ht="15.75" thickBot="1" x14ac:dyDescent="0.3">
      <c r="A31" s="216" t="s">
        <v>333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314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 x14ac:dyDescent="0.3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 x14ac:dyDescent="0.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90" t="s">
        <v>216</v>
      </c>
      <c r="P33" s="491"/>
      <c r="Q33" s="491"/>
      <c r="R33" s="491"/>
      <c r="S33" s="491"/>
      <c r="T33" s="491"/>
      <c r="U33" s="491"/>
      <c r="V33" s="491"/>
      <c r="W33" s="491"/>
      <c r="X33" s="140"/>
      <c r="Y33" s="140"/>
    </row>
    <row r="34" spans="1:25" x14ac:dyDescent="0.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348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 x14ac:dyDescent="0.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301</v>
      </c>
      <c r="R35" s="140"/>
      <c r="S35" s="140"/>
      <c r="T35" s="140"/>
      <c r="U35" s="140"/>
      <c r="V35" s="140"/>
      <c r="W35" s="145"/>
      <c r="X35" s="140"/>
      <c r="Y35" s="140"/>
    </row>
    <row r="36" spans="1:25" x14ac:dyDescent="0.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8" t="s">
        <v>349</v>
      </c>
      <c r="P36" s="499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 x14ac:dyDescent="0.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306</v>
      </c>
      <c r="P37" s="140"/>
      <c r="Q37" s="140"/>
      <c r="R37" s="140" t="s">
        <v>339</v>
      </c>
      <c r="S37" s="140"/>
      <c r="T37" s="140"/>
      <c r="U37" s="140"/>
      <c r="V37" s="140"/>
      <c r="W37" s="145"/>
      <c r="X37" s="140"/>
      <c r="Y37" s="140"/>
    </row>
    <row r="38" spans="1:25" x14ac:dyDescent="0.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310</v>
      </c>
      <c r="P38" s="140"/>
      <c r="Q38" s="140">
        <v>22.8</v>
      </c>
      <c r="R38" s="147">
        <v>26</v>
      </c>
      <c r="S38" s="140"/>
      <c r="T38" s="148" t="s">
        <v>311</v>
      </c>
      <c r="U38" s="140"/>
      <c r="V38" s="140"/>
      <c r="W38" s="145"/>
      <c r="X38" s="140"/>
      <c r="Y38" s="140"/>
    </row>
    <row r="39" spans="1:25" x14ac:dyDescent="0.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314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 x14ac:dyDescent="0.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 x14ac:dyDescent="0.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90" t="s">
        <v>149</v>
      </c>
      <c r="P41" s="491"/>
      <c r="Q41" s="491"/>
      <c r="R41" s="491"/>
      <c r="S41" s="491"/>
      <c r="T41" s="491"/>
      <c r="U41" s="491"/>
      <c r="V41" s="491"/>
      <c r="W41" s="491"/>
      <c r="X41" s="140"/>
      <c r="Y41" s="140"/>
    </row>
    <row r="42" spans="1:25" x14ac:dyDescent="0.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350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 x14ac:dyDescent="0.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351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 x14ac:dyDescent="0.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301</v>
      </c>
      <c r="R44" s="140"/>
      <c r="S44" s="140"/>
      <c r="T44" s="140"/>
      <c r="U44" s="140"/>
      <c r="V44" s="140"/>
      <c r="W44" s="145"/>
      <c r="X44" s="140"/>
      <c r="Y44" s="140"/>
    </row>
    <row r="45" spans="1:25" x14ac:dyDescent="0.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8" t="s">
        <v>352</v>
      </c>
      <c r="P45" s="499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 x14ac:dyDescent="0.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306</v>
      </c>
      <c r="P46" s="140"/>
      <c r="Q46" s="140"/>
      <c r="R46" s="140" t="s">
        <v>339</v>
      </c>
      <c r="S46" s="140"/>
      <c r="T46" s="140"/>
      <c r="U46" s="140"/>
      <c r="V46" s="140"/>
      <c r="W46" s="145"/>
      <c r="X46" s="140"/>
      <c r="Y46" s="140"/>
    </row>
    <row r="47" spans="1:25" x14ac:dyDescent="0.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310</v>
      </c>
      <c r="P47" s="140"/>
      <c r="Q47" s="140">
        <v>22.8</v>
      </c>
      <c r="R47" s="147">
        <v>26</v>
      </c>
      <c r="S47" s="140"/>
      <c r="T47" s="148" t="s">
        <v>311</v>
      </c>
      <c r="U47" s="140"/>
      <c r="V47" s="140"/>
      <c r="W47" s="145"/>
      <c r="X47" s="140"/>
      <c r="Y47" s="140"/>
    </row>
    <row r="48" spans="1:25" x14ac:dyDescent="0.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314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 x14ac:dyDescent="0.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 x14ac:dyDescent="0.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353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 x14ac:dyDescent="0.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354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 x14ac:dyDescent="0.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301</v>
      </c>
      <c r="R52" s="140"/>
      <c r="S52" s="140"/>
      <c r="T52" s="140"/>
      <c r="U52" s="140"/>
      <c r="V52" s="140"/>
      <c r="W52" s="145"/>
      <c r="X52" s="140"/>
      <c r="Y52" s="140"/>
    </row>
    <row r="53" spans="1:25" x14ac:dyDescent="0.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8" t="s">
        <v>355</v>
      </c>
      <c r="P53" s="499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 x14ac:dyDescent="0.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306</v>
      </c>
      <c r="P54" s="140"/>
      <c r="Q54" s="140"/>
      <c r="R54" s="140" t="s">
        <v>339</v>
      </c>
      <c r="S54" s="140"/>
      <c r="T54" s="140"/>
      <c r="U54" s="140"/>
      <c r="V54" s="140"/>
      <c r="W54" s="145"/>
      <c r="X54" s="140"/>
      <c r="Y54" s="140"/>
    </row>
    <row r="55" spans="1:25" x14ac:dyDescent="0.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310</v>
      </c>
      <c r="P55" s="140"/>
      <c r="Q55" s="140">
        <v>22.8</v>
      </c>
      <c r="R55" s="147">
        <v>26</v>
      </c>
      <c r="S55" s="140"/>
      <c r="T55" s="148" t="s">
        <v>311</v>
      </c>
      <c r="U55" s="140"/>
      <c r="V55" s="140"/>
      <c r="W55" s="145"/>
      <c r="X55" s="140"/>
      <c r="Y55" s="140"/>
    </row>
    <row r="56" spans="1:25" ht="15.75" thickBot="1" x14ac:dyDescent="0.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314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 x14ac:dyDescent="0.25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356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 x14ac:dyDescent="0.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357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 x14ac:dyDescent="0.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301</v>
      </c>
      <c r="R59" s="140"/>
      <c r="S59" s="140"/>
      <c r="T59" s="140"/>
      <c r="U59" s="140"/>
      <c r="V59" s="140"/>
      <c r="W59" s="145"/>
      <c r="X59" s="140"/>
      <c r="Y59" s="140"/>
    </row>
    <row r="60" spans="1:25" x14ac:dyDescent="0.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8" t="s">
        <v>358</v>
      </c>
      <c r="P60" s="499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 x14ac:dyDescent="0.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306</v>
      </c>
      <c r="P61" s="140"/>
      <c r="Q61" s="140"/>
      <c r="R61" s="140" t="s">
        <v>339</v>
      </c>
      <c r="S61" s="140"/>
      <c r="T61" s="140"/>
      <c r="U61" s="140"/>
      <c r="V61" s="140"/>
      <c r="W61" s="145"/>
      <c r="X61" s="140"/>
      <c r="Y61" s="140"/>
    </row>
    <row r="62" spans="1:25" x14ac:dyDescent="0.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310</v>
      </c>
      <c r="P62" s="140"/>
      <c r="Q62" s="140">
        <v>22.8</v>
      </c>
      <c r="R62" s="147">
        <v>26</v>
      </c>
      <c r="S62" s="140"/>
      <c r="T62" s="148" t="s">
        <v>311</v>
      </c>
      <c r="U62" s="140"/>
      <c r="V62" s="140"/>
      <c r="W62" s="145"/>
      <c r="X62" s="140"/>
      <c r="Y62" s="140"/>
    </row>
    <row r="63" spans="1:25" ht="15.75" thickBot="1" x14ac:dyDescent="0.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314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 x14ac:dyDescent="0.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90" t="s">
        <v>228</v>
      </c>
      <c r="P64" s="491"/>
      <c r="Q64" s="491"/>
      <c r="R64" s="491"/>
      <c r="S64" s="491"/>
      <c r="T64" s="491"/>
      <c r="U64" s="491"/>
      <c r="V64" s="491"/>
      <c r="W64" s="491"/>
      <c r="X64" s="140"/>
      <c r="Y64" s="140"/>
    </row>
    <row r="65" spans="1:25" x14ac:dyDescent="0.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359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 x14ac:dyDescent="0.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301</v>
      </c>
      <c r="R66" s="140"/>
      <c r="S66" s="140"/>
      <c r="T66" s="140"/>
      <c r="U66" s="140"/>
      <c r="V66" s="140"/>
      <c r="W66" s="145"/>
      <c r="X66" s="140"/>
      <c r="Y66" s="140"/>
    </row>
    <row r="67" spans="1:25" x14ac:dyDescent="0.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8" t="s">
        <v>360</v>
      </c>
      <c r="P67" s="499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 x14ac:dyDescent="0.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306</v>
      </c>
      <c r="P68" s="140"/>
      <c r="Q68" s="140"/>
      <c r="R68" s="140" t="s">
        <v>339</v>
      </c>
      <c r="S68" s="140"/>
      <c r="T68" s="140"/>
      <c r="U68" s="140"/>
      <c r="V68" s="140"/>
      <c r="W68" s="145"/>
      <c r="X68" s="140"/>
      <c r="Y68" s="140"/>
    </row>
    <row r="69" spans="1:25" x14ac:dyDescent="0.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310</v>
      </c>
      <c r="P69" s="140"/>
      <c r="Q69" s="140">
        <v>22.8</v>
      </c>
      <c r="R69" s="147">
        <v>26</v>
      </c>
      <c r="S69" s="140"/>
      <c r="T69" s="148" t="s">
        <v>311</v>
      </c>
      <c r="U69" s="140"/>
      <c r="V69" s="140"/>
      <c r="W69" s="145"/>
      <c r="X69" s="140"/>
      <c r="Y69" s="140"/>
    </row>
    <row r="70" spans="1:25" ht="15.75" thickBot="1" x14ac:dyDescent="0.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314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 x14ac:dyDescent="0.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90" t="s">
        <v>361</v>
      </c>
      <c r="P71" s="491"/>
      <c r="Q71" s="491"/>
      <c r="R71" s="491"/>
      <c r="S71" s="491"/>
      <c r="T71" s="491"/>
      <c r="U71" s="491"/>
      <c r="V71" s="491"/>
      <c r="W71" s="491"/>
      <c r="X71" s="140"/>
      <c r="Y71" s="140"/>
    </row>
    <row r="72" spans="1:25" x14ac:dyDescent="0.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362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 x14ac:dyDescent="0.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301</v>
      </c>
      <c r="R73" s="140"/>
      <c r="S73" s="140"/>
      <c r="T73" s="140"/>
      <c r="U73" s="140"/>
      <c r="V73" s="140"/>
      <c r="W73" s="145"/>
      <c r="X73" s="140"/>
      <c r="Y73" s="140"/>
    </row>
    <row r="74" spans="1:25" x14ac:dyDescent="0.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8" t="s">
        <v>363</v>
      </c>
      <c r="P74" s="499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 x14ac:dyDescent="0.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306</v>
      </c>
      <c r="P75" s="140"/>
      <c r="Q75" s="140"/>
      <c r="R75" s="140" t="s">
        <v>339</v>
      </c>
      <c r="S75" s="140"/>
      <c r="T75" s="140"/>
      <c r="U75" s="140"/>
      <c r="V75" s="140"/>
      <c r="W75" s="145"/>
      <c r="X75" s="140"/>
      <c r="Y75" s="140"/>
    </row>
    <row r="76" spans="1:25" x14ac:dyDescent="0.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310</v>
      </c>
      <c r="P76" s="140"/>
      <c r="Q76" s="140">
        <v>22.8</v>
      </c>
      <c r="R76" s="147">
        <v>26</v>
      </c>
      <c r="S76" s="140"/>
      <c r="T76" s="148" t="s">
        <v>311</v>
      </c>
      <c r="U76" s="140"/>
      <c r="V76" s="140"/>
      <c r="W76" s="145"/>
      <c r="X76" s="140"/>
      <c r="Y76" s="140"/>
    </row>
    <row r="77" spans="1:25" ht="15.75" thickBot="1" x14ac:dyDescent="0.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314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 x14ac:dyDescent="0.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90" t="s">
        <v>364</v>
      </c>
      <c r="P78" s="491"/>
      <c r="Q78" s="491"/>
      <c r="R78" s="491"/>
      <c r="S78" s="491"/>
      <c r="T78" s="491"/>
      <c r="U78" s="491"/>
      <c r="V78" s="491"/>
      <c r="W78" s="491"/>
      <c r="X78" s="140"/>
      <c r="Y78" s="140"/>
    </row>
    <row r="79" spans="1:25" x14ac:dyDescent="0.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365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 x14ac:dyDescent="0.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301</v>
      </c>
      <c r="R80" s="140"/>
      <c r="S80" s="140"/>
      <c r="T80" s="140"/>
      <c r="U80" s="140"/>
      <c r="V80" s="140"/>
      <c r="W80" s="145"/>
      <c r="X80" s="140"/>
      <c r="Y80" s="140"/>
    </row>
    <row r="81" spans="1:25" x14ac:dyDescent="0.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8" t="s">
        <v>366</v>
      </c>
      <c r="P81" s="499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 x14ac:dyDescent="0.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306</v>
      </c>
      <c r="P82" s="140"/>
      <c r="Q82" s="140"/>
      <c r="R82" s="140" t="s">
        <v>339</v>
      </c>
      <c r="S82" s="140"/>
      <c r="T82" s="140"/>
      <c r="U82" s="140"/>
      <c r="V82" s="140"/>
      <c r="W82" s="145"/>
      <c r="X82" s="140"/>
      <c r="Y82" s="140"/>
    </row>
    <row r="83" spans="1:25" x14ac:dyDescent="0.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310</v>
      </c>
      <c r="P83" s="140"/>
      <c r="Q83" s="140">
        <v>22.8</v>
      </c>
      <c r="R83" s="147">
        <v>26</v>
      </c>
      <c r="S83" s="140"/>
      <c r="T83" s="148" t="s">
        <v>311</v>
      </c>
      <c r="U83" s="140"/>
      <c r="V83" s="140"/>
      <c r="W83" s="145"/>
      <c r="X83" s="140"/>
      <c r="Y83" s="140"/>
    </row>
    <row r="84" spans="1:25" ht="15.75" thickBot="1" x14ac:dyDescent="0.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314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 x14ac:dyDescent="0.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90" t="s">
        <v>367</v>
      </c>
      <c r="P85" s="491"/>
      <c r="Q85" s="491"/>
      <c r="R85" s="491"/>
      <c r="S85" s="491"/>
      <c r="T85" s="491"/>
      <c r="U85" s="491"/>
      <c r="V85" s="491"/>
      <c r="W85" s="491"/>
      <c r="X85" s="140"/>
      <c r="Y85" s="140"/>
    </row>
    <row r="86" spans="1:25" x14ac:dyDescent="0.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368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 x14ac:dyDescent="0.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301</v>
      </c>
      <c r="R87" s="140"/>
      <c r="S87" s="140"/>
      <c r="T87" s="140"/>
      <c r="U87" s="140"/>
      <c r="V87" s="140"/>
      <c r="W87" s="145"/>
      <c r="X87" s="140"/>
      <c r="Y87" s="140"/>
    </row>
    <row r="88" spans="1:25" x14ac:dyDescent="0.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8" t="s">
        <v>369</v>
      </c>
      <c r="P88" s="499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 x14ac:dyDescent="0.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306</v>
      </c>
      <c r="P89" s="140"/>
      <c r="Q89" s="140"/>
      <c r="R89" s="140" t="s">
        <v>339</v>
      </c>
      <c r="S89" s="140"/>
      <c r="T89" s="140"/>
      <c r="U89" s="140"/>
      <c r="V89" s="140"/>
      <c r="W89" s="145"/>
      <c r="X89" s="140"/>
      <c r="Y89" s="140"/>
    </row>
    <row r="90" spans="1:25" x14ac:dyDescent="0.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310</v>
      </c>
      <c r="P90" s="140"/>
      <c r="Q90" s="140">
        <v>22.8</v>
      </c>
      <c r="R90" s="147">
        <v>26</v>
      </c>
      <c r="S90" s="140"/>
      <c r="T90" s="148" t="s">
        <v>311</v>
      </c>
      <c r="U90" s="140"/>
      <c r="V90" s="140"/>
      <c r="W90" s="145"/>
      <c r="X90" s="140"/>
      <c r="Y90" s="140"/>
    </row>
    <row r="91" spans="1:25" ht="15.75" thickBot="1" x14ac:dyDescent="0.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314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 x14ac:dyDescent="0.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90" t="s">
        <v>370</v>
      </c>
      <c r="P92" s="491"/>
      <c r="Q92" s="491"/>
      <c r="R92" s="491"/>
      <c r="S92" s="491"/>
      <c r="T92" s="491"/>
      <c r="U92" s="491"/>
      <c r="V92" s="491"/>
      <c r="W92" s="491"/>
      <c r="X92" s="140"/>
      <c r="Y92" s="140"/>
    </row>
    <row r="93" spans="1:25" x14ac:dyDescent="0.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371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 x14ac:dyDescent="0.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301</v>
      </c>
      <c r="R94" s="140"/>
      <c r="S94" s="140"/>
      <c r="T94" s="140"/>
      <c r="U94" s="140"/>
      <c r="V94" s="140"/>
      <c r="W94" s="145"/>
      <c r="X94" s="140"/>
      <c r="Y94" s="140"/>
    </row>
    <row r="95" spans="1:25" x14ac:dyDescent="0.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8" t="s">
        <v>372</v>
      </c>
      <c r="P95" s="499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 x14ac:dyDescent="0.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306</v>
      </c>
      <c r="P96" s="140"/>
      <c r="Q96" s="140"/>
      <c r="R96" s="140" t="s">
        <v>339</v>
      </c>
      <c r="S96" s="140"/>
      <c r="T96" s="140"/>
      <c r="U96" s="140"/>
      <c r="V96" s="140"/>
      <c r="W96" s="145"/>
      <c r="X96" s="140"/>
      <c r="Y96" s="140"/>
    </row>
    <row r="97" spans="1:25" x14ac:dyDescent="0.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310</v>
      </c>
      <c r="P97" s="140"/>
      <c r="Q97" s="140">
        <v>22.8</v>
      </c>
      <c r="R97" s="147">
        <v>26</v>
      </c>
      <c r="S97" s="140"/>
      <c r="T97" s="148" t="s">
        <v>311</v>
      </c>
      <c r="U97" s="140"/>
      <c r="V97" s="140"/>
      <c r="W97" s="145"/>
      <c r="X97" s="140"/>
      <c r="Y97" s="140"/>
    </row>
    <row r="98" spans="1:25" ht="15.75" thickBot="1" x14ac:dyDescent="0.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314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 x14ac:dyDescent="0.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90" t="s">
        <v>373</v>
      </c>
      <c r="P99" s="491"/>
      <c r="Q99" s="491"/>
      <c r="R99" s="491"/>
      <c r="S99" s="491"/>
      <c r="T99" s="491"/>
      <c r="U99" s="491"/>
      <c r="V99" s="491"/>
      <c r="W99" s="491"/>
      <c r="X99" s="140"/>
      <c r="Y99" s="140"/>
    </row>
    <row r="100" spans="1:25" x14ac:dyDescent="0.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374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 x14ac:dyDescent="0.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301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 x14ac:dyDescent="0.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8" t="s">
        <v>375</v>
      </c>
      <c r="P102" s="499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 x14ac:dyDescent="0.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306</v>
      </c>
      <c r="P103" s="140"/>
      <c r="Q103" s="140"/>
      <c r="R103" s="140" t="s">
        <v>339</v>
      </c>
      <c r="S103" s="140"/>
      <c r="T103" s="140" t="s">
        <v>376</v>
      </c>
      <c r="U103" s="140"/>
      <c r="V103" s="140"/>
      <c r="W103" s="145"/>
      <c r="X103" s="140"/>
      <c r="Y103" s="140"/>
    </row>
    <row r="104" spans="1:25" x14ac:dyDescent="0.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310</v>
      </c>
      <c r="P104" s="140"/>
      <c r="Q104" s="140">
        <v>22.8</v>
      </c>
      <c r="R104" s="147">
        <v>26</v>
      </c>
      <c r="S104" s="140"/>
      <c r="T104" s="148" t="s">
        <v>311</v>
      </c>
      <c r="U104" s="140"/>
      <c r="V104" s="140"/>
      <c r="W104" s="145"/>
      <c r="X104" s="140"/>
      <c r="Y104" s="140"/>
    </row>
    <row r="105" spans="1:25" ht="15.75" thickBot="1" x14ac:dyDescent="0.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314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 x14ac:dyDescent="0.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1:W11"/>
    <mergeCell ref="L2:M2"/>
    <mergeCell ref="O2:W2"/>
    <mergeCell ref="A3:I3"/>
    <mergeCell ref="O3:W3"/>
    <mergeCell ref="O6:P6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 x14ac:dyDescent="0.25"/>
  <sheetData>
    <row r="5" spans="3:3" x14ac:dyDescent="0.25">
      <c r="C5" t="s">
        <v>401</v>
      </c>
    </row>
    <row r="6" spans="3:3" x14ac:dyDescent="0.25">
      <c r="C6" t="str" cm="1">
        <f t="array" aca="1" ref="C6" ca="1" xml:space="preserve"> LEFT(CELL("dateiname"),FIND("[",CELL("dateiname"))-1)</f>
        <v>P:\022 REACT\05\00B Entwurf\Daten für Programmierer zum Testen\20250204_Haus_der_Jugend\Haus der Jugend\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 x14ac:dyDescent="0.25"/>
  <cols>
    <col min="1" max="1" width="18.28515625" customWidth="1"/>
    <col min="9" max="9" width="12.28515625" bestFit="1" customWidth="1"/>
  </cols>
  <sheetData>
    <row r="1" spans="1:20" ht="18.75" x14ac:dyDescent="0.3">
      <c r="A1" s="12" t="s">
        <v>402</v>
      </c>
      <c r="B1" s="12"/>
      <c r="C1" s="13"/>
      <c r="K1" s="421" t="s">
        <v>47</v>
      </c>
      <c r="L1" s="421"/>
      <c r="N1" s="509" t="s">
        <v>403</v>
      </c>
      <c r="O1" s="509"/>
      <c r="P1" s="509"/>
      <c r="Q1" s="509"/>
      <c r="R1" s="509"/>
      <c r="S1" s="509"/>
      <c r="T1" s="509"/>
    </row>
    <row r="2" spans="1:20" ht="18.75" x14ac:dyDescent="0.3">
      <c r="A2" s="12" t="s">
        <v>404</v>
      </c>
      <c r="B2" s="12"/>
      <c r="C2" s="12"/>
      <c r="K2" s="16"/>
      <c r="L2" t="s">
        <v>405</v>
      </c>
      <c r="N2" t="s">
        <v>406</v>
      </c>
    </row>
    <row r="3" spans="1:20" x14ac:dyDescent="0.25">
      <c r="K3" s="25"/>
      <c r="L3" t="s">
        <v>407</v>
      </c>
      <c r="N3" s="3" t="s">
        <v>408</v>
      </c>
    </row>
    <row r="4" spans="1:20" x14ac:dyDescent="0.25">
      <c r="K4" s="30"/>
      <c r="L4" t="s">
        <v>409</v>
      </c>
      <c r="N4" t="s">
        <v>410</v>
      </c>
    </row>
    <row r="5" spans="1:20" x14ac:dyDescent="0.25">
      <c r="K5" s="37"/>
      <c r="L5" t="s">
        <v>411</v>
      </c>
      <c r="N5" s="3" t="s">
        <v>412</v>
      </c>
    </row>
    <row r="6" spans="1:20" x14ac:dyDescent="0.25">
      <c r="A6" t="s">
        <v>413</v>
      </c>
      <c r="N6" t="s">
        <v>414</v>
      </c>
    </row>
    <row r="7" spans="1:20" x14ac:dyDescent="0.25">
      <c r="A7" t="s">
        <v>379</v>
      </c>
      <c r="N7" s="3" t="s">
        <v>415</v>
      </c>
    </row>
    <row r="8" spans="1:20" x14ac:dyDescent="0.25">
      <c r="A8" s="507" t="s">
        <v>416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N8" t="s">
        <v>417</v>
      </c>
    </row>
    <row r="9" spans="1:20" x14ac:dyDescent="0.25">
      <c r="A9" s="421" t="s">
        <v>418</v>
      </c>
      <c r="B9" s="421"/>
      <c r="C9" s="421"/>
      <c r="D9" s="421"/>
      <c r="E9" s="421"/>
      <c r="F9" s="421"/>
      <c r="G9" s="421"/>
      <c r="N9" s="3" t="s">
        <v>419</v>
      </c>
    </row>
    <row r="10" spans="1:20" x14ac:dyDescent="0.25">
      <c r="A10" s="16" t="s">
        <v>204</v>
      </c>
      <c r="B10" s="16">
        <v>2400</v>
      </c>
      <c r="C10" s="16" t="s">
        <v>208</v>
      </c>
      <c r="N10" t="s">
        <v>420</v>
      </c>
    </row>
    <row r="11" spans="1:20" x14ac:dyDescent="0.25">
      <c r="A11" t="s">
        <v>421</v>
      </c>
      <c r="N11" s="3" t="s">
        <v>422</v>
      </c>
    </row>
    <row r="12" spans="1:20" x14ac:dyDescent="0.25">
      <c r="A12" s="4" t="s">
        <v>423</v>
      </c>
      <c r="B12" s="5"/>
      <c r="C12" s="5" t="s">
        <v>424</v>
      </c>
      <c r="D12" s="5"/>
      <c r="E12" s="5" t="s">
        <v>425</v>
      </c>
      <c r="F12" s="5">
        <f>B10*7</f>
        <v>16800</v>
      </c>
      <c r="G12" s="6" t="s">
        <v>116</v>
      </c>
      <c r="H12" s="16" t="s">
        <v>426</v>
      </c>
      <c r="I12" s="16" t="s">
        <v>427</v>
      </c>
      <c r="J12" s="16"/>
      <c r="K12" s="16"/>
      <c r="L12" s="16"/>
      <c r="N12" t="s">
        <v>428</v>
      </c>
    </row>
    <row r="13" spans="1:20" x14ac:dyDescent="0.25">
      <c r="A13" s="7" t="s">
        <v>429</v>
      </c>
      <c r="C13" t="s">
        <v>430</v>
      </c>
      <c r="E13" t="s">
        <v>425</v>
      </c>
      <c r="F13">
        <f>B10*9</f>
        <v>21600</v>
      </c>
      <c r="G13" s="8" t="s">
        <v>116</v>
      </c>
      <c r="H13" s="16"/>
      <c r="I13" s="16"/>
      <c r="J13" s="16">
        <v>3.7735849056604001E-2</v>
      </c>
      <c r="K13" s="16"/>
      <c r="L13" s="16"/>
      <c r="N13" s="3" t="s">
        <v>431</v>
      </c>
    </row>
    <row r="14" spans="1:20" x14ac:dyDescent="0.25">
      <c r="A14" s="7" t="s">
        <v>432</v>
      </c>
      <c r="C14" t="s">
        <v>433</v>
      </c>
      <c r="E14" t="s">
        <v>425</v>
      </c>
      <c r="F14">
        <f>B10*12</f>
        <v>28800</v>
      </c>
      <c r="G14" s="8" t="s">
        <v>116</v>
      </c>
      <c r="N14" t="s">
        <v>434</v>
      </c>
    </row>
    <row r="15" spans="1:20" x14ac:dyDescent="0.25">
      <c r="A15" s="9" t="s">
        <v>435</v>
      </c>
      <c r="B15" s="10"/>
      <c r="C15" s="10" t="s">
        <v>436</v>
      </c>
      <c r="D15" s="10"/>
      <c r="E15" s="10" t="s">
        <v>425</v>
      </c>
      <c r="F15" s="10">
        <f>B10*15</f>
        <v>36000</v>
      </c>
      <c r="G15" s="11" t="s">
        <v>116</v>
      </c>
      <c r="H15" s="16" t="s">
        <v>437</v>
      </c>
      <c r="I15" s="16" t="s">
        <v>438</v>
      </c>
      <c r="J15" s="16"/>
      <c r="K15" s="16"/>
      <c r="L15" s="16"/>
      <c r="N15" s="3" t="s">
        <v>439</v>
      </c>
    </row>
    <row r="16" spans="1:20" x14ac:dyDescent="0.25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440</v>
      </c>
    </row>
    <row r="17" spans="1:19" x14ac:dyDescent="0.25">
      <c r="A17" t="s">
        <v>441</v>
      </c>
      <c r="N17" s="3" t="s">
        <v>442</v>
      </c>
    </row>
    <row r="18" spans="1:19" x14ac:dyDescent="0.25">
      <c r="A18" s="2" t="s">
        <v>443</v>
      </c>
      <c r="H18" s="16" t="s">
        <v>444</v>
      </c>
      <c r="I18" s="16"/>
      <c r="J18" s="16"/>
      <c r="N18" t="s">
        <v>445</v>
      </c>
    </row>
    <row r="19" spans="1:19" x14ac:dyDescent="0.25">
      <c r="A19" s="16" t="s">
        <v>446</v>
      </c>
      <c r="B19" s="16">
        <v>42.66</v>
      </c>
      <c r="C19" s="16" t="s">
        <v>447</v>
      </c>
      <c r="H19" s="16" t="s">
        <v>446</v>
      </c>
      <c r="I19" s="16">
        <v>42.66</v>
      </c>
      <c r="J19" s="16" t="s">
        <v>447</v>
      </c>
      <c r="N19" s="3" t="s">
        <v>448</v>
      </c>
    </row>
    <row r="20" spans="1:19" x14ac:dyDescent="0.25">
      <c r="A20" t="s">
        <v>449</v>
      </c>
      <c r="B20">
        <f>B19/J13</f>
        <v>1130.4899999999932</v>
      </c>
      <c r="C20" t="s">
        <v>450</v>
      </c>
      <c r="E20">
        <f>B20/(10^3)</f>
        <v>1.1304899999999931</v>
      </c>
      <c r="F20" s="1" t="s">
        <v>451</v>
      </c>
      <c r="H20" s="17">
        <v>0.33329999999999999</v>
      </c>
      <c r="I20" s="16" t="s">
        <v>452</v>
      </c>
      <c r="J20" s="16"/>
      <c r="N20" t="s">
        <v>453</v>
      </c>
    </row>
    <row r="21" spans="1:19" x14ac:dyDescent="0.25">
      <c r="D21" s="1" t="s">
        <v>454</v>
      </c>
      <c r="E21" s="1"/>
      <c r="F21" s="1"/>
      <c r="H21" s="17">
        <v>0.33329999999999999</v>
      </c>
      <c r="I21" s="16" t="s">
        <v>455</v>
      </c>
      <c r="J21" s="16"/>
      <c r="N21" s="3" t="s">
        <v>456</v>
      </c>
    </row>
    <row r="22" spans="1:19" x14ac:dyDescent="0.25">
      <c r="A22" s="25" t="s">
        <v>457</v>
      </c>
      <c r="B22" s="25"/>
      <c r="C22" s="25"/>
      <c r="D22" s="25"/>
      <c r="E22" s="25"/>
      <c r="F22" s="25"/>
      <c r="H22" s="17">
        <v>0.33329999999999999</v>
      </c>
      <c r="I22" s="16" t="s">
        <v>458</v>
      </c>
      <c r="J22" s="16"/>
      <c r="N22" t="s">
        <v>459</v>
      </c>
    </row>
    <row r="23" spans="1:19" x14ac:dyDescent="0.25">
      <c r="A23" s="26" t="s">
        <v>460</v>
      </c>
      <c r="B23" s="25"/>
      <c r="C23" s="25"/>
      <c r="D23" s="25"/>
      <c r="E23" s="25"/>
      <c r="F23" s="25"/>
      <c r="G23" s="8"/>
      <c r="N23" s="3" t="s">
        <v>461</v>
      </c>
      <c r="S23" t="s">
        <v>462</v>
      </c>
    </row>
    <row r="24" spans="1:19" x14ac:dyDescent="0.25">
      <c r="A24" s="25" t="s">
        <v>463</v>
      </c>
      <c r="B24" s="25">
        <f>(42.66*7)/13.3</f>
        <v>22.452631578947368</v>
      </c>
      <c r="C24" s="25" t="s">
        <v>447</v>
      </c>
      <c r="D24" s="25"/>
      <c r="E24" s="25"/>
      <c r="F24" s="25"/>
      <c r="G24" s="8"/>
    </row>
    <row r="25" spans="1:19" x14ac:dyDescent="0.25">
      <c r="A25" s="25" t="s">
        <v>449</v>
      </c>
      <c r="B25" s="25">
        <f>B24/J13</f>
        <v>594.9947368421017</v>
      </c>
      <c r="C25" s="25" t="s">
        <v>450</v>
      </c>
      <c r="D25" s="25"/>
      <c r="E25" s="29">
        <f>B25/10^3</f>
        <v>0.59499473684210169</v>
      </c>
      <c r="F25" s="24" t="s">
        <v>451</v>
      </c>
      <c r="G25" s="8"/>
    </row>
    <row r="26" spans="1:19" x14ac:dyDescent="0.25">
      <c r="A26" s="25"/>
      <c r="B26" s="25"/>
      <c r="C26" s="25"/>
      <c r="D26" s="24" t="s">
        <v>454</v>
      </c>
      <c r="E26" s="25"/>
      <c r="F26" s="25"/>
      <c r="G26" s="8"/>
    </row>
    <row r="27" spans="1:19" x14ac:dyDescent="0.25">
      <c r="A27" s="2" t="s">
        <v>464</v>
      </c>
      <c r="G27" s="8"/>
    </row>
    <row r="28" spans="1:19" x14ac:dyDescent="0.25">
      <c r="A28" t="s">
        <v>446</v>
      </c>
      <c r="B28">
        <f>(9*42.66)/13.3</f>
        <v>28.867669172932324</v>
      </c>
      <c r="C28" t="s">
        <v>447</v>
      </c>
      <c r="G28" s="8"/>
    </row>
    <row r="29" spans="1:19" x14ac:dyDescent="0.25">
      <c r="A29" t="s">
        <v>449</v>
      </c>
      <c r="B29">
        <f>B28/J13</f>
        <v>764.99323308270198</v>
      </c>
      <c r="C29" t="s">
        <v>450</v>
      </c>
      <c r="E29">
        <f>B29/10^3</f>
        <v>0.76499323308270195</v>
      </c>
      <c r="F29" s="1" t="s">
        <v>451</v>
      </c>
      <c r="G29" s="8"/>
    </row>
    <row r="30" spans="1:19" x14ac:dyDescent="0.25">
      <c r="D30" s="1" t="s">
        <v>454</v>
      </c>
      <c r="G30" s="8"/>
    </row>
    <row r="31" spans="1:19" x14ac:dyDescent="0.25">
      <c r="A31" s="2" t="s">
        <v>435</v>
      </c>
      <c r="G31" s="8"/>
    </row>
    <row r="32" spans="1:19" x14ac:dyDescent="0.25">
      <c r="A32" t="s">
        <v>446</v>
      </c>
      <c r="B32">
        <f>(15*42.66)/13.3</f>
        <v>48.112781954887211</v>
      </c>
      <c r="C32" t="s">
        <v>447</v>
      </c>
      <c r="G32" s="8"/>
    </row>
    <row r="33" spans="1:12" x14ac:dyDescent="0.25">
      <c r="A33" t="s">
        <v>449</v>
      </c>
      <c r="B33">
        <f>B32/J13</f>
        <v>1274.9887218045035</v>
      </c>
      <c r="C33" t="s">
        <v>450</v>
      </c>
      <c r="E33">
        <f>B33/10^3</f>
        <v>1.2749887218045035</v>
      </c>
      <c r="F33" s="1" t="s">
        <v>451</v>
      </c>
      <c r="G33" s="8"/>
    </row>
    <row r="34" spans="1:12" x14ac:dyDescent="0.25">
      <c r="D34" s="1" t="s">
        <v>454</v>
      </c>
      <c r="G34" s="8"/>
    </row>
    <row r="35" spans="1:12" ht="14.25" customHeight="1" x14ac:dyDescent="0.25">
      <c r="A35" s="14"/>
      <c r="B35" s="14"/>
      <c r="C35" s="14"/>
      <c r="D35" s="14"/>
      <c r="E35" s="14"/>
      <c r="F35" s="14"/>
      <c r="G35" s="11"/>
    </row>
    <row r="36" spans="1:12" x14ac:dyDescent="0.25">
      <c r="A36" s="2" t="s">
        <v>465</v>
      </c>
      <c r="G36" s="32" t="s">
        <v>466</v>
      </c>
    </row>
    <row r="37" spans="1:12" x14ac:dyDescent="0.25">
      <c r="A37" t="s">
        <v>467</v>
      </c>
      <c r="C37" t="s">
        <v>468</v>
      </c>
      <c r="G37" s="32" t="s">
        <v>469</v>
      </c>
    </row>
    <row r="38" spans="1:12" x14ac:dyDescent="0.25">
      <c r="A38" s="39">
        <v>1</v>
      </c>
      <c r="C38" s="31">
        <f>((A38*E25))/F12</f>
        <v>3.5416353383458436E-5</v>
      </c>
      <c r="D38" s="31"/>
    </row>
    <row r="39" spans="1:12" x14ac:dyDescent="0.25">
      <c r="D39" s="1"/>
      <c r="F39" s="1"/>
    </row>
    <row r="40" spans="1:12" x14ac:dyDescent="0.25">
      <c r="A40" s="2" t="s">
        <v>470</v>
      </c>
    </row>
    <row r="41" spans="1:12" x14ac:dyDescent="0.25">
      <c r="A41" t="s">
        <v>471</v>
      </c>
      <c r="C41" t="s">
        <v>472</v>
      </c>
    </row>
    <row r="42" spans="1:12" x14ac:dyDescent="0.25">
      <c r="A42" s="30">
        <v>90</v>
      </c>
      <c r="C42" s="502">
        <f>C38*A42</f>
        <v>3.1874718045112591E-3</v>
      </c>
      <c r="D42" s="502"/>
      <c r="E42" t="s">
        <v>259</v>
      </c>
    </row>
    <row r="43" spans="1:12" x14ac:dyDescent="0.25">
      <c r="A43" s="2"/>
    </row>
    <row r="44" spans="1:12" x14ac:dyDescent="0.25">
      <c r="F44" s="1"/>
    </row>
    <row r="45" spans="1:12" x14ac:dyDescent="0.25">
      <c r="A45" s="508" t="s">
        <v>102</v>
      </c>
      <c r="B45" s="508"/>
      <c r="C45" s="508"/>
      <c r="D45" s="508"/>
      <c r="E45" s="508"/>
      <c r="F45" s="508"/>
      <c r="G45" s="508"/>
      <c r="H45" s="508"/>
      <c r="I45" s="508"/>
      <c r="J45" s="508"/>
      <c r="K45" s="508"/>
      <c r="L45" s="508"/>
    </row>
    <row r="46" spans="1:12" x14ac:dyDescent="0.25">
      <c r="A46" s="16" t="s">
        <v>273</v>
      </c>
      <c r="B46" s="16">
        <v>7850</v>
      </c>
      <c r="C46" s="16" t="s">
        <v>208</v>
      </c>
    </row>
    <row r="48" spans="1:12" x14ac:dyDescent="0.25">
      <c r="A48" s="1" t="s">
        <v>473</v>
      </c>
      <c r="B48" s="1"/>
      <c r="C48" s="1" t="s">
        <v>474</v>
      </c>
      <c r="D48" s="1"/>
      <c r="E48" s="1" t="s">
        <v>475</v>
      </c>
      <c r="F48" s="1"/>
      <c r="G48" s="1" t="s">
        <v>476</v>
      </c>
      <c r="H48" s="1"/>
      <c r="I48" s="1" t="s">
        <v>477</v>
      </c>
      <c r="J48" s="1"/>
      <c r="K48" t="s">
        <v>478</v>
      </c>
    </row>
    <row r="49" spans="1:23" x14ac:dyDescent="0.25">
      <c r="A49" s="1" t="s">
        <v>479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 x14ac:dyDescent="0.25">
      <c r="A50" s="24" t="s">
        <v>480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 x14ac:dyDescent="0.25">
      <c r="A51" s="1" t="s">
        <v>481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 x14ac:dyDescent="0.25">
      <c r="A53" t="s">
        <v>482</v>
      </c>
    </row>
    <row r="54" spans="1:23" x14ac:dyDescent="0.25">
      <c r="A54" s="1" t="s">
        <v>473</v>
      </c>
      <c r="B54" s="1"/>
      <c r="C54" t="s">
        <v>10</v>
      </c>
      <c r="D54" t="s">
        <v>381</v>
      </c>
    </row>
    <row r="55" spans="1:23" x14ac:dyDescent="0.25">
      <c r="A55" s="1" t="s">
        <v>479</v>
      </c>
      <c r="B55" s="1"/>
      <c r="C55">
        <f>I49/$B$46</f>
        <v>1.2738853503184713</v>
      </c>
      <c r="D55" t="s">
        <v>382</v>
      </c>
    </row>
    <row r="56" spans="1:23" x14ac:dyDescent="0.25">
      <c r="A56" s="33" t="s">
        <v>480</v>
      </c>
      <c r="B56" s="33"/>
      <c r="C56" s="34">
        <f>I50/$B$46</f>
        <v>1.2738853503184713</v>
      </c>
      <c r="D56" s="34" t="s">
        <v>382</v>
      </c>
      <c r="E56" t="s">
        <v>483</v>
      </c>
    </row>
    <row r="57" spans="1:23" x14ac:dyDescent="0.25">
      <c r="A57" s="1" t="s">
        <v>481</v>
      </c>
      <c r="B57" s="1"/>
      <c r="C57">
        <f>I51/$B$46</f>
        <v>2.6751592356687897</v>
      </c>
      <c r="D57" t="s">
        <v>382</v>
      </c>
      <c r="L57" s="2" t="s">
        <v>484</v>
      </c>
      <c r="Q57" s="32" t="s">
        <v>485</v>
      </c>
      <c r="U57" t="s">
        <v>486</v>
      </c>
    </row>
    <row r="58" spans="1:23" x14ac:dyDescent="0.25">
      <c r="L58" t="s">
        <v>487</v>
      </c>
      <c r="N58" t="s">
        <v>488</v>
      </c>
      <c r="R58" s="32" t="s">
        <v>489</v>
      </c>
      <c r="S58" s="32"/>
      <c r="T58" s="32"/>
      <c r="U58" s="32"/>
      <c r="V58" s="32"/>
      <c r="W58" s="32"/>
    </row>
    <row r="59" spans="1:23" x14ac:dyDescent="0.25">
      <c r="A59" s="16" t="s">
        <v>490</v>
      </c>
      <c r="B59" s="16"/>
      <c r="C59" s="16"/>
      <c r="D59" s="16"/>
      <c r="E59" s="16" t="s">
        <v>426</v>
      </c>
      <c r="F59" s="16" t="s">
        <v>427</v>
      </c>
      <c r="G59" s="16"/>
      <c r="H59" s="16"/>
      <c r="I59" s="16"/>
      <c r="L59" s="39">
        <v>1</v>
      </c>
      <c r="N59" s="502">
        <f>((L59*F68))/I50</f>
        <v>9.2749999999999449E-5</v>
      </c>
      <c r="O59" s="502"/>
      <c r="Q59" s="1"/>
      <c r="R59" s="32" t="s">
        <v>491</v>
      </c>
    </row>
    <row r="60" spans="1:23" x14ac:dyDescent="0.25">
      <c r="A60" s="18" t="s">
        <v>473</v>
      </c>
      <c r="B60" s="18"/>
      <c r="C60" s="16" t="s">
        <v>492</v>
      </c>
      <c r="D60" s="16" t="s">
        <v>381</v>
      </c>
      <c r="E60" s="16"/>
      <c r="F60" s="16"/>
      <c r="G60" s="16">
        <v>3.7735849056604001E-2</v>
      </c>
      <c r="H60" s="16"/>
      <c r="I60" s="16"/>
      <c r="O60" s="1"/>
    </row>
    <row r="61" spans="1:23" x14ac:dyDescent="0.25">
      <c r="A61" s="18" t="s">
        <v>479</v>
      </c>
      <c r="B61" s="18"/>
      <c r="C61" s="16">
        <v>25</v>
      </c>
      <c r="D61" s="16" t="s">
        <v>447</v>
      </c>
      <c r="E61" t="s">
        <v>493</v>
      </c>
      <c r="L61" s="2" t="s">
        <v>470</v>
      </c>
    </row>
    <row r="62" spans="1:23" x14ac:dyDescent="0.25">
      <c r="A62" s="24" t="s">
        <v>480</v>
      </c>
      <c r="B62" s="24"/>
      <c r="C62" s="25">
        <v>35</v>
      </c>
      <c r="D62" s="25" t="s">
        <v>447</v>
      </c>
      <c r="L62" t="s">
        <v>471</v>
      </c>
      <c r="N62" t="s">
        <v>472</v>
      </c>
    </row>
    <row r="63" spans="1:23" x14ac:dyDescent="0.25">
      <c r="A63" s="18" t="s">
        <v>481</v>
      </c>
      <c r="B63" s="18"/>
      <c r="C63" s="16">
        <v>40</v>
      </c>
      <c r="D63" s="16" t="s">
        <v>447</v>
      </c>
      <c r="L63" s="30">
        <v>4286</v>
      </c>
      <c r="N63" s="502">
        <f>N59*L63</f>
        <v>0.39752649999999762</v>
      </c>
      <c r="O63" s="502"/>
      <c r="P63" t="s">
        <v>259</v>
      </c>
    </row>
    <row r="65" spans="1:18" x14ac:dyDescent="0.25">
      <c r="A65" t="s">
        <v>494</v>
      </c>
      <c r="L65" s="2"/>
    </row>
    <row r="66" spans="1:18" x14ac:dyDescent="0.25">
      <c r="A66" s="1" t="s">
        <v>473</v>
      </c>
      <c r="B66" s="1"/>
      <c r="E66" s="1" t="s">
        <v>454</v>
      </c>
    </row>
    <row r="67" spans="1:18" x14ac:dyDescent="0.25">
      <c r="A67" s="1" t="s">
        <v>479</v>
      </c>
      <c r="B67" s="1"/>
      <c r="C67">
        <f>C61/$G$60</f>
        <v>662.49999999999602</v>
      </c>
      <c r="D67" t="s">
        <v>450</v>
      </c>
      <c r="F67">
        <f>C67/10^3</f>
        <v>0.66249999999999598</v>
      </c>
      <c r="G67" s="1" t="s">
        <v>451</v>
      </c>
    </row>
    <row r="68" spans="1:18" x14ac:dyDescent="0.25">
      <c r="A68" s="24" t="s">
        <v>480</v>
      </c>
      <c r="B68" s="24"/>
      <c r="C68" s="25">
        <f>C62/$G$60</f>
        <v>927.49999999999443</v>
      </c>
      <c r="D68" s="25" t="s">
        <v>450</v>
      </c>
      <c r="E68" s="25"/>
      <c r="F68" s="25">
        <f>C68/10^3</f>
        <v>0.92749999999999444</v>
      </c>
      <c r="G68" s="24" t="s">
        <v>451</v>
      </c>
    </row>
    <row r="69" spans="1:18" x14ac:dyDescent="0.25">
      <c r="A69" s="1" t="s">
        <v>481</v>
      </c>
      <c r="B69" s="1"/>
      <c r="C69">
        <f>C63/$G$60</f>
        <v>1059.9999999999936</v>
      </c>
      <c r="D69" t="s">
        <v>450</v>
      </c>
      <c r="F69">
        <f>C69/10^3</f>
        <v>1.0599999999999936</v>
      </c>
      <c r="G69" s="1" t="s">
        <v>451</v>
      </c>
    </row>
    <row r="71" spans="1:18" x14ac:dyDescent="0.25">
      <c r="A71" s="509" t="s">
        <v>303</v>
      </c>
      <c r="B71" s="509"/>
      <c r="C71" s="509"/>
      <c r="D71" s="509"/>
      <c r="E71" s="509"/>
      <c r="F71" s="509"/>
      <c r="G71" s="509"/>
      <c r="H71" s="509"/>
      <c r="I71" s="509"/>
      <c r="J71" s="509"/>
      <c r="K71" s="509"/>
      <c r="L71" s="509"/>
    </row>
    <row r="72" spans="1:18" x14ac:dyDescent="0.25">
      <c r="A72" s="1" t="s">
        <v>473</v>
      </c>
      <c r="B72" s="1"/>
      <c r="C72" s="1" t="s">
        <v>474</v>
      </c>
      <c r="D72" s="1"/>
      <c r="E72" s="1" t="s">
        <v>475</v>
      </c>
      <c r="F72" s="1"/>
      <c r="G72" s="1" t="s">
        <v>476</v>
      </c>
      <c r="H72" s="1"/>
      <c r="I72" s="1" t="s">
        <v>477</v>
      </c>
      <c r="J72" s="1"/>
      <c r="K72" t="s">
        <v>478</v>
      </c>
    </row>
    <row r="73" spans="1:18" x14ac:dyDescent="0.25">
      <c r="A73" s="1" t="s">
        <v>479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 x14ac:dyDescent="0.25">
      <c r="A74" s="24" t="s">
        <v>480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 x14ac:dyDescent="0.25">
      <c r="A75" s="1" t="s">
        <v>481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 x14ac:dyDescent="0.25">
      <c r="A77" s="19" t="s">
        <v>495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 x14ac:dyDescent="0.25">
      <c r="A78" s="18" t="s">
        <v>273</v>
      </c>
      <c r="B78" s="16">
        <v>675</v>
      </c>
      <c r="C78" s="16" t="s">
        <v>208</v>
      </c>
    </row>
    <row r="79" spans="1:18" x14ac:dyDescent="0.25">
      <c r="A79" t="s">
        <v>496</v>
      </c>
    </row>
    <row r="80" spans="1:18" x14ac:dyDescent="0.25">
      <c r="A80" s="1" t="s">
        <v>473</v>
      </c>
      <c r="B80" s="1"/>
      <c r="C80" t="s">
        <v>10</v>
      </c>
      <c r="D80" t="s">
        <v>381</v>
      </c>
      <c r="L80" s="2" t="s">
        <v>497</v>
      </c>
      <c r="R80" s="32" t="s">
        <v>498</v>
      </c>
    </row>
    <row r="81" spans="1:18" x14ac:dyDescent="0.25">
      <c r="A81" s="1" t="s">
        <v>479</v>
      </c>
      <c r="B81" s="1"/>
      <c r="C81" s="21">
        <f>$I$73/$B$78</f>
        <v>14.814814814814815</v>
      </c>
      <c r="D81" t="s">
        <v>382</v>
      </c>
      <c r="L81" t="s">
        <v>499</v>
      </c>
      <c r="N81" t="s">
        <v>488</v>
      </c>
      <c r="R81" t="s">
        <v>486</v>
      </c>
    </row>
    <row r="82" spans="1:18" x14ac:dyDescent="0.25">
      <c r="A82" s="35" t="s">
        <v>480</v>
      </c>
      <c r="B82" s="35"/>
      <c r="C82" s="36">
        <f>$I$74/$B$78</f>
        <v>14.814814814814815</v>
      </c>
      <c r="D82" s="37" t="s">
        <v>382</v>
      </c>
      <c r="E82" t="s">
        <v>483</v>
      </c>
      <c r="L82" s="39">
        <v>1</v>
      </c>
      <c r="N82" s="502">
        <f>((L82*F94))/I74</f>
        <v>9.2749999999999449E-5</v>
      </c>
      <c r="O82" s="502"/>
    </row>
    <row r="83" spans="1:18" x14ac:dyDescent="0.25">
      <c r="A83" s="1" t="s">
        <v>481</v>
      </c>
      <c r="B83" s="1"/>
      <c r="C83" s="21">
        <f>$I$75/$B$78</f>
        <v>31.111111111111111</v>
      </c>
      <c r="D83" t="s">
        <v>382</v>
      </c>
      <c r="O83" s="1"/>
    </row>
    <row r="84" spans="1:18" x14ac:dyDescent="0.25">
      <c r="L84" s="2" t="s">
        <v>470</v>
      </c>
    </row>
    <row r="85" spans="1:18" x14ac:dyDescent="0.25">
      <c r="A85" s="16" t="s">
        <v>490</v>
      </c>
      <c r="B85" s="16"/>
      <c r="C85" s="16"/>
      <c r="D85" s="16"/>
      <c r="E85" s="16" t="s">
        <v>426</v>
      </c>
      <c r="F85" s="16" t="s">
        <v>427</v>
      </c>
      <c r="G85" s="16"/>
      <c r="H85" s="16"/>
      <c r="I85" s="16"/>
      <c r="L85" t="s">
        <v>471</v>
      </c>
      <c r="N85" t="s">
        <v>472</v>
      </c>
    </row>
    <row r="86" spans="1:18" x14ac:dyDescent="0.25">
      <c r="A86" s="18" t="s">
        <v>473</v>
      </c>
      <c r="B86" s="18"/>
      <c r="C86" s="16" t="s">
        <v>492</v>
      </c>
      <c r="D86" s="16" t="s">
        <v>381</v>
      </c>
      <c r="E86" s="16"/>
      <c r="F86" s="16"/>
      <c r="G86" s="16">
        <v>3.7735849056604001E-2</v>
      </c>
      <c r="H86" s="16"/>
      <c r="I86" s="16"/>
      <c r="L86" s="30">
        <v>4286</v>
      </c>
      <c r="N86" s="502">
        <f>N82*L86</f>
        <v>0.39752649999999762</v>
      </c>
      <c r="O86" s="502"/>
      <c r="P86" t="s">
        <v>259</v>
      </c>
    </row>
    <row r="87" spans="1:18" x14ac:dyDescent="0.25">
      <c r="A87" s="18" t="s">
        <v>479</v>
      </c>
      <c r="B87" s="18"/>
      <c r="C87" s="16">
        <v>25</v>
      </c>
      <c r="D87" s="16" t="s">
        <v>447</v>
      </c>
      <c r="E87" t="s">
        <v>500</v>
      </c>
    </row>
    <row r="88" spans="1:18" x14ac:dyDescent="0.25">
      <c r="A88" s="24" t="s">
        <v>480</v>
      </c>
      <c r="B88" s="24"/>
      <c r="C88" s="25">
        <v>35</v>
      </c>
      <c r="D88" s="25" t="s">
        <v>447</v>
      </c>
      <c r="L88" s="2"/>
    </row>
    <row r="89" spans="1:18" x14ac:dyDescent="0.25">
      <c r="A89" s="18" t="s">
        <v>481</v>
      </c>
      <c r="B89" s="18"/>
      <c r="C89" s="16">
        <v>40</v>
      </c>
      <c r="D89" s="16" t="s">
        <v>447</v>
      </c>
    </row>
    <row r="91" spans="1:18" x14ac:dyDescent="0.25">
      <c r="A91" t="s">
        <v>494</v>
      </c>
    </row>
    <row r="92" spans="1:18" x14ac:dyDescent="0.25">
      <c r="A92" s="1" t="s">
        <v>473</v>
      </c>
      <c r="B92" s="1"/>
      <c r="E92" s="1" t="s">
        <v>454</v>
      </c>
    </row>
    <row r="93" spans="1:18" x14ac:dyDescent="0.25">
      <c r="A93" s="1" t="s">
        <v>479</v>
      </c>
      <c r="B93" s="1"/>
      <c r="C93">
        <f>C87/$G$60</f>
        <v>662.49999999999602</v>
      </c>
      <c r="D93" t="s">
        <v>450</v>
      </c>
      <c r="F93">
        <f>C93/10^3</f>
        <v>0.66249999999999598</v>
      </c>
      <c r="G93" s="1" t="s">
        <v>451</v>
      </c>
    </row>
    <row r="94" spans="1:18" x14ac:dyDescent="0.25">
      <c r="A94" s="24" t="s">
        <v>480</v>
      </c>
      <c r="B94" s="24"/>
      <c r="C94" s="25">
        <f>C88/$G$60</f>
        <v>927.49999999999443</v>
      </c>
      <c r="D94" s="25" t="s">
        <v>450</v>
      </c>
      <c r="E94" s="25"/>
      <c r="F94" s="25">
        <f>C94/10^3</f>
        <v>0.92749999999999444</v>
      </c>
      <c r="G94" s="24" t="s">
        <v>451</v>
      </c>
    </row>
    <row r="95" spans="1:18" x14ac:dyDescent="0.25">
      <c r="A95" s="1" t="s">
        <v>481</v>
      </c>
      <c r="B95" s="1"/>
      <c r="C95">
        <f>C89/$G$60</f>
        <v>1059.9999999999936</v>
      </c>
      <c r="D95" t="s">
        <v>450</v>
      </c>
      <c r="F95">
        <f>C95/10^3</f>
        <v>1.0599999999999936</v>
      </c>
      <c r="G95" s="1" t="s">
        <v>451</v>
      </c>
    </row>
    <row r="97" spans="1:18" x14ac:dyDescent="0.25">
      <c r="A97" s="20" t="s">
        <v>501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 x14ac:dyDescent="0.25">
      <c r="A98" s="18" t="s">
        <v>273</v>
      </c>
      <c r="B98" s="16">
        <v>533</v>
      </c>
      <c r="C98" s="16" t="s">
        <v>208</v>
      </c>
    </row>
    <row r="99" spans="1:18" x14ac:dyDescent="0.25">
      <c r="A99" t="s">
        <v>502</v>
      </c>
    </row>
    <row r="100" spans="1:18" x14ac:dyDescent="0.25">
      <c r="A100" s="1" t="s">
        <v>473</v>
      </c>
      <c r="B100" s="1"/>
      <c r="C100" t="s">
        <v>10</v>
      </c>
      <c r="D100" t="s">
        <v>381</v>
      </c>
    </row>
    <row r="101" spans="1:18" x14ac:dyDescent="0.25">
      <c r="A101" s="1" t="s">
        <v>479</v>
      </c>
      <c r="B101" s="1"/>
      <c r="C101" s="21">
        <f>$I$73/$B$98</f>
        <v>18.761726078799249</v>
      </c>
      <c r="D101" t="s">
        <v>382</v>
      </c>
    </row>
    <row r="102" spans="1:18" x14ac:dyDescent="0.25">
      <c r="A102" s="35" t="s">
        <v>480</v>
      </c>
      <c r="B102" s="35"/>
      <c r="C102" s="36">
        <f>$I$74/$B$98</f>
        <v>18.761726078799249</v>
      </c>
      <c r="D102" s="37" t="s">
        <v>382</v>
      </c>
      <c r="E102" t="s">
        <v>483</v>
      </c>
      <c r="L102" s="2" t="s">
        <v>503</v>
      </c>
      <c r="R102" s="32" t="s">
        <v>504</v>
      </c>
    </row>
    <row r="103" spans="1:18" x14ac:dyDescent="0.25">
      <c r="A103" s="1" t="s">
        <v>481</v>
      </c>
      <c r="B103" s="1"/>
      <c r="C103" s="21">
        <f>$I$75/$B$98</f>
        <v>39.399624765478421</v>
      </c>
      <c r="D103" t="s">
        <v>382</v>
      </c>
      <c r="L103" t="s">
        <v>499</v>
      </c>
      <c r="N103" t="s">
        <v>488</v>
      </c>
      <c r="R103" s="32" t="s">
        <v>469</v>
      </c>
    </row>
    <row r="104" spans="1:18" x14ac:dyDescent="0.25">
      <c r="L104" s="39">
        <v>1</v>
      </c>
      <c r="N104" s="502">
        <f>((L104*F114))/I74</f>
        <v>9.2749999999999449E-5</v>
      </c>
      <c r="O104" s="502"/>
    </row>
    <row r="105" spans="1:18" x14ac:dyDescent="0.25">
      <c r="A105" s="16" t="s">
        <v>490</v>
      </c>
      <c r="B105" s="16"/>
      <c r="C105" s="16"/>
      <c r="D105" s="16"/>
      <c r="E105" s="16" t="s">
        <v>426</v>
      </c>
      <c r="F105" s="16" t="s">
        <v>427</v>
      </c>
      <c r="G105" s="16"/>
      <c r="H105" s="16"/>
      <c r="I105" s="16"/>
      <c r="O105" s="1"/>
    </row>
    <row r="106" spans="1:18" x14ac:dyDescent="0.25">
      <c r="A106" s="18" t="s">
        <v>473</v>
      </c>
      <c r="B106" s="18"/>
      <c r="C106" s="16" t="s">
        <v>492</v>
      </c>
      <c r="D106" s="16" t="s">
        <v>381</v>
      </c>
      <c r="E106" s="16"/>
      <c r="F106" s="16"/>
      <c r="G106" s="16">
        <v>3.7735849056604001E-2</v>
      </c>
      <c r="H106" s="16"/>
      <c r="I106" s="16"/>
      <c r="L106" s="2" t="s">
        <v>470</v>
      </c>
    </row>
    <row r="107" spans="1:18" x14ac:dyDescent="0.25">
      <c r="A107" s="18" t="s">
        <v>479</v>
      </c>
      <c r="B107" s="18"/>
      <c r="C107" s="16">
        <v>25</v>
      </c>
      <c r="D107" s="16" t="s">
        <v>447</v>
      </c>
      <c r="E107" t="s">
        <v>500</v>
      </c>
      <c r="L107" t="s">
        <v>471</v>
      </c>
      <c r="N107" t="s">
        <v>472</v>
      </c>
    </row>
    <row r="108" spans="1:18" x14ac:dyDescent="0.25">
      <c r="A108" s="24" t="s">
        <v>480</v>
      </c>
      <c r="B108" s="24"/>
      <c r="C108" s="25">
        <v>35</v>
      </c>
      <c r="D108" s="25" t="s">
        <v>447</v>
      </c>
      <c r="L108" s="30">
        <v>4286</v>
      </c>
      <c r="N108" s="502">
        <f>N104*L108</f>
        <v>0.39752649999999762</v>
      </c>
      <c r="O108" s="502"/>
      <c r="P108" t="s">
        <v>259</v>
      </c>
    </row>
    <row r="109" spans="1:18" x14ac:dyDescent="0.25">
      <c r="A109" s="18" t="s">
        <v>481</v>
      </c>
      <c r="B109" s="18"/>
      <c r="C109" s="16">
        <v>40</v>
      </c>
      <c r="D109" s="16" t="s">
        <v>447</v>
      </c>
    </row>
    <row r="110" spans="1:18" x14ac:dyDescent="0.25">
      <c r="L110" s="2"/>
    </row>
    <row r="111" spans="1:18" x14ac:dyDescent="0.25">
      <c r="A111" t="s">
        <v>494</v>
      </c>
    </row>
    <row r="112" spans="1:18" x14ac:dyDescent="0.25">
      <c r="A112" s="1" t="s">
        <v>473</v>
      </c>
      <c r="B112" s="1"/>
      <c r="E112" s="1" t="s">
        <v>454</v>
      </c>
    </row>
    <row r="113" spans="1:18" x14ac:dyDescent="0.25">
      <c r="A113" s="1" t="s">
        <v>479</v>
      </c>
      <c r="B113" s="1"/>
      <c r="C113">
        <f>C107/$G$60</f>
        <v>662.49999999999602</v>
      </c>
      <c r="D113" t="s">
        <v>450</v>
      </c>
      <c r="F113">
        <f>C113/10^3</f>
        <v>0.66249999999999598</v>
      </c>
      <c r="G113" s="1" t="s">
        <v>451</v>
      </c>
    </row>
    <row r="114" spans="1:18" x14ac:dyDescent="0.25">
      <c r="A114" s="24" t="s">
        <v>480</v>
      </c>
      <c r="B114" s="24"/>
      <c r="C114" s="25">
        <f>C108/$G$60</f>
        <v>927.49999999999443</v>
      </c>
      <c r="D114" s="25" t="s">
        <v>450</v>
      </c>
      <c r="E114" s="25"/>
      <c r="F114" s="25">
        <f>C114/10^3</f>
        <v>0.92749999999999444</v>
      </c>
      <c r="G114" s="24" t="s">
        <v>451</v>
      </c>
    </row>
    <row r="115" spans="1:18" x14ac:dyDescent="0.25">
      <c r="A115" s="1" t="s">
        <v>481</v>
      </c>
      <c r="B115" s="1"/>
      <c r="C115">
        <f>C109/$G$60</f>
        <v>1059.9999999999936</v>
      </c>
      <c r="D115" t="s">
        <v>450</v>
      </c>
      <c r="F115">
        <f>C115/10^3</f>
        <v>1.0599999999999936</v>
      </c>
      <c r="G115" s="1" t="s">
        <v>451</v>
      </c>
    </row>
    <row r="117" spans="1:18" x14ac:dyDescent="0.25">
      <c r="A117" s="20" t="s">
        <v>505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 x14ac:dyDescent="0.25">
      <c r="A118" s="18" t="s">
        <v>273</v>
      </c>
      <c r="B118" s="16">
        <v>580</v>
      </c>
      <c r="C118" s="16" t="s">
        <v>208</v>
      </c>
    </row>
    <row r="119" spans="1:18" x14ac:dyDescent="0.25">
      <c r="A119" t="s">
        <v>506</v>
      </c>
    </row>
    <row r="120" spans="1:18" x14ac:dyDescent="0.25">
      <c r="A120" s="1" t="s">
        <v>473</v>
      </c>
      <c r="B120" s="1"/>
      <c r="C120" t="s">
        <v>10</v>
      </c>
      <c r="D120" t="s">
        <v>381</v>
      </c>
    </row>
    <row r="121" spans="1:18" x14ac:dyDescent="0.25">
      <c r="A121" s="1" t="s">
        <v>479</v>
      </c>
      <c r="B121" s="1"/>
      <c r="C121" s="21">
        <f>$I$73/$B$118</f>
        <v>17.241379310344829</v>
      </c>
      <c r="D121" t="s">
        <v>382</v>
      </c>
    </row>
    <row r="122" spans="1:18" x14ac:dyDescent="0.25">
      <c r="A122" s="35" t="s">
        <v>480</v>
      </c>
      <c r="B122" s="35"/>
      <c r="C122" s="36">
        <f>$I$74/$B$118</f>
        <v>17.241379310344829</v>
      </c>
      <c r="D122" s="37" t="s">
        <v>382</v>
      </c>
      <c r="L122" s="2" t="s">
        <v>503</v>
      </c>
      <c r="R122" s="32" t="s">
        <v>507</v>
      </c>
    </row>
    <row r="123" spans="1:18" x14ac:dyDescent="0.25">
      <c r="A123" s="1" t="s">
        <v>481</v>
      </c>
      <c r="B123" s="1"/>
      <c r="C123" s="21">
        <f>$I$75/$B$118</f>
        <v>36.206896551724135</v>
      </c>
      <c r="D123" t="s">
        <v>382</v>
      </c>
      <c r="L123" t="s">
        <v>499</v>
      </c>
      <c r="N123" t="s">
        <v>488</v>
      </c>
      <c r="R123" s="32" t="s">
        <v>469</v>
      </c>
    </row>
    <row r="124" spans="1:18" x14ac:dyDescent="0.25">
      <c r="L124" s="39">
        <v>1</v>
      </c>
      <c r="N124" s="502">
        <f>((L124*F134))/I74</f>
        <v>9.2749999999999449E-5</v>
      </c>
      <c r="O124" s="502"/>
    </row>
    <row r="125" spans="1:18" x14ac:dyDescent="0.25">
      <c r="A125" s="16" t="s">
        <v>490</v>
      </c>
      <c r="B125" s="16"/>
      <c r="C125" s="16"/>
      <c r="D125" s="16"/>
      <c r="E125" s="16" t="s">
        <v>426</v>
      </c>
      <c r="F125" s="16" t="s">
        <v>427</v>
      </c>
      <c r="G125" s="16"/>
      <c r="H125" s="16"/>
      <c r="I125" s="16"/>
      <c r="O125" s="1"/>
    </row>
    <row r="126" spans="1:18" x14ac:dyDescent="0.25">
      <c r="A126" s="18" t="s">
        <v>473</v>
      </c>
      <c r="B126" s="18"/>
      <c r="C126" s="16" t="s">
        <v>492</v>
      </c>
      <c r="D126" s="16" t="s">
        <v>381</v>
      </c>
      <c r="E126" s="16"/>
      <c r="F126" s="16"/>
      <c r="G126" s="16">
        <v>3.7735849056604001E-2</v>
      </c>
      <c r="H126" s="16"/>
      <c r="I126" s="16"/>
      <c r="L126" s="2" t="s">
        <v>470</v>
      </c>
    </row>
    <row r="127" spans="1:18" x14ac:dyDescent="0.25">
      <c r="A127" s="18" t="s">
        <v>479</v>
      </c>
      <c r="B127" s="18"/>
      <c r="C127" s="16">
        <v>25</v>
      </c>
      <c r="D127" s="16" t="s">
        <v>447</v>
      </c>
      <c r="E127" t="s">
        <v>493</v>
      </c>
      <c r="L127" t="s">
        <v>471</v>
      </c>
      <c r="N127" t="s">
        <v>472</v>
      </c>
    </row>
    <row r="128" spans="1:18" x14ac:dyDescent="0.25">
      <c r="A128" s="24" t="s">
        <v>480</v>
      </c>
      <c r="B128" s="24"/>
      <c r="C128" s="25">
        <v>35</v>
      </c>
      <c r="D128" s="25" t="s">
        <v>447</v>
      </c>
      <c r="L128" s="30">
        <v>4286</v>
      </c>
      <c r="N128" s="502">
        <f>N124*L128</f>
        <v>0.39752649999999762</v>
      </c>
      <c r="O128" s="502"/>
      <c r="P128" t="s">
        <v>259</v>
      </c>
    </row>
    <row r="129" spans="1:12" x14ac:dyDescent="0.25">
      <c r="A129" s="18" t="s">
        <v>481</v>
      </c>
      <c r="B129" s="18"/>
      <c r="C129" s="16">
        <v>40</v>
      </c>
      <c r="D129" s="16" t="s">
        <v>447</v>
      </c>
    </row>
    <row r="130" spans="1:12" x14ac:dyDescent="0.25">
      <c r="L130" s="2"/>
    </row>
    <row r="131" spans="1:12" x14ac:dyDescent="0.25">
      <c r="A131" t="s">
        <v>494</v>
      </c>
    </row>
    <row r="132" spans="1:12" x14ac:dyDescent="0.25">
      <c r="A132" s="1" t="s">
        <v>473</v>
      </c>
      <c r="B132" s="1"/>
      <c r="E132" s="1" t="s">
        <v>454</v>
      </c>
    </row>
    <row r="133" spans="1:12" x14ac:dyDescent="0.25">
      <c r="A133" s="1" t="s">
        <v>479</v>
      </c>
      <c r="B133" s="1"/>
      <c r="C133">
        <f>C127/$G$60</f>
        <v>662.49999999999602</v>
      </c>
      <c r="D133" t="s">
        <v>450</v>
      </c>
      <c r="F133">
        <f>C133/10^3</f>
        <v>0.66249999999999598</v>
      </c>
      <c r="G133" s="1" t="s">
        <v>451</v>
      </c>
    </row>
    <row r="134" spans="1:12" x14ac:dyDescent="0.25">
      <c r="A134" s="24" t="s">
        <v>480</v>
      </c>
      <c r="B134" s="24"/>
      <c r="C134" s="25">
        <f>C128/$G$60</f>
        <v>927.49999999999443</v>
      </c>
      <c r="D134" s="25" t="s">
        <v>450</v>
      </c>
      <c r="E134" s="25"/>
      <c r="F134" s="25">
        <f>C134/10^3</f>
        <v>0.92749999999999444</v>
      </c>
      <c r="G134" s="24" t="s">
        <v>451</v>
      </c>
    </row>
    <row r="135" spans="1:12" x14ac:dyDescent="0.25">
      <c r="A135" s="1" t="s">
        <v>481</v>
      </c>
      <c r="B135" s="1"/>
      <c r="C135">
        <f>C129/$G$60</f>
        <v>1059.9999999999936</v>
      </c>
      <c r="D135" t="s">
        <v>450</v>
      </c>
      <c r="F135">
        <f>C135/10^3</f>
        <v>1.0599999999999936</v>
      </c>
      <c r="G135" s="1" t="s">
        <v>451</v>
      </c>
    </row>
    <row r="137" spans="1:12" x14ac:dyDescent="0.25">
      <c r="A137" s="510" t="s">
        <v>214</v>
      </c>
      <c r="B137" s="510"/>
      <c r="C137" s="510"/>
      <c r="D137" s="510"/>
      <c r="E137" s="510"/>
      <c r="F137" s="510"/>
      <c r="G137" s="510"/>
      <c r="H137" s="510"/>
      <c r="I137" s="510"/>
      <c r="J137" s="510"/>
      <c r="K137" s="510"/>
      <c r="L137" s="510"/>
    </row>
    <row r="138" spans="1:12" x14ac:dyDescent="0.25">
      <c r="A138" s="1" t="s">
        <v>473</v>
      </c>
      <c r="B138" s="1"/>
      <c r="C138" s="1" t="s">
        <v>474</v>
      </c>
      <c r="D138" s="1"/>
      <c r="E138" s="1" t="s">
        <v>475</v>
      </c>
      <c r="F138" s="1"/>
      <c r="G138" s="1" t="s">
        <v>476</v>
      </c>
      <c r="H138" s="1"/>
      <c r="I138" s="1" t="s">
        <v>477</v>
      </c>
      <c r="J138" s="1"/>
      <c r="K138" t="s">
        <v>478</v>
      </c>
    </row>
    <row r="139" spans="1:12" x14ac:dyDescent="0.25">
      <c r="A139" s="1" t="s">
        <v>479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 x14ac:dyDescent="0.25">
      <c r="A140" s="24" t="s">
        <v>480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 x14ac:dyDescent="0.25">
      <c r="A141" s="1" t="s">
        <v>481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 x14ac:dyDescent="0.25">
      <c r="A144" s="22" t="s">
        <v>508</v>
      </c>
      <c r="B144" s="23" t="s">
        <v>509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 x14ac:dyDescent="0.25">
      <c r="A145" s="18" t="s">
        <v>273</v>
      </c>
      <c r="B145" s="16">
        <v>1150</v>
      </c>
      <c r="C145" s="16" t="s">
        <v>208</v>
      </c>
    </row>
    <row r="146" spans="1:18" x14ac:dyDescent="0.25">
      <c r="A146" t="s">
        <v>506</v>
      </c>
    </row>
    <row r="147" spans="1:18" x14ac:dyDescent="0.25">
      <c r="A147" s="1" t="s">
        <v>473</v>
      </c>
      <c r="B147" s="1"/>
      <c r="C147" t="s">
        <v>10</v>
      </c>
      <c r="D147" t="s">
        <v>381</v>
      </c>
    </row>
    <row r="148" spans="1:18" x14ac:dyDescent="0.25">
      <c r="A148" s="1" t="s">
        <v>479</v>
      </c>
      <c r="B148" s="1"/>
      <c r="C148" s="21">
        <f>$I$139/$B$145</f>
        <v>8.695652173913043</v>
      </c>
      <c r="D148" t="s">
        <v>382</v>
      </c>
    </row>
    <row r="149" spans="1:18" x14ac:dyDescent="0.25">
      <c r="A149" s="35" t="s">
        <v>480</v>
      </c>
      <c r="B149" s="35"/>
      <c r="C149" s="36">
        <f>$I$140/$B$145</f>
        <v>8.695652173913043</v>
      </c>
      <c r="D149" s="37" t="s">
        <v>382</v>
      </c>
      <c r="E149" t="s">
        <v>510</v>
      </c>
      <c r="L149" s="2" t="s">
        <v>503</v>
      </c>
      <c r="R149" s="32" t="s">
        <v>511</v>
      </c>
    </row>
    <row r="150" spans="1:18" x14ac:dyDescent="0.25">
      <c r="A150" s="1" t="s">
        <v>481</v>
      </c>
      <c r="B150" s="1"/>
      <c r="C150" s="21">
        <f>$I$141/$B$145</f>
        <v>18.260869565217391</v>
      </c>
      <c r="D150" t="s">
        <v>382</v>
      </c>
      <c r="L150" t="s">
        <v>512</v>
      </c>
      <c r="N150" t="s">
        <v>488</v>
      </c>
      <c r="R150" s="32" t="s">
        <v>469</v>
      </c>
    </row>
    <row r="151" spans="1:18" x14ac:dyDescent="0.25">
      <c r="L151" s="39">
        <v>1</v>
      </c>
      <c r="N151" s="502">
        <f>((L151*F161))/I140</f>
        <v>9.2749999999999449E-5</v>
      </c>
      <c r="O151" s="502"/>
    </row>
    <row r="152" spans="1:18" x14ac:dyDescent="0.25">
      <c r="A152" s="16" t="s">
        <v>490</v>
      </c>
      <c r="B152" s="16"/>
      <c r="C152" s="16"/>
      <c r="D152" s="16"/>
      <c r="E152" s="16" t="s">
        <v>426</v>
      </c>
      <c r="F152" s="16" t="s">
        <v>427</v>
      </c>
      <c r="G152" s="16"/>
      <c r="H152" s="16"/>
      <c r="I152" s="16"/>
      <c r="O152" s="1"/>
    </row>
    <row r="153" spans="1:18" x14ac:dyDescent="0.25">
      <c r="A153" s="18" t="s">
        <v>473</v>
      </c>
      <c r="B153" s="18"/>
      <c r="C153" s="16" t="s">
        <v>492</v>
      </c>
      <c r="D153" s="16" t="s">
        <v>381</v>
      </c>
      <c r="E153" s="16"/>
      <c r="F153" s="16"/>
      <c r="G153" s="16">
        <v>3.7735849056604001E-2</v>
      </c>
      <c r="H153" s="16"/>
      <c r="I153" s="16"/>
      <c r="L153" s="2" t="s">
        <v>470</v>
      </c>
    </row>
    <row r="154" spans="1:18" x14ac:dyDescent="0.25">
      <c r="A154" s="18" t="s">
        <v>479</v>
      </c>
      <c r="B154" s="18"/>
      <c r="C154" s="16">
        <v>25</v>
      </c>
      <c r="D154" s="16" t="s">
        <v>447</v>
      </c>
      <c r="E154" t="s">
        <v>493</v>
      </c>
      <c r="L154" t="s">
        <v>471</v>
      </c>
      <c r="N154" t="s">
        <v>472</v>
      </c>
    </row>
    <row r="155" spans="1:18" x14ac:dyDescent="0.25">
      <c r="A155" s="24" t="s">
        <v>480</v>
      </c>
      <c r="B155" s="24"/>
      <c r="C155" s="25">
        <v>35</v>
      </c>
      <c r="D155" s="25" t="s">
        <v>447</v>
      </c>
      <c r="L155" s="30">
        <v>4286</v>
      </c>
      <c r="N155" s="502">
        <f>N151*L155</f>
        <v>0.39752649999999762</v>
      </c>
      <c r="O155" s="502"/>
      <c r="P155" t="s">
        <v>259</v>
      </c>
    </row>
    <row r="156" spans="1:18" x14ac:dyDescent="0.25">
      <c r="A156" s="18" t="s">
        <v>481</v>
      </c>
      <c r="B156" s="18"/>
      <c r="C156" s="16">
        <v>40</v>
      </c>
      <c r="D156" s="16" t="s">
        <v>447</v>
      </c>
    </row>
    <row r="157" spans="1:18" x14ac:dyDescent="0.25">
      <c r="L157" s="2"/>
    </row>
    <row r="158" spans="1:18" x14ac:dyDescent="0.25">
      <c r="A158" t="s">
        <v>494</v>
      </c>
    </row>
    <row r="159" spans="1:18" x14ac:dyDescent="0.25">
      <c r="A159" s="1" t="s">
        <v>473</v>
      </c>
      <c r="B159" s="1"/>
      <c r="E159" s="1" t="s">
        <v>454</v>
      </c>
    </row>
    <row r="160" spans="1:18" x14ac:dyDescent="0.25">
      <c r="A160" s="1" t="s">
        <v>479</v>
      </c>
      <c r="B160" s="1"/>
      <c r="C160">
        <f>C154/$G$60</f>
        <v>662.49999999999602</v>
      </c>
      <c r="D160" t="s">
        <v>450</v>
      </c>
      <c r="F160">
        <f>C160/10^3</f>
        <v>0.66249999999999598</v>
      </c>
      <c r="G160" s="1" t="s">
        <v>451</v>
      </c>
    </row>
    <row r="161" spans="1:18" x14ac:dyDescent="0.25">
      <c r="A161" s="24" t="s">
        <v>480</v>
      </c>
      <c r="B161" s="24"/>
      <c r="C161" s="25">
        <f>C155/$G$60</f>
        <v>927.49999999999443</v>
      </c>
      <c r="D161" s="25" t="s">
        <v>450</v>
      </c>
      <c r="E161" s="25"/>
      <c r="F161" s="25">
        <f>C161/10^3</f>
        <v>0.92749999999999444</v>
      </c>
      <c r="G161" s="24" t="s">
        <v>451</v>
      </c>
    </row>
    <row r="162" spans="1:18" x14ac:dyDescent="0.25">
      <c r="A162" s="1" t="s">
        <v>481</v>
      </c>
      <c r="B162" s="1"/>
      <c r="C162">
        <f>C156/$G$60</f>
        <v>1059.9999999999936</v>
      </c>
      <c r="D162" t="s">
        <v>450</v>
      </c>
      <c r="F162">
        <f>C162/10^3</f>
        <v>1.0599999999999936</v>
      </c>
      <c r="G162" s="1" t="s">
        <v>451</v>
      </c>
    </row>
    <row r="164" spans="1:18" x14ac:dyDescent="0.25">
      <c r="A164" s="22" t="s">
        <v>513</v>
      </c>
      <c r="B164" s="23" t="s">
        <v>514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 x14ac:dyDescent="0.25">
      <c r="A165" s="18" t="s">
        <v>273</v>
      </c>
      <c r="B165" s="16">
        <v>680</v>
      </c>
      <c r="C165" s="16" t="s">
        <v>208</v>
      </c>
    </row>
    <row r="166" spans="1:18" x14ac:dyDescent="0.25">
      <c r="A166" t="s">
        <v>506</v>
      </c>
    </row>
    <row r="167" spans="1:18" x14ac:dyDescent="0.25">
      <c r="A167" s="1" t="s">
        <v>473</v>
      </c>
      <c r="B167" s="1"/>
      <c r="C167" t="s">
        <v>10</v>
      </c>
      <c r="D167" t="s">
        <v>381</v>
      </c>
    </row>
    <row r="168" spans="1:18" x14ac:dyDescent="0.25">
      <c r="A168" s="1" t="s">
        <v>479</v>
      </c>
      <c r="B168" s="1"/>
      <c r="C168" s="21">
        <f>$I$139/$B$165</f>
        <v>14.705882352941176</v>
      </c>
      <c r="D168" t="s">
        <v>382</v>
      </c>
    </row>
    <row r="169" spans="1:18" x14ac:dyDescent="0.25">
      <c r="A169" s="35" t="s">
        <v>480</v>
      </c>
      <c r="B169" s="35"/>
      <c r="C169" s="36">
        <f>$I$140/$B$165</f>
        <v>14.705882352941176</v>
      </c>
      <c r="D169" s="37" t="s">
        <v>382</v>
      </c>
      <c r="L169" s="2" t="s">
        <v>503</v>
      </c>
      <c r="R169" s="32" t="s">
        <v>515</v>
      </c>
    </row>
    <row r="170" spans="1:18" x14ac:dyDescent="0.25">
      <c r="A170" s="1" t="s">
        <v>481</v>
      </c>
      <c r="B170" s="1"/>
      <c r="C170" s="21">
        <f>$I$141/$B$165</f>
        <v>30.882352941176471</v>
      </c>
      <c r="D170" t="s">
        <v>382</v>
      </c>
      <c r="L170" t="s">
        <v>512</v>
      </c>
      <c r="N170" t="s">
        <v>488</v>
      </c>
      <c r="R170" s="32" t="s">
        <v>469</v>
      </c>
    </row>
    <row r="171" spans="1:18" x14ac:dyDescent="0.25">
      <c r="L171" s="39">
        <v>1</v>
      </c>
      <c r="N171" s="502">
        <f>((L171*F181))/I140</f>
        <v>9.2749999999999449E-5</v>
      </c>
      <c r="O171" s="502"/>
    </row>
    <row r="172" spans="1:18" x14ac:dyDescent="0.25">
      <c r="A172" s="16" t="s">
        <v>490</v>
      </c>
      <c r="B172" s="16"/>
      <c r="C172" s="16"/>
      <c r="D172" s="16"/>
      <c r="E172" s="16" t="s">
        <v>426</v>
      </c>
      <c r="F172" s="16" t="s">
        <v>427</v>
      </c>
      <c r="G172" s="16"/>
      <c r="H172" s="16"/>
      <c r="I172" s="16"/>
      <c r="O172" s="1"/>
    </row>
    <row r="173" spans="1:18" x14ac:dyDescent="0.25">
      <c r="A173" s="18" t="s">
        <v>473</v>
      </c>
      <c r="B173" s="18"/>
      <c r="C173" s="16" t="s">
        <v>492</v>
      </c>
      <c r="D173" s="16" t="s">
        <v>381</v>
      </c>
      <c r="E173" s="16"/>
      <c r="F173" s="16"/>
      <c r="G173" s="16">
        <v>3.7735849056604001E-2</v>
      </c>
      <c r="H173" s="16"/>
      <c r="I173" s="16"/>
      <c r="L173" s="2" t="s">
        <v>470</v>
      </c>
    </row>
    <row r="174" spans="1:18" x14ac:dyDescent="0.25">
      <c r="A174" s="18" t="s">
        <v>479</v>
      </c>
      <c r="B174" s="18"/>
      <c r="C174" s="16">
        <v>25</v>
      </c>
      <c r="D174" s="16" t="s">
        <v>447</v>
      </c>
      <c r="E174" t="s">
        <v>493</v>
      </c>
      <c r="L174" t="s">
        <v>471</v>
      </c>
      <c r="N174" t="s">
        <v>472</v>
      </c>
    </row>
    <row r="175" spans="1:18" x14ac:dyDescent="0.25">
      <c r="A175" s="24" t="s">
        <v>480</v>
      </c>
      <c r="B175" s="24"/>
      <c r="C175" s="25">
        <v>35</v>
      </c>
      <c r="D175" s="25" t="s">
        <v>447</v>
      </c>
      <c r="L175" s="30">
        <v>4286</v>
      </c>
      <c r="N175" s="502">
        <f>N171*L175</f>
        <v>0.39752649999999762</v>
      </c>
      <c r="O175" s="502"/>
      <c r="P175" t="s">
        <v>259</v>
      </c>
    </row>
    <row r="176" spans="1:18" x14ac:dyDescent="0.25">
      <c r="A176" s="18" t="s">
        <v>481</v>
      </c>
      <c r="B176" s="18"/>
      <c r="C176" s="16">
        <v>40</v>
      </c>
      <c r="D176" s="16" t="s">
        <v>447</v>
      </c>
    </row>
    <row r="177" spans="1:32" x14ac:dyDescent="0.25">
      <c r="L177" s="2"/>
    </row>
    <row r="178" spans="1:32" x14ac:dyDescent="0.25">
      <c r="A178" t="s">
        <v>494</v>
      </c>
    </row>
    <row r="179" spans="1:32" x14ac:dyDescent="0.25">
      <c r="A179" s="1" t="s">
        <v>473</v>
      </c>
      <c r="B179" s="1"/>
      <c r="E179" s="1" t="s">
        <v>454</v>
      </c>
    </row>
    <row r="180" spans="1:32" x14ac:dyDescent="0.25">
      <c r="A180" s="1" t="s">
        <v>479</v>
      </c>
      <c r="B180" s="1"/>
      <c r="C180">
        <f>C174/$G$60</f>
        <v>662.49999999999602</v>
      </c>
      <c r="D180" t="s">
        <v>450</v>
      </c>
      <c r="F180">
        <f>C180/10^3</f>
        <v>0.66249999999999598</v>
      </c>
      <c r="G180" s="1" t="s">
        <v>451</v>
      </c>
    </row>
    <row r="181" spans="1:32" x14ac:dyDescent="0.25">
      <c r="A181" s="24" t="s">
        <v>480</v>
      </c>
      <c r="B181" s="24"/>
      <c r="C181" s="25">
        <f>C175/$G$60</f>
        <v>927.49999999999443</v>
      </c>
      <c r="D181" s="25" t="s">
        <v>450</v>
      </c>
      <c r="E181" s="25"/>
      <c r="F181" s="25">
        <f>C181/10^3</f>
        <v>0.92749999999999444</v>
      </c>
      <c r="G181" s="24" t="s">
        <v>451</v>
      </c>
    </row>
    <row r="182" spans="1:32" x14ac:dyDescent="0.25">
      <c r="A182" s="1" t="s">
        <v>481</v>
      </c>
      <c r="B182" s="1"/>
      <c r="C182">
        <f>C176/$G$60</f>
        <v>1059.9999999999936</v>
      </c>
      <c r="D182" t="s">
        <v>450</v>
      </c>
      <c r="F182">
        <f>C182/10^3</f>
        <v>1.0599999999999936</v>
      </c>
      <c r="G182" s="1" t="s">
        <v>451</v>
      </c>
    </row>
    <row r="184" spans="1:32" x14ac:dyDescent="0.25">
      <c r="A184" s="511" t="s">
        <v>149</v>
      </c>
      <c r="B184" s="511"/>
      <c r="C184" s="511"/>
      <c r="D184" s="511"/>
      <c r="E184" s="511"/>
      <c r="F184" s="511"/>
      <c r="G184" s="511"/>
      <c r="H184" s="511"/>
      <c r="I184" s="511"/>
      <c r="J184" s="511"/>
      <c r="K184" s="511"/>
      <c r="L184" s="511"/>
      <c r="M184" s="2" t="s">
        <v>516</v>
      </c>
      <c r="R184" s="32" t="s">
        <v>517</v>
      </c>
      <c r="X184" s="78" t="s">
        <v>518</v>
      </c>
      <c r="Y184" s="79"/>
      <c r="Z184" s="79"/>
      <c r="AA184" s="79"/>
      <c r="AB184" s="5"/>
      <c r="AC184" s="5"/>
      <c r="AD184" s="5"/>
      <c r="AE184" s="5"/>
      <c r="AF184" s="6"/>
    </row>
    <row r="185" spans="1:32" x14ac:dyDescent="0.25">
      <c r="A185" s="24" t="s">
        <v>519</v>
      </c>
      <c r="B185" s="24"/>
      <c r="C185" s="24" t="s">
        <v>520</v>
      </c>
      <c r="D185" s="24"/>
      <c r="E185" s="24" t="s">
        <v>521</v>
      </c>
      <c r="F185" s="24"/>
      <c r="G185" s="24" t="s">
        <v>522</v>
      </c>
      <c r="H185" s="24"/>
      <c r="I185" s="16" t="s">
        <v>523</v>
      </c>
      <c r="J185" s="25" t="s">
        <v>478</v>
      </c>
      <c r="K185" s="25"/>
      <c r="M185" t="s">
        <v>512</v>
      </c>
      <c r="O185" t="s">
        <v>488</v>
      </c>
      <c r="R185" s="32" t="s">
        <v>469</v>
      </c>
      <c r="X185" s="80" t="s">
        <v>524</v>
      </c>
      <c r="Y185" s="27"/>
      <c r="Z185" s="27"/>
      <c r="AA185" s="27"/>
      <c r="AF185" s="8"/>
    </row>
    <row r="186" spans="1:32" x14ac:dyDescent="0.25">
      <c r="A186" s="24" t="s">
        <v>480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13">
        <v>90</v>
      </c>
      <c r="K186" s="513"/>
      <c r="M186" s="39">
        <v>1</v>
      </c>
      <c r="O186" s="502">
        <f>((M186*F189))/H193</f>
        <v>6.5225035161743628E-4</v>
      </c>
      <c r="P186" s="502"/>
      <c r="R186" s="32" t="s">
        <v>525</v>
      </c>
      <c r="X186" s="80"/>
      <c r="Y186" s="27"/>
      <c r="Z186" s="27"/>
      <c r="AA186" s="27"/>
      <c r="AF186" s="8"/>
    </row>
    <row r="187" spans="1:32" x14ac:dyDescent="0.25">
      <c r="A187" t="s">
        <v>494</v>
      </c>
      <c r="P187" s="1"/>
      <c r="R187" s="32" t="s">
        <v>469</v>
      </c>
      <c r="X187" s="81" t="s">
        <v>273</v>
      </c>
      <c r="Y187" s="16">
        <v>70</v>
      </c>
      <c r="Z187" s="16" t="s">
        <v>208</v>
      </c>
      <c r="AD187" t="s">
        <v>526</v>
      </c>
      <c r="AF187" s="8"/>
    </row>
    <row r="188" spans="1:32" x14ac:dyDescent="0.25">
      <c r="A188" s="1" t="s">
        <v>473</v>
      </c>
      <c r="B188" s="1"/>
      <c r="M188" s="2" t="s">
        <v>470</v>
      </c>
      <c r="R188" s="32" t="s">
        <v>527</v>
      </c>
      <c r="X188" s="7" t="s">
        <v>528</v>
      </c>
      <c r="AD188" t="s">
        <v>529</v>
      </c>
      <c r="AE188">
        <f>$J$186*Y187</f>
        <v>6300</v>
      </c>
      <c r="AF188" s="8"/>
    </row>
    <row r="189" spans="1:32" x14ac:dyDescent="0.25">
      <c r="A189" s="24" t="s">
        <v>480</v>
      </c>
      <c r="B189" s="24"/>
      <c r="C189" s="25">
        <f>G186/I186</f>
        <v>927.49999999999443</v>
      </c>
      <c r="D189" s="25" t="s">
        <v>450</v>
      </c>
      <c r="E189" s="25"/>
      <c r="F189" s="25">
        <f>C189/10^3</f>
        <v>0.92749999999999444</v>
      </c>
      <c r="G189" s="24" t="s">
        <v>451</v>
      </c>
      <c r="M189" t="s">
        <v>471</v>
      </c>
      <c r="O189" t="s">
        <v>472</v>
      </c>
      <c r="R189" s="32" t="s">
        <v>469</v>
      </c>
      <c r="X189" s="82">
        <f>$E$186/Y187</f>
        <v>142.85714285714286</v>
      </c>
      <c r="Y189" s="37" t="s">
        <v>382</v>
      </c>
      <c r="Z189" t="s">
        <v>530</v>
      </c>
      <c r="AF189" s="8"/>
    </row>
    <row r="190" spans="1:32" x14ac:dyDescent="0.25">
      <c r="M190" s="38">
        <v>4286</v>
      </c>
      <c r="N190" s="10"/>
      <c r="O190" s="503">
        <f>O186*(M190)</f>
        <v>2.7955450070323318</v>
      </c>
      <c r="P190" s="503"/>
      <c r="Q190" s="10" t="s">
        <v>259</v>
      </c>
      <c r="R190" s="32" t="s">
        <v>531</v>
      </c>
      <c r="X190" s="7"/>
      <c r="AF190" s="8"/>
    </row>
    <row r="191" spans="1:32" x14ac:dyDescent="0.25">
      <c r="A191" s="27" t="s">
        <v>219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469</v>
      </c>
      <c r="X191" s="65" t="s">
        <v>532</v>
      </c>
      <c r="AF191" s="8"/>
    </row>
    <row r="192" spans="1:32" x14ac:dyDescent="0.25">
      <c r="A192" s="18" t="s">
        <v>273</v>
      </c>
      <c r="B192" s="16">
        <v>15.8</v>
      </c>
      <c r="C192" s="16" t="s">
        <v>208</v>
      </c>
      <c r="G192" t="s">
        <v>526</v>
      </c>
      <c r="M192" s="2" t="s">
        <v>533</v>
      </c>
      <c r="R192" s="32" t="s">
        <v>534</v>
      </c>
      <c r="X192" s="7" t="s">
        <v>512</v>
      </c>
      <c r="Z192" t="s">
        <v>488</v>
      </c>
      <c r="AF192" s="8"/>
    </row>
    <row r="193" spans="1:32" x14ac:dyDescent="0.25">
      <c r="A193" t="s">
        <v>528</v>
      </c>
      <c r="G193" t="s">
        <v>529</v>
      </c>
      <c r="H193">
        <f>$J$186*B192</f>
        <v>1422</v>
      </c>
      <c r="M193" t="s">
        <v>512</v>
      </c>
      <c r="O193" t="s">
        <v>488</v>
      </c>
      <c r="R193" s="32" t="s">
        <v>469</v>
      </c>
      <c r="X193" s="76">
        <v>1</v>
      </c>
      <c r="Z193" s="502">
        <f>((X193*F189))/AE188</f>
        <v>1.4722222222222133E-4</v>
      </c>
      <c r="AA193" s="502"/>
      <c r="AF193" s="8"/>
    </row>
    <row r="194" spans="1:32" x14ac:dyDescent="0.25">
      <c r="A194" s="36">
        <f>$E$186/B192</f>
        <v>632.91139240506322</v>
      </c>
      <c r="B194" s="37" t="s">
        <v>382</v>
      </c>
      <c r="C194" t="s">
        <v>530</v>
      </c>
      <c r="M194" s="39">
        <v>1</v>
      </c>
      <c r="O194" s="502">
        <f>((M194*F189))/H198</f>
        <v>3.4351851851851644E-4</v>
      </c>
      <c r="P194" s="502"/>
      <c r="X194" s="7"/>
      <c r="AA194" s="1"/>
      <c r="AF194" s="8"/>
    </row>
    <row r="195" spans="1:32" x14ac:dyDescent="0.25">
      <c r="P195" s="1"/>
      <c r="X195" s="65" t="s">
        <v>470</v>
      </c>
      <c r="AF195" s="8"/>
    </row>
    <row r="196" spans="1:32" x14ac:dyDescent="0.25">
      <c r="A196" s="27" t="s">
        <v>220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470</v>
      </c>
      <c r="X196" s="7" t="s">
        <v>471</v>
      </c>
      <c r="Z196" t="s">
        <v>472</v>
      </c>
      <c r="AF196" s="8"/>
    </row>
    <row r="197" spans="1:32" x14ac:dyDescent="0.25">
      <c r="A197" s="18" t="s">
        <v>273</v>
      </c>
      <c r="B197" s="16">
        <v>30</v>
      </c>
      <c r="C197" s="16" t="s">
        <v>208</v>
      </c>
      <c r="G197" t="s">
        <v>526</v>
      </c>
      <c r="M197" t="s">
        <v>471</v>
      </c>
      <c r="O197" t="s">
        <v>472</v>
      </c>
      <c r="X197" s="77">
        <v>4286</v>
      </c>
      <c r="Y197" s="10"/>
      <c r="Z197" s="503">
        <f>Z193*X197</f>
        <v>0.63099444444444064</v>
      </c>
      <c r="AA197" s="503"/>
      <c r="AB197" s="10" t="s">
        <v>259</v>
      </c>
      <c r="AC197" s="10"/>
      <c r="AD197" s="10"/>
      <c r="AE197" s="10"/>
      <c r="AF197" s="11"/>
    </row>
    <row r="198" spans="1:32" x14ac:dyDescent="0.25">
      <c r="A198" t="s">
        <v>528</v>
      </c>
      <c r="G198" t="s">
        <v>529</v>
      </c>
      <c r="H198">
        <f>$J$186*B197</f>
        <v>2700</v>
      </c>
      <c r="M198" s="38">
        <v>4286</v>
      </c>
      <c r="N198" s="10"/>
      <c r="O198" s="503">
        <f>O194*M198</f>
        <v>1.4723203703703616</v>
      </c>
      <c r="P198" s="503"/>
      <c r="Q198" s="10" t="s">
        <v>259</v>
      </c>
    </row>
    <row r="199" spans="1:32" x14ac:dyDescent="0.25">
      <c r="A199" s="36">
        <f>$E$186/B197</f>
        <v>333.33333333333331</v>
      </c>
      <c r="B199" s="37" t="s">
        <v>382</v>
      </c>
      <c r="C199" t="s">
        <v>530</v>
      </c>
    </row>
    <row r="200" spans="1:32" x14ac:dyDescent="0.25">
      <c r="M200" s="2" t="s">
        <v>535</v>
      </c>
      <c r="S200" s="2" t="s">
        <v>536</v>
      </c>
    </row>
    <row r="201" spans="1:32" x14ac:dyDescent="0.25">
      <c r="A201" s="27" t="s">
        <v>222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512</v>
      </c>
      <c r="O201" t="s">
        <v>488</v>
      </c>
      <c r="S201" t="s">
        <v>512</v>
      </c>
      <c r="U201" t="s">
        <v>488</v>
      </c>
    </row>
    <row r="202" spans="1:32" x14ac:dyDescent="0.25">
      <c r="A202" s="18" t="s">
        <v>273</v>
      </c>
      <c r="B202" s="16">
        <v>24</v>
      </c>
      <c r="C202" s="16" t="s">
        <v>208</v>
      </c>
      <c r="G202" t="s">
        <v>526</v>
      </c>
      <c r="M202" s="39">
        <v>1</v>
      </c>
      <c r="O202" s="502">
        <f>((M202*F189))/H203</f>
        <v>4.2939814814814555E-4</v>
      </c>
      <c r="P202" s="502"/>
      <c r="S202" s="39">
        <v>1</v>
      </c>
      <c r="U202" s="502">
        <f>((S202*F189))/H208</f>
        <v>9.2749999999999449E-5</v>
      </c>
      <c r="V202" s="502"/>
    </row>
    <row r="203" spans="1:32" x14ac:dyDescent="0.25">
      <c r="A203" t="s">
        <v>528</v>
      </c>
      <c r="G203" t="s">
        <v>529</v>
      </c>
      <c r="H203">
        <f>$J$186*B202</f>
        <v>2160</v>
      </c>
      <c r="P203" s="1"/>
      <c r="V203" s="1"/>
    </row>
    <row r="204" spans="1:32" x14ac:dyDescent="0.25">
      <c r="A204" s="36">
        <f>$E$186/B202</f>
        <v>416.66666666666669</v>
      </c>
      <c r="B204" s="37" t="s">
        <v>382</v>
      </c>
      <c r="C204" t="s">
        <v>530</v>
      </c>
      <c r="M204" s="2" t="s">
        <v>470</v>
      </c>
      <c r="S204" s="2" t="s">
        <v>470</v>
      </c>
    </row>
    <row r="205" spans="1:32" x14ac:dyDescent="0.25">
      <c r="M205" t="s">
        <v>471</v>
      </c>
      <c r="O205" t="s">
        <v>472</v>
      </c>
      <c r="S205" t="s">
        <v>471</v>
      </c>
      <c r="U205" t="s">
        <v>472</v>
      </c>
    </row>
    <row r="206" spans="1:32" x14ac:dyDescent="0.25">
      <c r="A206" s="27" t="s">
        <v>224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03">
        <f>O202*M206</f>
        <v>1.8404004629629518</v>
      </c>
      <c r="P206" s="503"/>
      <c r="Q206" s="10" t="s">
        <v>259</v>
      </c>
      <c r="S206" s="38">
        <v>4286</v>
      </c>
      <c r="T206" s="10"/>
      <c r="U206" s="503">
        <f>U202*S206</f>
        <v>0.39752649999999762</v>
      </c>
      <c r="V206" s="503"/>
      <c r="W206" s="10" t="s">
        <v>259</v>
      </c>
    </row>
    <row r="207" spans="1:32" x14ac:dyDescent="0.25">
      <c r="A207" s="18" t="s">
        <v>273</v>
      </c>
      <c r="B207" s="16">
        <v>125</v>
      </c>
      <c r="C207" s="16" t="s">
        <v>208</v>
      </c>
      <c r="G207" t="s">
        <v>526</v>
      </c>
    </row>
    <row r="208" spans="1:32" x14ac:dyDescent="0.25">
      <c r="A208" t="s">
        <v>528</v>
      </c>
      <c r="G208" t="s">
        <v>529</v>
      </c>
      <c r="H208">
        <f>E186</f>
        <v>10000</v>
      </c>
    </row>
    <row r="209" spans="1:18" x14ac:dyDescent="0.25">
      <c r="A209" s="36">
        <f>$E$186/B207</f>
        <v>80</v>
      </c>
      <c r="B209" s="37" t="s">
        <v>382</v>
      </c>
      <c r="C209" t="s">
        <v>537</v>
      </c>
    </row>
    <row r="211" spans="1:18" x14ac:dyDescent="0.25">
      <c r="A211" s="512" t="s">
        <v>216</v>
      </c>
      <c r="B211" s="512"/>
      <c r="C211" s="512"/>
      <c r="D211" s="512"/>
      <c r="E211" s="512"/>
      <c r="F211" s="512"/>
      <c r="G211" s="512"/>
      <c r="H211" s="512"/>
      <c r="I211" s="512"/>
      <c r="J211" s="512"/>
      <c r="K211" s="512"/>
      <c r="L211" s="512"/>
    </row>
    <row r="212" spans="1:18" x14ac:dyDescent="0.25">
      <c r="A212" s="513" t="s">
        <v>519</v>
      </c>
      <c r="B212" s="513"/>
      <c r="C212" s="513" t="s">
        <v>520</v>
      </c>
      <c r="D212" s="513"/>
      <c r="E212" s="513" t="s">
        <v>521</v>
      </c>
      <c r="F212" s="513"/>
      <c r="G212" s="513" t="s">
        <v>522</v>
      </c>
      <c r="H212" s="513"/>
      <c r="I212" s="16" t="s">
        <v>523</v>
      </c>
      <c r="J212" s="25" t="s">
        <v>478</v>
      </c>
      <c r="K212" s="25"/>
      <c r="M212" s="2" t="s">
        <v>538</v>
      </c>
      <c r="R212" s="32" t="s">
        <v>539</v>
      </c>
    </row>
    <row r="213" spans="1:18" x14ac:dyDescent="0.25">
      <c r="A213" s="513" t="s">
        <v>480</v>
      </c>
      <c r="B213" s="513"/>
      <c r="C213" s="513">
        <v>10</v>
      </c>
      <c r="D213" s="513"/>
      <c r="E213" s="513">
        <f>C213*1000</f>
        <v>10000</v>
      </c>
      <c r="F213" s="513"/>
      <c r="G213" s="513">
        <v>35</v>
      </c>
      <c r="H213" s="513"/>
      <c r="I213" s="16">
        <v>3.7735849056604001E-2</v>
      </c>
      <c r="J213" s="513">
        <v>90</v>
      </c>
      <c r="K213" s="513"/>
      <c r="M213" t="s">
        <v>512</v>
      </c>
      <c r="O213" t="s">
        <v>488</v>
      </c>
      <c r="R213" s="32" t="s">
        <v>469</v>
      </c>
    </row>
    <row r="214" spans="1:18" x14ac:dyDescent="0.25">
      <c r="A214" t="s">
        <v>494</v>
      </c>
      <c r="M214" s="39">
        <v>1</v>
      </c>
      <c r="O214" s="502">
        <f>(M214*F216)/E213</f>
        <v>9.2749999999999449E-5</v>
      </c>
      <c r="P214" s="502"/>
    </row>
    <row r="215" spans="1:18" x14ac:dyDescent="0.25">
      <c r="A215" s="421" t="s">
        <v>473</v>
      </c>
      <c r="B215" s="421"/>
      <c r="P215" s="1"/>
    </row>
    <row r="216" spans="1:18" x14ac:dyDescent="0.25">
      <c r="A216" s="513" t="s">
        <v>480</v>
      </c>
      <c r="B216" s="513"/>
      <c r="C216" s="25">
        <f>G213/I213</f>
        <v>927.49999999999443</v>
      </c>
      <c r="D216" s="25" t="s">
        <v>450</v>
      </c>
      <c r="E216" s="25"/>
      <c r="F216" s="25">
        <f>C216/10^3</f>
        <v>0.92749999999999444</v>
      </c>
      <c r="G216" s="24" t="s">
        <v>451</v>
      </c>
      <c r="M216" s="2" t="s">
        <v>470</v>
      </c>
    </row>
    <row r="217" spans="1:18" x14ac:dyDescent="0.25">
      <c r="M217" t="s">
        <v>471</v>
      </c>
      <c r="O217" t="s">
        <v>472</v>
      </c>
    </row>
    <row r="218" spans="1:18" x14ac:dyDescent="0.25">
      <c r="A218" s="18" t="s">
        <v>273</v>
      </c>
      <c r="B218" s="16">
        <v>470</v>
      </c>
      <c r="C218" s="16" t="s">
        <v>208</v>
      </c>
      <c r="M218" s="38">
        <v>4286</v>
      </c>
      <c r="N218" s="10"/>
      <c r="O218" s="503">
        <f>O214*M218</f>
        <v>0.39752649999999762</v>
      </c>
      <c r="P218" s="503"/>
      <c r="Q218" s="10" t="s">
        <v>259</v>
      </c>
    </row>
    <row r="219" spans="1:18" x14ac:dyDescent="0.25">
      <c r="A219" t="s">
        <v>528</v>
      </c>
    </row>
    <row r="220" spans="1:18" x14ac:dyDescent="0.25">
      <c r="A220" s="21">
        <f>$E$213/B218</f>
        <v>21.276595744680851</v>
      </c>
      <c r="B220" t="s">
        <v>382</v>
      </c>
    </row>
    <row r="227" spans="1:19" ht="28.5" x14ac:dyDescent="0.45">
      <c r="A227" s="42" t="s">
        <v>295</v>
      </c>
      <c r="B227" s="12"/>
    </row>
    <row r="228" spans="1:19" ht="18.75" x14ac:dyDescent="0.3">
      <c r="A228" s="40" t="s">
        <v>540</v>
      </c>
      <c r="B228" s="40"/>
      <c r="C228" s="41"/>
      <c r="D228" s="41"/>
      <c r="E228" s="41"/>
      <c r="F228" s="41"/>
      <c r="G228" s="41"/>
      <c r="H228" s="41"/>
      <c r="I228" s="41"/>
      <c r="M228" s="509" t="s">
        <v>541</v>
      </c>
      <c r="N228" s="509"/>
      <c r="O228" s="509"/>
      <c r="P228" s="509"/>
      <c r="Q228" s="509"/>
      <c r="R228" s="509"/>
      <c r="S228" s="509"/>
    </row>
    <row r="229" spans="1:19" x14ac:dyDescent="0.25">
      <c r="A229" s="507" t="s">
        <v>212</v>
      </c>
      <c r="B229" s="403"/>
      <c r="C229" s="403"/>
      <c r="D229" s="403"/>
      <c r="E229" s="403"/>
      <c r="F229" s="403"/>
      <c r="G229" s="403"/>
      <c r="H229" s="403"/>
      <c r="I229" s="403"/>
      <c r="M229" t="s">
        <v>542</v>
      </c>
    </row>
    <row r="230" spans="1:19" x14ac:dyDescent="0.25">
      <c r="A230" t="s">
        <v>299</v>
      </c>
      <c r="M230" s="3" t="s">
        <v>543</v>
      </c>
    </row>
    <row r="231" spans="1:19" x14ac:dyDescent="0.25">
      <c r="C231" t="s">
        <v>301</v>
      </c>
      <c r="M231" t="s">
        <v>544</v>
      </c>
    </row>
    <row r="232" spans="1:19" x14ac:dyDescent="0.25">
      <c r="A232" s="421" t="s">
        <v>304</v>
      </c>
      <c r="B232" s="421"/>
      <c r="C232">
        <v>7.4</v>
      </c>
      <c r="M232" s="3" t="s">
        <v>545</v>
      </c>
    </row>
    <row r="233" spans="1:19" x14ac:dyDescent="0.25">
      <c r="A233" t="s">
        <v>306</v>
      </c>
      <c r="D233" t="s">
        <v>307</v>
      </c>
      <c r="M233" t="s">
        <v>546</v>
      </c>
    </row>
    <row r="234" spans="1:19" x14ac:dyDescent="0.25">
      <c r="A234" t="s">
        <v>310</v>
      </c>
      <c r="C234">
        <v>22.8</v>
      </c>
      <c r="D234" s="43">
        <f>(C234+C235)/2</f>
        <v>26.1</v>
      </c>
      <c r="F234" t="s">
        <v>547</v>
      </c>
      <c r="M234" s="3" t="s">
        <v>548</v>
      </c>
    </row>
    <row r="235" spans="1:19" x14ac:dyDescent="0.25">
      <c r="A235" t="s">
        <v>314</v>
      </c>
      <c r="C235">
        <v>29.4</v>
      </c>
      <c r="D235" s="1"/>
      <c r="F235" s="44">
        <f>D234+C232</f>
        <v>33.5</v>
      </c>
      <c r="G235" t="s">
        <v>16</v>
      </c>
      <c r="M235" t="s">
        <v>549</v>
      </c>
    </row>
    <row r="236" spans="1:19" x14ac:dyDescent="0.25">
      <c r="M236" s="3" t="s">
        <v>550</v>
      </c>
    </row>
    <row r="237" spans="1:19" x14ac:dyDescent="0.25">
      <c r="A237" s="507" t="s">
        <v>297</v>
      </c>
      <c r="B237" s="403"/>
      <c r="C237" s="403"/>
      <c r="D237" s="403"/>
      <c r="E237" s="403"/>
      <c r="F237" s="403"/>
      <c r="G237" s="403"/>
      <c r="H237" s="403"/>
      <c r="I237" s="403"/>
      <c r="M237" t="s">
        <v>551</v>
      </c>
    </row>
    <row r="238" spans="1:19" x14ac:dyDescent="0.25">
      <c r="A238" t="s">
        <v>320</v>
      </c>
      <c r="M238" s="3" t="s">
        <v>552</v>
      </c>
    </row>
    <row r="239" spans="1:19" x14ac:dyDescent="0.25">
      <c r="A239" t="s">
        <v>306</v>
      </c>
      <c r="D239" t="s">
        <v>307</v>
      </c>
      <c r="M239" t="s">
        <v>553</v>
      </c>
    </row>
    <row r="240" spans="1:19" x14ac:dyDescent="0.25">
      <c r="A240" t="s">
        <v>310</v>
      </c>
      <c r="C240">
        <v>22.8</v>
      </c>
      <c r="D240" s="43">
        <f>(C240+C241)/2</f>
        <v>26.1</v>
      </c>
      <c r="F240" t="s">
        <v>547</v>
      </c>
      <c r="M240" s="3" t="s">
        <v>554</v>
      </c>
    </row>
    <row r="241" spans="1:13" x14ac:dyDescent="0.25">
      <c r="A241" t="s">
        <v>314</v>
      </c>
      <c r="C241">
        <v>29.4</v>
      </c>
      <c r="D241" s="1"/>
      <c r="F241" s="44">
        <f>D240+C238</f>
        <v>26.1</v>
      </c>
      <c r="G241" t="s">
        <v>16</v>
      </c>
      <c r="M241" t="s">
        <v>555</v>
      </c>
    </row>
    <row r="242" spans="1:13" x14ac:dyDescent="0.25">
      <c r="M242" s="3" t="s">
        <v>556</v>
      </c>
    </row>
    <row r="243" spans="1:13" x14ac:dyDescent="0.25">
      <c r="A243" s="507" t="s">
        <v>102</v>
      </c>
      <c r="B243" s="403"/>
      <c r="C243" s="403"/>
      <c r="D243" s="403"/>
      <c r="E243" s="403"/>
      <c r="F243" s="403"/>
      <c r="G243" s="403"/>
      <c r="H243" s="403"/>
      <c r="I243" s="403"/>
      <c r="M243" t="s">
        <v>557</v>
      </c>
    </row>
    <row r="244" spans="1:13" x14ac:dyDescent="0.25">
      <c r="A244" t="s">
        <v>336</v>
      </c>
      <c r="M244" s="3" t="s">
        <v>558</v>
      </c>
    </row>
    <row r="245" spans="1:13" x14ac:dyDescent="0.25">
      <c r="C245" t="s">
        <v>301</v>
      </c>
      <c r="M245" t="s">
        <v>559</v>
      </c>
    </row>
    <row r="246" spans="1:13" x14ac:dyDescent="0.25">
      <c r="A246" s="1" t="s">
        <v>338</v>
      </c>
      <c r="B246" s="1"/>
      <c r="C246">
        <v>180</v>
      </c>
      <c r="M246" s="3" t="s">
        <v>560</v>
      </c>
    </row>
    <row r="247" spans="1:13" x14ac:dyDescent="0.25">
      <c r="A247" t="s">
        <v>306</v>
      </c>
      <c r="D247" t="s">
        <v>339</v>
      </c>
      <c r="M247" t="s">
        <v>561</v>
      </c>
    </row>
    <row r="248" spans="1:13" x14ac:dyDescent="0.25">
      <c r="A248" t="s">
        <v>310</v>
      </c>
      <c r="C248">
        <v>22.8</v>
      </c>
      <c r="D248" s="43">
        <f>(C248+C249)/2</f>
        <v>26.1</v>
      </c>
      <c r="F248" t="s">
        <v>547</v>
      </c>
      <c r="M248" s="3" t="s">
        <v>562</v>
      </c>
    </row>
    <row r="249" spans="1:13" x14ac:dyDescent="0.25">
      <c r="A249" t="s">
        <v>314</v>
      </c>
      <c r="C249">
        <v>29.4</v>
      </c>
      <c r="D249" s="1"/>
      <c r="F249" s="44">
        <f>D248+C246</f>
        <v>206.1</v>
      </c>
      <c r="G249" t="s">
        <v>16</v>
      </c>
    </row>
    <row r="251" spans="1:13" x14ac:dyDescent="0.25">
      <c r="A251" s="507" t="s">
        <v>343</v>
      </c>
      <c r="B251" s="403"/>
      <c r="C251" s="403"/>
      <c r="D251" s="403"/>
      <c r="E251" s="403"/>
      <c r="F251" s="403"/>
      <c r="G251" s="403"/>
      <c r="H251" s="403"/>
      <c r="I251" s="403"/>
    </row>
    <row r="252" spans="1:13" x14ac:dyDescent="0.25">
      <c r="A252" t="s">
        <v>345</v>
      </c>
    </row>
    <row r="253" spans="1:13" x14ac:dyDescent="0.25">
      <c r="C253" t="s">
        <v>301</v>
      </c>
    </row>
    <row r="254" spans="1:13" x14ac:dyDescent="0.25">
      <c r="A254" s="421" t="s">
        <v>346</v>
      </c>
      <c r="B254" s="421"/>
      <c r="C254">
        <v>284</v>
      </c>
    </row>
    <row r="255" spans="1:13" x14ac:dyDescent="0.25">
      <c r="A255" t="s">
        <v>306</v>
      </c>
      <c r="D255" t="s">
        <v>339</v>
      </c>
    </row>
    <row r="256" spans="1:13" x14ac:dyDescent="0.25">
      <c r="A256" t="s">
        <v>310</v>
      </c>
      <c r="C256">
        <v>22.8</v>
      </c>
      <c r="D256" s="43">
        <f>(C256+C257)/2</f>
        <v>26.1</v>
      </c>
      <c r="F256" t="s">
        <v>547</v>
      </c>
    </row>
    <row r="257" spans="1:9" x14ac:dyDescent="0.25">
      <c r="A257" t="s">
        <v>314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 x14ac:dyDescent="0.25">
      <c r="A259" s="507" t="s">
        <v>216</v>
      </c>
      <c r="B259" s="403"/>
      <c r="C259" s="403"/>
      <c r="D259" s="403"/>
      <c r="E259" s="403"/>
      <c r="F259" s="403"/>
      <c r="G259" s="403"/>
      <c r="H259" s="403"/>
      <c r="I259" s="403"/>
    </row>
    <row r="260" spans="1:9" x14ac:dyDescent="0.25">
      <c r="A260" t="s">
        <v>348</v>
      </c>
    </row>
    <row r="261" spans="1:9" x14ac:dyDescent="0.25">
      <c r="C261" t="s">
        <v>301</v>
      </c>
    </row>
    <row r="262" spans="1:9" x14ac:dyDescent="0.25">
      <c r="A262" s="421" t="s">
        <v>349</v>
      </c>
      <c r="B262" s="421"/>
      <c r="C262">
        <v>181</v>
      </c>
    </row>
    <row r="263" spans="1:9" x14ac:dyDescent="0.25">
      <c r="A263" t="s">
        <v>306</v>
      </c>
      <c r="D263" t="s">
        <v>339</v>
      </c>
    </row>
    <row r="264" spans="1:9" x14ac:dyDescent="0.25">
      <c r="A264" t="s">
        <v>310</v>
      </c>
      <c r="C264">
        <v>22.8</v>
      </c>
      <c r="D264" s="43">
        <f>(C264+C265)/2</f>
        <v>26.1</v>
      </c>
      <c r="F264" t="s">
        <v>547</v>
      </c>
    </row>
    <row r="265" spans="1:9" x14ac:dyDescent="0.25">
      <c r="A265" t="s">
        <v>314</v>
      </c>
      <c r="C265">
        <v>29.4</v>
      </c>
      <c r="D265" s="1"/>
      <c r="F265" s="44">
        <f>D264+C262</f>
        <v>207.1</v>
      </c>
      <c r="G265" t="s">
        <v>16</v>
      </c>
    </row>
    <row r="267" spans="1:9" x14ac:dyDescent="0.25">
      <c r="A267" s="507" t="s">
        <v>149</v>
      </c>
      <c r="B267" s="403"/>
      <c r="C267" s="403"/>
      <c r="D267" s="403"/>
      <c r="E267" s="403"/>
      <c r="F267" s="403"/>
      <c r="G267" s="403"/>
      <c r="H267" s="403"/>
      <c r="I267" s="403"/>
    </row>
    <row r="268" spans="1:9" x14ac:dyDescent="0.25">
      <c r="A268" s="41" t="s">
        <v>350</v>
      </c>
      <c r="B268" s="41"/>
      <c r="C268" s="41"/>
      <c r="D268" s="41"/>
      <c r="E268" s="41"/>
      <c r="F268" s="41"/>
      <c r="G268" s="41"/>
      <c r="H268" s="41"/>
      <c r="I268" s="41"/>
    </row>
    <row r="269" spans="1:9" x14ac:dyDescent="0.25">
      <c r="A269" t="s">
        <v>351</v>
      </c>
    </row>
    <row r="270" spans="1:9" x14ac:dyDescent="0.25">
      <c r="C270" t="s">
        <v>301</v>
      </c>
    </row>
    <row r="271" spans="1:9" x14ac:dyDescent="0.25">
      <c r="A271" s="1" t="s">
        <v>352</v>
      </c>
      <c r="B271" s="1"/>
      <c r="C271">
        <v>117</v>
      </c>
    </row>
    <row r="272" spans="1:9" x14ac:dyDescent="0.25">
      <c r="A272" t="s">
        <v>306</v>
      </c>
      <c r="D272" t="s">
        <v>339</v>
      </c>
    </row>
    <row r="273" spans="1:9" x14ac:dyDescent="0.25">
      <c r="A273" t="s">
        <v>310</v>
      </c>
      <c r="C273">
        <v>22.8</v>
      </c>
      <c r="D273" s="43">
        <f>(C273+C274)/2</f>
        <v>26.1</v>
      </c>
      <c r="F273" t="s">
        <v>547</v>
      </c>
    </row>
    <row r="274" spans="1:9" x14ac:dyDescent="0.25">
      <c r="A274" t="s">
        <v>314</v>
      </c>
      <c r="C274">
        <v>29.4</v>
      </c>
      <c r="D274" s="1"/>
      <c r="F274" s="44">
        <f>D273+C271</f>
        <v>143.1</v>
      </c>
      <c r="G274" t="s">
        <v>16</v>
      </c>
    </row>
    <row r="276" spans="1:9" x14ac:dyDescent="0.25">
      <c r="A276" s="41" t="s">
        <v>353</v>
      </c>
      <c r="B276" s="41"/>
      <c r="C276" s="41"/>
      <c r="D276" s="41"/>
      <c r="E276" s="41"/>
      <c r="F276" s="41"/>
      <c r="G276" s="41"/>
      <c r="H276" s="41"/>
      <c r="I276" s="41"/>
    </row>
    <row r="277" spans="1:9" x14ac:dyDescent="0.25">
      <c r="A277" t="s">
        <v>354</v>
      </c>
    </row>
    <row r="278" spans="1:9" x14ac:dyDescent="0.25">
      <c r="C278" t="s">
        <v>301</v>
      </c>
    </row>
    <row r="279" spans="1:9" x14ac:dyDescent="0.25">
      <c r="A279" s="1" t="s">
        <v>355</v>
      </c>
      <c r="B279" s="1"/>
      <c r="C279" s="44">
        <v>707.2</v>
      </c>
    </row>
    <row r="280" spans="1:9" x14ac:dyDescent="0.25">
      <c r="A280" t="s">
        <v>306</v>
      </c>
      <c r="D280" t="s">
        <v>339</v>
      </c>
    </row>
    <row r="281" spans="1:9" x14ac:dyDescent="0.25">
      <c r="A281" t="s">
        <v>310</v>
      </c>
      <c r="C281">
        <v>22.8</v>
      </c>
      <c r="D281" s="43">
        <f>(C281+C282)/2</f>
        <v>26.1</v>
      </c>
      <c r="F281" t="s">
        <v>547</v>
      </c>
    </row>
    <row r="282" spans="1:9" x14ac:dyDescent="0.25">
      <c r="A282" t="s">
        <v>314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 x14ac:dyDescent="0.3">
      <c r="A285" s="45" t="s">
        <v>563</v>
      </c>
      <c r="B285" s="45"/>
      <c r="C285" s="46"/>
      <c r="D285" s="46"/>
      <c r="E285" s="46"/>
      <c r="F285" s="46"/>
      <c r="G285" s="46"/>
      <c r="H285" s="46"/>
      <c r="I285" s="46"/>
    </row>
    <row r="286" spans="1:9" x14ac:dyDescent="0.25">
      <c r="A286" s="505" t="s">
        <v>297</v>
      </c>
      <c r="B286" s="506"/>
      <c r="C286" s="506"/>
      <c r="D286" s="506"/>
      <c r="E286" s="506"/>
      <c r="F286" s="506"/>
      <c r="G286" s="506"/>
      <c r="H286" s="506"/>
      <c r="I286" s="506"/>
    </row>
    <row r="287" spans="1:9" x14ac:dyDescent="0.25">
      <c r="A287" t="s">
        <v>298</v>
      </c>
    </row>
    <row r="288" spans="1:9" x14ac:dyDescent="0.25">
      <c r="A288" s="2" t="s">
        <v>300</v>
      </c>
    </row>
    <row r="289" spans="1:9" x14ac:dyDescent="0.25">
      <c r="A289" t="s">
        <v>302</v>
      </c>
    </row>
    <row r="290" spans="1:9" x14ac:dyDescent="0.25">
      <c r="A290" s="2" t="s">
        <v>305</v>
      </c>
    </row>
    <row r="291" spans="1:9" x14ac:dyDescent="0.25">
      <c r="A291" t="s">
        <v>308</v>
      </c>
      <c r="H291">
        <v>60</v>
      </c>
      <c r="I291" t="s">
        <v>309</v>
      </c>
    </row>
    <row r="292" spans="1:9" x14ac:dyDescent="0.25">
      <c r="H292">
        <f>H291/3.6</f>
        <v>16.666666666666668</v>
      </c>
      <c r="I292" t="s">
        <v>312</v>
      </c>
    </row>
    <row r="293" spans="1:9" x14ac:dyDescent="0.25">
      <c r="A293" t="s">
        <v>315</v>
      </c>
      <c r="B293">
        <v>5400</v>
      </c>
      <c r="C293" t="s">
        <v>316</v>
      </c>
    </row>
    <row r="295" spans="1:9" x14ac:dyDescent="0.25">
      <c r="A295" s="47" t="s">
        <v>319</v>
      </c>
      <c r="B295" s="47"/>
      <c r="C295" s="47"/>
      <c r="D295" s="47">
        <f>(B293*H292)/10^3</f>
        <v>90</v>
      </c>
      <c r="E295" s="47" t="s">
        <v>16</v>
      </c>
    </row>
    <row r="296" spans="1:9" x14ac:dyDescent="0.25">
      <c r="A296" s="505" t="s">
        <v>564</v>
      </c>
      <c r="B296" s="506"/>
      <c r="C296" s="506"/>
      <c r="D296" s="506"/>
      <c r="E296" s="506"/>
      <c r="F296" s="506"/>
      <c r="G296" s="506"/>
      <c r="H296" s="506"/>
      <c r="I296" s="506"/>
    </row>
    <row r="297" spans="1:9" x14ac:dyDescent="0.25">
      <c r="A297" s="2" t="s">
        <v>323</v>
      </c>
      <c r="B297" s="2"/>
      <c r="C297" s="2"/>
      <c r="E297" t="s">
        <v>324</v>
      </c>
    </row>
    <row r="298" spans="1:9" x14ac:dyDescent="0.25">
      <c r="A298">
        <v>200</v>
      </c>
      <c r="B298" t="s">
        <v>326</v>
      </c>
      <c r="E298">
        <v>35</v>
      </c>
      <c r="F298" t="s">
        <v>327</v>
      </c>
      <c r="H298">
        <f>E298/100</f>
        <v>0.35</v>
      </c>
      <c r="I298" t="s">
        <v>328</v>
      </c>
    </row>
    <row r="300" spans="1:9" x14ac:dyDescent="0.25">
      <c r="A300" t="s">
        <v>331</v>
      </c>
    </row>
    <row r="301" spans="1:9" x14ac:dyDescent="0.25">
      <c r="A301" s="47" t="s">
        <v>333</v>
      </c>
      <c r="B301" s="48">
        <f>A298/H298</f>
        <v>571.42857142857144</v>
      </c>
      <c r="C301" s="47" t="s">
        <v>16</v>
      </c>
      <c r="D301" t="s">
        <v>334</v>
      </c>
    </row>
    <row r="303" spans="1:9" x14ac:dyDescent="0.25">
      <c r="A303" s="2" t="s">
        <v>337</v>
      </c>
      <c r="B303" s="2"/>
      <c r="C303" s="2"/>
      <c r="E303" t="s">
        <v>324</v>
      </c>
    </row>
    <row r="304" spans="1:9" x14ac:dyDescent="0.25">
      <c r="A304">
        <v>1500</v>
      </c>
      <c r="B304" t="s">
        <v>326</v>
      </c>
      <c r="E304">
        <v>35</v>
      </c>
      <c r="F304" t="s">
        <v>327</v>
      </c>
      <c r="H304">
        <f>E304/100</f>
        <v>0.35</v>
      </c>
      <c r="I304" t="s">
        <v>328</v>
      </c>
    </row>
    <row r="306" spans="1:4" x14ac:dyDescent="0.25">
      <c r="A306" t="s">
        <v>340</v>
      </c>
    </row>
    <row r="307" spans="1:4" x14ac:dyDescent="0.25">
      <c r="A307" s="47" t="s">
        <v>333</v>
      </c>
      <c r="B307" s="48">
        <f>A304/H304</f>
        <v>4285.7142857142862</v>
      </c>
      <c r="C307" s="47" t="s">
        <v>16</v>
      </c>
      <c r="D307" t="s">
        <v>341</v>
      </c>
    </row>
    <row r="353" spans="1:23" x14ac:dyDescent="0.25">
      <c r="A353" s="417" t="s">
        <v>565</v>
      </c>
      <c r="B353" s="504"/>
      <c r="C353" s="504"/>
      <c r="D353" s="504"/>
      <c r="E353" s="504"/>
      <c r="F353" s="504"/>
      <c r="G353" s="504"/>
      <c r="H353" s="504"/>
      <c r="I353" s="504"/>
      <c r="L353" t="s">
        <v>566</v>
      </c>
    </row>
    <row r="354" spans="1:23" x14ac:dyDescent="0.25">
      <c r="A354" s="24" t="s">
        <v>519</v>
      </c>
      <c r="B354" s="24"/>
      <c r="C354" s="24" t="s">
        <v>520</v>
      </c>
      <c r="D354" s="24"/>
      <c r="E354" s="24" t="s">
        <v>521</v>
      </c>
      <c r="F354" s="24"/>
      <c r="G354" s="24" t="s">
        <v>522</v>
      </c>
      <c r="H354" s="24"/>
      <c r="I354" s="16" t="s">
        <v>523</v>
      </c>
      <c r="J354" s="69" t="s">
        <v>478</v>
      </c>
      <c r="K354" s="69"/>
      <c r="L354" t="s">
        <v>567</v>
      </c>
    </row>
    <row r="355" spans="1:23" x14ac:dyDescent="0.25">
      <c r="A355" s="24" t="s">
        <v>480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568</v>
      </c>
      <c r="I355" s="16">
        <v>3.7735849056604001E-2</v>
      </c>
      <c r="J355" s="517">
        <f>18.1*0.85</f>
        <v>15.385000000000002</v>
      </c>
      <c r="K355" s="517"/>
      <c r="L355" s="3" t="s">
        <v>233</v>
      </c>
    </row>
    <row r="356" spans="1:23" x14ac:dyDescent="0.25">
      <c r="A356" s="20" t="s">
        <v>569</v>
      </c>
      <c r="L356" t="s">
        <v>570</v>
      </c>
    </row>
    <row r="357" spans="1:23" x14ac:dyDescent="0.25">
      <c r="A357" s="16" t="s">
        <v>571</v>
      </c>
      <c r="B357" s="16">
        <f>1500*0.6+500*0.3+2200*0.1</f>
        <v>1270</v>
      </c>
      <c r="C357" s="16" t="s">
        <v>208</v>
      </c>
      <c r="L357" s="3" t="s">
        <v>572</v>
      </c>
    </row>
    <row r="358" spans="1:23" x14ac:dyDescent="0.25">
      <c r="A358" t="s">
        <v>573</v>
      </c>
      <c r="L358" t="s">
        <v>574</v>
      </c>
    </row>
    <row r="359" spans="1:23" x14ac:dyDescent="0.25">
      <c r="A359" s="44">
        <f>B357*J355</f>
        <v>19538.95</v>
      </c>
      <c r="B359" t="s">
        <v>575</v>
      </c>
      <c r="C359" t="s">
        <v>576</v>
      </c>
      <c r="L359" s="3" t="s">
        <v>577</v>
      </c>
    </row>
    <row r="361" spans="1:23" x14ac:dyDescent="0.25">
      <c r="A361" s="2" t="s">
        <v>578</v>
      </c>
      <c r="G361" s="32" t="s">
        <v>579</v>
      </c>
      <c r="L361" t="s">
        <v>580</v>
      </c>
    </row>
    <row r="362" spans="1:23" x14ac:dyDescent="0.25">
      <c r="A362" t="s">
        <v>467</v>
      </c>
      <c r="C362" t="s">
        <v>468</v>
      </c>
      <c r="G362" s="32" t="s">
        <v>469</v>
      </c>
      <c r="L362" t="s">
        <v>581</v>
      </c>
    </row>
    <row r="363" spans="1:23" x14ac:dyDescent="0.25">
      <c r="A363" s="39">
        <v>1</v>
      </c>
      <c r="C363" s="31">
        <f>((A363*F414))/E355</f>
        <v>3.3124999999999802E-5</v>
      </c>
      <c r="D363" s="31"/>
    </row>
    <row r="364" spans="1:23" x14ac:dyDescent="0.25">
      <c r="D364" s="1"/>
      <c r="F364" s="1"/>
      <c r="L364" t="s">
        <v>582</v>
      </c>
    </row>
    <row r="365" spans="1:23" x14ac:dyDescent="0.25">
      <c r="A365" s="2" t="s">
        <v>470</v>
      </c>
      <c r="L365" s="3" t="s">
        <v>583</v>
      </c>
    </row>
    <row r="366" spans="1:23" x14ac:dyDescent="0.25">
      <c r="A366" t="s">
        <v>471</v>
      </c>
      <c r="C366" t="s">
        <v>472</v>
      </c>
    </row>
    <row r="367" spans="1:23" x14ac:dyDescent="0.25">
      <c r="A367" s="30">
        <v>1043</v>
      </c>
      <c r="C367" s="502">
        <f>C363*A367</f>
        <v>3.4549374999999792E-2</v>
      </c>
      <c r="D367" s="502"/>
      <c r="E367" t="s">
        <v>259</v>
      </c>
      <c r="L367" s="518" t="s">
        <v>584</v>
      </c>
      <c r="M367" s="518"/>
      <c r="N367" s="518"/>
      <c r="O367" s="518"/>
      <c r="P367" s="518"/>
      <c r="Q367" s="518"/>
      <c r="R367" s="518"/>
      <c r="S367" s="518"/>
      <c r="T367" s="518"/>
      <c r="U367" s="518"/>
      <c r="V367" s="518"/>
      <c r="W367" s="518"/>
    </row>
    <row r="368" spans="1:23" x14ac:dyDescent="0.25">
      <c r="L368" t="s">
        <v>585</v>
      </c>
      <c r="M368" t="s">
        <v>586</v>
      </c>
      <c r="N368" t="s">
        <v>273</v>
      </c>
      <c r="O368" t="s">
        <v>380</v>
      </c>
    </row>
    <row r="369" spans="1:17" x14ac:dyDescent="0.25">
      <c r="A369" s="20" t="s">
        <v>587</v>
      </c>
      <c r="B369" s="20"/>
      <c r="G369" s="20" t="s">
        <v>588</v>
      </c>
      <c r="L369">
        <v>2022</v>
      </c>
      <c r="M369">
        <v>100</v>
      </c>
      <c r="N369">
        <v>1860</v>
      </c>
      <c r="O369">
        <v>28000</v>
      </c>
      <c r="Q369" t="s">
        <v>589</v>
      </c>
    </row>
    <row r="370" spans="1:17" x14ac:dyDescent="0.25">
      <c r="A370" s="16" t="s">
        <v>571</v>
      </c>
      <c r="B370" s="16">
        <f>1500*0.8+2200*0.1+500*0.1</f>
        <v>1470</v>
      </c>
      <c r="C370" s="16" t="s">
        <v>208</v>
      </c>
      <c r="G370" s="16" t="s">
        <v>571</v>
      </c>
      <c r="H370" s="16">
        <f>1500*0.7+2200*0.1+500*0.2</f>
        <v>1370</v>
      </c>
      <c r="I370" s="16" t="s">
        <v>208</v>
      </c>
      <c r="L370">
        <v>2012</v>
      </c>
      <c r="M370">
        <v>90</v>
      </c>
      <c r="N370">
        <v>1860</v>
      </c>
      <c r="O370">
        <v>28000</v>
      </c>
    </row>
    <row r="371" spans="1:17" x14ac:dyDescent="0.25">
      <c r="A371" t="s">
        <v>573</v>
      </c>
      <c r="G371" t="s">
        <v>573</v>
      </c>
      <c r="L371">
        <v>2002</v>
      </c>
      <c r="M371">
        <v>80</v>
      </c>
      <c r="N371">
        <v>1860</v>
      </c>
      <c r="O371">
        <v>28000</v>
      </c>
    </row>
    <row r="372" spans="1:17" x14ac:dyDescent="0.25">
      <c r="A372" s="44">
        <f>B370*J355</f>
        <v>22615.95</v>
      </c>
      <c r="B372" t="s">
        <v>90</v>
      </c>
      <c r="C372" t="s">
        <v>576</v>
      </c>
      <c r="G372" s="44">
        <f>H370*J355</f>
        <v>21077.45</v>
      </c>
      <c r="H372" t="s">
        <v>90</v>
      </c>
      <c r="I372" t="s">
        <v>576</v>
      </c>
      <c r="L372">
        <v>1992</v>
      </c>
      <c r="M372">
        <v>70</v>
      </c>
      <c r="N372">
        <v>1860</v>
      </c>
      <c r="O372">
        <v>28000</v>
      </c>
    </row>
    <row r="373" spans="1:17" x14ac:dyDescent="0.25">
      <c r="L373">
        <v>1982</v>
      </c>
      <c r="M373">
        <v>60</v>
      </c>
      <c r="N373">
        <v>1860</v>
      </c>
      <c r="O373">
        <v>28000</v>
      </c>
    </row>
    <row r="374" spans="1:17" x14ac:dyDescent="0.25">
      <c r="A374" s="20" t="s">
        <v>590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 x14ac:dyDescent="0.25">
      <c r="A375" s="16" t="s">
        <v>571</v>
      </c>
      <c r="B375" s="16">
        <f>2200*0.7+500*0.2+1500*0.1</f>
        <v>1790</v>
      </c>
      <c r="C375" s="16" t="s">
        <v>208</v>
      </c>
      <c r="L375">
        <v>1962</v>
      </c>
      <c r="M375">
        <v>40</v>
      </c>
      <c r="N375">
        <v>1790</v>
      </c>
      <c r="O375">
        <v>27539</v>
      </c>
    </row>
    <row r="376" spans="1:17" x14ac:dyDescent="0.25">
      <c r="A376" t="s">
        <v>573</v>
      </c>
      <c r="F376" t="s">
        <v>591</v>
      </c>
      <c r="L376">
        <v>1952</v>
      </c>
      <c r="M376">
        <v>30</v>
      </c>
      <c r="N376">
        <v>1470</v>
      </c>
      <c r="O376">
        <v>22616</v>
      </c>
    </row>
    <row r="377" spans="1:17" x14ac:dyDescent="0.25">
      <c r="A377" s="44">
        <f>B375*J355</f>
        <v>27539.15</v>
      </c>
      <c r="B377" t="s">
        <v>90</v>
      </c>
      <c r="C377" t="s">
        <v>576</v>
      </c>
      <c r="L377">
        <v>1942</v>
      </c>
      <c r="M377">
        <v>20</v>
      </c>
      <c r="N377">
        <v>1370</v>
      </c>
      <c r="O377">
        <v>21077</v>
      </c>
    </row>
    <row r="378" spans="1:17" x14ac:dyDescent="0.25">
      <c r="L378">
        <v>1932</v>
      </c>
      <c r="M378">
        <v>10</v>
      </c>
      <c r="N378">
        <v>1370</v>
      </c>
      <c r="O378">
        <v>21077</v>
      </c>
    </row>
    <row r="379" spans="1:17" x14ac:dyDescent="0.25">
      <c r="A379" s="20" t="s">
        <v>592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 x14ac:dyDescent="0.25">
      <c r="A380" s="16" t="s">
        <v>571</v>
      </c>
      <c r="B380" s="16">
        <f>2200*0.8+500*0.2</f>
        <v>1860</v>
      </c>
      <c r="C380" s="16" t="s">
        <v>208</v>
      </c>
      <c r="L380">
        <v>1912</v>
      </c>
      <c r="M380">
        <v>0</v>
      </c>
      <c r="N380">
        <v>1270</v>
      </c>
      <c r="O380">
        <v>19539</v>
      </c>
    </row>
    <row r="381" spans="1:17" x14ac:dyDescent="0.25">
      <c r="A381" t="s">
        <v>593</v>
      </c>
      <c r="L381">
        <v>1902</v>
      </c>
      <c r="M381">
        <v>0</v>
      </c>
      <c r="N381">
        <v>1270</v>
      </c>
      <c r="O381">
        <v>19539</v>
      </c>
    </row>
    <row r="382" spans="1:17" x14ac:dyDescent="0.25">
      <c r="A382" s="44">
        <f>B380*J355</f>
        <v>28616.100000000002</v>
      </c>
      <c r="B382" t="s">
        <v>575</v>
      </c>
      <c r="C382" t="s">
        <v>594</v>
      </c>
    </row>
    <row r="383" spans="1:17" x14ac:dyDescent="0.25">
      <c r="A383" t="s">
        <v>595</v>
      </c>
      <c r="B383">
        <f>B380*A385</f>
        <v>28000</v>
      </c>
    </row>
    <row r="384" spans="1:17" x14ac:dyDescent="0.25">
      <c r="A384" t="s">
        <v>596</v>
      </c>
    </row>
    <row r="385" spans="1:22" x14ac:dyDescent="0.25">
      <c r="A385" s="44">
        <f>E355/B380</f>
        <v>15.053763440860216</v>
      </c>
      <c r="B385" t="s">
        <v>87</v>
      </c>
    </row>
    <row r="386" spans="1:22" x14ac:dyDescent="0.25">
      <c r="A386" s="20" t="s">
        <v>597</v>
      </c>
      <c r="B386" s="20"/>
      <c r="C386" s="20"/>
      <c r="D386" s="20"/>
      <c r="E386" s="20"/>
      <c r="F386" s="20"/>
      <c r="G386" s="20"/>
    </row>
    <row r="388" spans="1:22" x14ac:dyDescent="0.25">
      <c r="A388" s="417" t="s">
        <v>598</v>
      </c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t="s">
        <v>599</v>
      </c>
    </row>
    <row r="389" spans="1:22" x14ac:dyDescent="0.25">
      <c r="A389" s="24" t="s">
        <v>519</v>
      </c>
      <c r="B389" s="24"/>
      <c r="C389" s="24" t="s">
        <v>520</v>
      </c>
      <c r="D389" s="24"/>
      <c r="E389" s="24" t="s">
        <v>521</v>
      </c>
      <c r="F389" s="24"/>
      <c r="G389" s="24" t="s">
        <v>522</v>
      </c>
      <c r="H389" s="24"/>
      <c r="I389" s="16" t="s">
        <v>523</v>
      </c>
      <c r="J389" s="69" t="s">
        <v>478</v>
      </c>
      <c r="K389" s="69"/>
      <c r="L389" s="3" t="s">
        <v>600</v>
      </c>
      <c r="V389" t="s">
        <v>601</v>
      </c>
    </row>
    <row r="390" spans="1:22" x14ac:dyDescent="0.25">
      <c r="A390" s="24" t="s">
        <v>480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568</v>
      </c>
      <c r="I390" s="16">
        <v>3.7735849056604001E-2</v>
      </c>
      <c r="J390" s="83">
        <f>18.1*0.85</f>
        <v>15.385000000000002</v>
      </c>
      <c r="K390" s="83"/>
      <c r="L390" s="3" t="s">
        <v>602</v>
      </c>
      <c r="V390" t="s">
        <v>603</v>
      </c>
    </row>
    <row r="391" spans="1:22" x14ac:dyDescent="0.25">
      <c r="J391" t="s">
        <v>604</v>
      </c>
      <c r="L391" t="s">
        <v>605</v>
      </c>
    </row>
    <row r="392" spans="1:22" x14ac:dyDescent="0.25">
      <c r="A392" s="4" t="s">
        <v>344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606</v>
      </c>
    </row>
    <row r="393" spans="1:22" x14ac:dyDescent="0.25">
      <c r="A393" s="65" t="s">
        <v>323</v>
      </c>
      <c r="B393" s="2"/>
      <c r="C393" s="2"/>
      <c r="E393" t="s">
        <v>324</v>
      </c>
      <c r="I393" s="8"/>
    </row>
    <row r="394" spans="1:22" x14ac:dyDescent="0.25">
      <c r="A394" s="7">
        <v>365</v>
      </c>
      <c r="B394" t="s">
        <v>326</v>
      </c>
      <c r="E394">
        <v>35</v>
      </c>
      <c r="F394" t="s">
        <v>327</v>
      </c>
      <c r="H394">
        <f>E394/100</f>
        <v>0.35</v>
      </c>
      <c r="I394" s="8" t="s">
        <v>328</v>
      </c>
    </row>
    <row r="395" spans="1:22" x14ac:dyDescent="0.25">
      <c r="A395" s="7"/>
      <c r="I395" s="8"/>
    </row>
    <row r="396" spans="1:22" x14ac:dyDescent="0.25">
      <c r="A396" s="7" t="s">
        <v>347</v>
      </c>
      <c r="I396" s="8"/>
    </row>
    <row r="397" spans="1:22" x14ac:dyDescent="0.25">
      <c r="A397" s="66" t="s">
        <v>333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 x14ac:dyDescent="0.25">
      <c r="A399" s="16" t="s">
        <v>571</v>
      </c>
      <c r="B399" s="16">
        <v>1900</v>
      </c>
      <c r="C399" s="16" t="s">
        <v>208</v>
      </c>
    </row>
    <row r="400" spans="1:22" x14ac:dyDescent="0.25">
      <c r="A400" t="s">
        <v>607</v>
      </c>
    </row>
    <row r="401" spans="1:11" x14ac:dyDescent="0.25">
      <c r="A401" s="58">
        <f>B399*J390</f>
        <v>29231.500000000004</v>
      </c>
      <c r="B401" s="58" t="s">
        <v>90</v>
      </c>
      <c r="C401" t="s">
        <v>594</v>
      </c>
    </row>
    <row r="403" spans="1:11" x14ac:dyDescent="0.25">
      <c r="A403" t="s">
        <v>608</v>
      </c>
    </row>
    <row r="404" spans="1:11" x14ac:dyDescent="0.25">
      <c r="A404" s="57" t="s">
        <v>108</v>
      </c>
      <c r="B404" s="70">
        <f>E390/B399</f>
        <v>14.736842105263158</v>
      </c>
      <c r="C404" s="57" t="s">
        <v>87</v>
      </c>
    </row>
    <row r="406" spans="1:11" x14ac:dyDescent="0.25">
      <c r="A406" s="2" t="s">
        <v>578</v>
      </c>
      <c r="G406" s="32" t="s">
        <v>609</v>
      </c>
    </row>
    <row r="407" spans="1:11" x14ac:dyDescent="0.25">
      <c r="A407" t="s">
        <v>467</v>
      </c>
      <c r="C407" t="s">
        <v>468</v>
      </c>
      <c r="G407" s="32" t="s">
        <v>469</v>
      </c>
    </row>
    <row r="408" spans="1:11" x14ac:dyDescent="0.25">
      <c r="A408" s="39">
        <v>1</v>
      </c>
      <c r="C408" s="31">
        <f>((A408*F414))/E390</f>
        <v>3.3124999999999802E-5</v>
      </c>
      <c r="D408" s="31"/>
    </row>
    <row r="409" spans="1:11" x14ac:dyDescent="0.25">
      <c r="D409" s="1"/>
      <c r="F409" s="1"/>
    </row>
    <row r="410" spans="1:11" x14ac:dyDescent="0.25">
      <c r="A410" s="2" t="s">
        <v>470</v>
      </c>
    </row>
    <row r="411" spans="1:11" x14ac:dyDescent="0.25">
      <c r="A411" t="s">
        <v>471</v>
      </c>
      <c r="C411" t="s">
        <v>472</v>
      </c>
    </row>
    <row r="412" spans="1:11" x14ac:dyDescent="0.25">
      <c r="A412" s="30">
        <v>1043</v>
      </c>
      <c r="C412" s="31">
        <f>C408*A412</f>
        <v>3.4549374999999792E-2</v>
      </c>
      <c r="D412" s="31"/>
      <c r="E412" t="s">
        <v>259</v>
      </c>
    </row>
    <row r="413" spans="1:11" x14ac:dyDescent="0.25">
      <c r="A413" s="2"/>
    </row>
    <row r="414" spans="1:11" x14ac:dyDescent="0.25">
      <c r="A414" s="24" t="s">
        <v>480</v>
      </c>
      <c r="B414" s="24"/>
      <c r="C414" s="25">
        <f>E394/I390</f>
        <v>927.49999999999443</v>
      </c>
      <c r="D414" s="25" t="s">
        <v>450</v>
      </c>
      <c r="E414" s="25"/>
      <c r="F414" s="25">
        <f>C414/10^3</f>
        <v>0.92749999999999444</v>
      </c>
      <c r="G414" s="24" t="s">
        <v>451</v>
      </c>
    </row>
    <row r="416" spans="1:11" x14ac:dyDescent="0.25">
      <c r="A416" s="514" t="s">
        <v>228</v>
      </c>
      <c r="B416" s="515"/>
      <c r="C416" s="515"/>
      <c r="D416" s="515"/>
      <c r="E416" s="515"/>
      <c r="F416" s="515"/>
      <c r="G416" s="515"/>
      <c r="H416" s="515"/>
      <c r="I416" s="515"/>
      <c r="J416" s="515"/>
      <c r="K416" s="516"/>
    </row>
    <row r="417" spans="1:11" x14ac:dyDescent="0.25">
      <c r="A417" s="71" t="s">
        <v>204</v>
      </c>
      <c r="B417" s="16">
        <v>2500</v>
      </c>
      <c r="C417" s="16" t="s">
        <v>208</v>
      </c>
      <c r="K417" s="8"/>
    </row>
    <row r="418" spans="1:11" x14ac:dyDescent="0.25">
      <c r="A418" s="7"/>
      <c r="K418" s="8"/>
    </row>
    <row r="419" spans="1:11" x14ac:dyDescent="0.25">
      <c r="A419" s="7" t="s">
        <v>610</v>
      </c>
      <c r="B419" t="s">
        <v>611</v>
      </c>
      <c r="C419" t="s">
        <v>16</v>
      </c>
      <c r="K419" s="8"/>
    </row>
    <row r="420" spans="1:11" x14ac:dyDescent="0.25">
      <c r="A420" s="7"/>
      <c r="K420" s="8"/>
    </row>
    <row r="421" spans="1:11" x14ac:dyDescent="0.25">
      <c r="A421" s="72" t="s">
        <v>519</v>
      </c>
      <c r="B421" s="24"/>
      <c r="C421" s="24" t="s">
        <v>520</v>
      </c>
      <c r="D421" s="24"/>
      <c r="E421" s="24" t="s">
        <v>521</v>
      </c>
      <c r="F421" s="24"/>
      <c r="G421" s="24" t="s">
        <v>522</v>
      </c>
      <c r="H421" s="24"/>
      <c r="I421" s="16" t="s">
        <v>523</v>
      </c>
      <c r="J421" s="25" t="s">
        <v>478</v>
      </c>
      <c r="K421" s="73"/>
    </row>
    <row r="422" spans="1:11" x14ac:dyDescent="0.25">
      <c r="A422" s="72" t="s">
        <v>480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 x14ac:dyDescent="0.25">
      <c r="A423" s="7"/>
      <c r="K423" s="8"/>
    </row>
    <row r="424" spans="1:11" x14ac:dyDescent="0.25">
      <c r="A424" s="72" t="s">
        <v>480</v>
      </c>
      <c r="B424" s="24"/>
      <c r="C424" s="25">
        <f>G422/I422</f>
        <v>927.49999999999443</v>
      </c>
      <c r="D424" s="25" t="s">
        <v>450</v>
      </c>
      <c r="E424" s="25"/>
      <c r="F424" s="25">
        <f>C424/10^3</f>
        <v>0.92749999999999444</v>
      </c>
      <c r="G424" s="24" t="s">
        <v>451</v>
      </c>
      <c r="K424" s="8"/>
    </row>
    <row r="425" spans="1:11" x14ac:dyDescent="0.25">
      <c r="A425" s="7"/>
      <c r="K425" s="8"/>
    </row>
    <row r="426" spans="1:11" x14ac:dyDescent="0.25">
      <c r="A426" s="75" t="s">
        <v>573</v>
      </c>
      <c r="K426" s="8"/>
    </row>
    <row r="427" spans="1:11" x14ac:dyDescent="0.25">
      <c r="A427" s="7">
        <f>B417*J422</f>
        <v>225000</v>
      </c>
      <c r="B427" t="s">
        <v>90</v>
      </c>
      <c r="C427" t="s">
        <v>612</v>
      </c>
      <c r="K427" s="8"/>
    </row>
    <row r="428" spans="1:11" x14ac:dyDescent="0.25">
      <c r="A428" s="7"/>
      <c r="K428" s="8"/>
    </row>
    <row r="429" spans="1:11" x14ac:dyDescent="0.25">
      <c r="A429" s="7" t="s">
        <v>613</v>
      </c>
      <c r="K429" s="8"/>
    </row>
    <row r="430" spans="1:11" x14ac:dyDescent="0.25">
      <c r="A430" s="7">
        <f>E422/B417</f>
        <v>4</v>
      </c>
      <c r="B430" t="s">
        <v>614</v>
      </c>
      <c r="K430" s="8"/>
    </row>
    <row r="431" spans="1:11" x14ac:dyDescent="0.25">
      <c r="A431" s="7"/>
      <c r="K431" s="8"/>
    </row>
    <row r="432" spans="1:11" x14ac:dyDescent="0.25">
      <c r="A432" s="65" t="s">
        <v>538</v>
      </c>
      <c r="K432" s="8"/>
    </row>
    <row r="433" spans="1:18" x14ac:dyDescent="0.25">
      <c r="A433" s="7" t="s">
        <v>512</v>
      </c>
      <c r="C433" t="s">
        <v>488</v>
      </c>
      <c r="K433" s="8"/>
    </row>
    <row r="434" spans="1:18" x14ac:dyDescent="0.25">
      <c r="A434" s="76">
        <v>1</v>
      </c>
      <c r="C434" s="31">
        <f>(A434*F424)/E422</f>
        <v>9.2749999999999449E-5</v>
      </c>
      <c r="D434" s="31"/>
      <c r="K434" s="8"/>
    </row>
    <row r="435" spans="1:18" x14ac:dyDescent="0.25">
      <c r="A435" s="7"/>
      <c r="D435" s="1"/>
      <c r="G435" s="32" t="s">
        <v>615</v>
      </c>
      <c r="K435" s="8"/>
    </row>
    <row r="436" spans="1:18" x14ac:dyDescent="0.25">
      <c r="A436" s="65" t="s">
        <v>470</v>
      </c>
      <c r="G436" s="32" t="s">
        <v>469</v>
      </c>
      <c r="K436" s="8"/>
    </row>
    <row r="437" spans="1:18" x14ac:dyDescent="0.25">
      <c r="A437" s="7" t="s">
        <v>471</v>
      </c>
      <c r="C437" t="s">
        <v>472</v>
      </c>
      <c r="K437" s="8"/>
    </row>
    <row r="438" spans="1:18" x14ac:dyDescent="0.25">
      <c r="A438" s="77">
        <v>4286</v>
      </c>
      <c r="B438" s="10"/>
      <c r="C438" s="64">
        <f>C434*A438</f>
        <v>0.39752649999999762</v>
      </c>
      <c r="D438" s="64"/>
      <c r="E438" s="10" t="s">
        <v>259</v>
      </c>
      <c r="F438" s="10"/>
      <c r="G438" s="10"/>
      <c r="H438" s="10"/>
      <c r="I438" s="10"/>
      <c r="J438" s="10"/>
      <c r="K438" s="11"/>
    </row>
    <row r="440" spans="1:18" x14ac:dyDescent="0.25">
      <c r="A440" s="417" t="s">
        <v>616</v>
      </c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</row>
    <row r="441" spans="1:18" x14ac:dyDescent="0.25">
      <c r="A441" t="s">
        <v>617</v>
      </c>
      <c r="C441">
        <v>43</v>
      </c>
      <c r="D441" t="s">
        <v>271</v>
      </c>
      <c r="E441" t="s">
        <v>618</v>
      </c>
      <c r="F441">
        <v>0.05</v>
      </c>
      <c r="G441" t="s">
        <v>26</v>
      </c>
      <c r="H441" t="s">
        <v>619</v>
      </c>
      <c r="J441" s="86">
        <f>C442*F441*1.15</f>
        <v>0.104673</v>
      </c>
      <c r="M441" t="s">
        <v>620</v>
      </c>
    </row>
    <row r="442" spans="1:18" x14ac:dyDescent="0.25">
      <c r="A442" t="s">
        <v>621</v>
      </c>
      <c r="C442">
        <f>1.23*1.48</f>
        <v>1.8204</v>
      </c>
      <c r="D442" t="s">
        <v>622</v>
      </c>
      <c r="H442" t="s">
        <v>623</v>
      </c>
      <c r="M442" s="3" t="s">
        <v>624</v>
      </c>
    </row>
    <row r="443" spans="1:18" x14ac:dyDescent="0.25">
      <c r="M443" s="20" t="s">
        <v>625</v>
      </c>
      <c r="N443" s="20"/>
      <c r="O443" s="20"/>
      <c r="P443" s="20"/>
      <c r="Q443" s="20"/>
      <c r="R443" s="20"/>
    </row>
    <row r="444" spans="1:18" x14ac:dyDescent="0.25">
      <c r="A444" t="s">
        <v>626</v>
      </c>
      <c r="C444" s="44">
        <f>C441*C442</f>
        <v>78.277200000000008</v>
      </c>
      <c r="D444" t="s">
        <v>90</v>
      </c>
    </row>
    <row r="446" spans="1:18" x14ac:dyDescent="0.25">
      <c r="A446" s="16" t="s">
        <v>571</v>
      </c>
      <c r="B446" s="87">
        <f>C444/J441</f>
        <v>747.82608695652175</v>
      </c>
      <c r="C446" s="16" t="s">
        <v>208</v>
      </c>
    </row>
    <row r="447" spans="1:18" x14ac:dyDescent="0.25">
      <c r="A447" s="72" t="s">
        <v>519</v>
      </c>
      <c r="B447" s="24"/>
      <c r="C447" s="24" t="s">
        <v>520</v>
      </c>
      <c r="D447" s="24"/>
      <c r="E447" s="24" t="s">
        <v>521</v>
      </c>
      <c r="F447" s="24"/>
      <c r="G447" s="24" t="s">
        <v>522</v>
      </c>
      <c r="H447" s="24"/>
      <c r="I447" s="16" t="s">
        <v>523</v>
      </c>
      <c r="J447" s="25" t="s">
        <v>478</v>
      </c>
      <c r="K447" s="73"/>
    </row>
    <row r="448" spans="1:18" x14ac:dyDescent="0.25">
      <c r="A448" s="72" t="s">
        <v>480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 x14ac:dyDescent="0.25">
      <c r="A450" t="s">
        <v>573</v>
      </c>
    </row>
    <row r="451" spans="1:7" x14ac:dyDescent="0.25">
      <c r="A451" s="44">
        <f>J448*B446</f>
        <v>67304.34782608696</v>
      </c>
      <c r="B451" t="s">
        <v>90</v>
      </c>
      <c r="C451" t="s">
        <v>612</v>
      </c>
    </row>
    <row r="453" spans="1:7" x14ac:dyDescent="0.25">
      <c r="A453" t="s">
        <v>627</v>
      </c>
    </row>
    <row r="454" spans="1:7" x14ac:dyDescent="0.25">
      <c r="A454" s="44">
        <f>E448/B446</f>
        <v>13.372093023255815</v>
      </c>
      <c r="B454" t="s">
        <v>87</v>
      </c>
    </row>
    <row r="456" spans="1:7" x14ac:dyDescent="0.25">
      <c r="A456" s="2" t="s">
        <v>538</v>
      </c>
    </row>
    <row r="457" spans="1:7" x14ac:dyDescent="0.25">
      <c r="A457" t="s">
        <v>512</v>
      </c>
      <c r="C457" t="s">
        <v>488</v>
      </c>
    </row>
    <row r="458" spans="1:7" x14ac:dyDescent="0.25">
      <c r="A458" s="39">
        <v>1</v>
      </c>
      <c r="C458" s="31">
        <f>(A458*F424)/E448</f>
        <v>9.2749999999999449E-5</v>
      </c>
      <c r="D458" s="31"/>
    </row>
    <row r="459" spans="1:7" x14ac:dyDescent="0.25">
      <c r="D459" s="1"/>
      <c r="G459" s="32" t="s">
        <v>628</v>
      </c>
    </row>
    <row r="460" spans="1:7" x14ac:dyDescent="0.25">
      <c r="A460" s="2" t="s">
        <v>470</v>
      </c>
      <c r="G460" s="32" t="s">
        <v>469</v>
      </c>
    </row>
    <row r="461" spans="1:7" x14ac:dyDescent="0.25">
      <c r="A461" t="s">
        <v>471</v>
      </c>
      <c r="C461" t="s">
        <v>472</v>
      </c>
    </row>
    <row r="462" spans="1:7" x14ac:dyDescent="0.25">
      <c r="A462" s="30">
        <v>4286</v>
      </c>
      <c r="C462" s="31">
        <f>C458*A462</f>
        <v>0.39752649999999762</v>
      </c>
      <c r="D462" s="31"/>
      <c r="E462" t="s">
        <v>259</v>
      </c>
    </row>
    <row r="470" spans="1:12" x14ac:dyDescent="0.25">
      <c r="A470" s="417" t="s">
        <v>629</v>
      </c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t="s">
        <v>630</v>
      </c>
    </row>
    <row r="471" spans="1:12" x14ac:dyDescent="0.25">
      <c r="A471" s="513" t="s">
        <v>519</v>
      </c>
      <c r="B471" s="513"/>
      <c r="C471" s="513" t="s">
        <v>520</v>
      </c>
      <c r="D471" s="513"/>
      <c r="E471" s="513" t="s">
        <v>521</v>
      </c>
      <c r="F471" s="513"/>
      <c r="G471" s="513" t="s">
        <v>522</v>
      </c>
      <c r="H471" s="513"/>
      <c r="I471" s="16" t="s">
        <v>523</v>
      </c>
      <c r="J471" s="25" t="s">
        <v>478</v>
      </c>
      <c r="K471" s="25"/>
      <c r="L471" t="s">
        <v>631</v>
      </c>
    </row>
    <row r="472" spans="1:12" x14ac:dyDescent="0.25">
      <c r="A472" s="513" t="s">
        <v>480</v>
      </c>
      <c r="B472" s="513"/>
      <c r="C472" s="513">
        <v>10</v>
      </c>
      <c r="D472" s="513"/>
      <c r="E472" s="513">
        <f>C472*1000</f>
        <v>10000</v>
      </c>
      <c r="F472" s="513"/>
      <c r="G472" s="513">
        <v>35</v>
      </c>
      <c r="H472" s="513"/>
      <c r="I472" s="16">
        <v>3.7735849056604001E-2</v>
      </c>
      <c r="J472" s="513">
        <v>90</v>
      </c>
      <c r="K472" s="513"/>
      <c r="L472" s="3" t="s">
        <v>632</v>
      </c>
    </row>
    <row r="473" spans="1:12" x14ac:dyDescent="0.25">
      <c r="A473" t="s">
        <v>494</v>
      </c>
    </row>
    <row r="474" spans="1:12" x14ac:dyDescent="0.25">
      <c r="A474" s="421" t="s">
        <v>473</v>
      </c>
      <c r="B474" s="421"/>
    </row>
    <row r="475" spans="1:12" x14ac:dyDescent="0.25">
      <c r="A475" s="513" t="s">
        <v>480</v>
      </c>
      <c r="B475" s="513"/>
      <c r="C475" s="25">
        <f>G472/I472</f>
        <v>927.49999999999443</v>
      </c>
      <c r="D475" s="25" t="s">
        <v>450</v>
      </c>
      <c r="E475" s="25"/>
      <c r="F475" s="25">
        <f>C475/10^3</f>
        <v>0.92749999999999444</v>
      </c>
      <c r="G475" s="24" t="s">
        <v>451</v>
      </c>
    </row>
    <row r="477" spans="1:12" x14ac:dyDescent="0.25">
      <c r="A477" s="18" t="s">
        <v>273</v>
      </c>
      <c r="B477" s="16">
        <v>500</v>
      </c>
      <c r="C477" s="16" t="s">
        <v>208</v>
      </c>
    </row>
    <row r="478" spans="1:12" x14ac:dyDescent="0.25">
      <c r="A478" t="s">
        <v>528</v>
      </c>
    </row>
    <row r="479" spans="1:12" x14ac:dyDescent="0.25">
      <c r="A479" s="21">
        <f>$E$213/B477</f>
        <v>20</v>
      </c>
      <c r="B479" t="s">
        <v>382</v>
      </c>
      <c r="E479" t="s">
        <v>576</v>
      </c>
    </row>
    <row r="482" spans="1:12" x14ac:dyDescent="0.25">
      <c r="A482" s="2" t="s">
        <v>538</v>
      </c>
      <c r="F482" s="32" t="s">
        <v>633</v>
      </c>
    </row>
    <row r="483" spans="1:12" x14ac:dyDescent="0.25">
      <c r="A483" t="s">
        <v>512</v>
      </c>
      <c r="C483" t="s">
        <v>488</v>
      </c>
      <c r="F483" s="32" t="s">
        <v>469</v>
      </c>
    </row>
    <row r="484" spans="1:12" x14ac:dyDescent="0.25">
      <c r="A484" s="39">
        <v>1</v>
      </c>
      <c r="C484" s="31">
        <f>(A484*F475)/E472</f>
        <v>9.2749999999999449E-5</v>
      </c>
      <c r="D484" s="31"/>
    </row>
    <row r="485" spans="1:12" x14ac:dyDescent="0.25">
      <c r="D485" s="1"/>
    </row>
    <row r="486" spans="1:12" x14ac:dyDescent="0.25">
      <c r="A486" s="2" t="s">
        <v>470</v>
      </c>
    </row>
    <row r="487" spans="1:12" x14ac:dyDescent="0.25">
      <c r="A487" t="s">
        <v>471</v>
      </c>
      <c r="C487" t="s">
        <v>472</v>
      </c>
    </row>
    <row r="488" spans="1:12" x14ac:dyDescent="0.25">
      <c r="A488" s="38">
        <v>4286</v>
      </c>
      <c r="B488" s="10"/>
      <c r="C488" s="64">
        <f>C484*A488</f>
        <v>0.39752649999999762</v>
      </c>
      <c r="D488" s="64"/>
      <c r="E488" s="10" t="s">
        <v>259</v>
      </c>
    </row>
    <row r="490" spans="1:12" x14ac:dyDescent="0.25">
      <c r="A490" s="417" t="s">
        <v>370</v>
      </c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t="s">
        <v>630</v>
      </c>
    </row>
    <row r="491" spans="1:12" x14ac:dyDescent="0.25">
      <c r="A491" t="s">
        <v>634</v>
      </c>
      <c r="L491" s="3" t="s">
        <v>635</v>
      </c>
    </row>
    <row r="493" spans="1:12" x14ac:dyDescent="0.25">
      <c r="A493" s="417" t="s">
        <v>636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t="s">
        <v>630</v>
      </c>
    </row>
    <row r="494" spans="1:12" x14ac:dyDescent="0.25">
      <c r="A494" s="513" t="s">
        <v>519</v>
      </c>
      <c r="B494" s="513"/>
      <c r="C494" s="513" t="s">
        <v>520</v>
      </c>
      <c r="D494" s="513"/>
      <c r="E494" s="513" t="s">
        <v>521</v>
      </c>
      <c r="F494" s="513"/>
      <c r="G494" s="513" t="s">
        <v>522</v>
      </c>
      <c r="H494" s="513"/>
      <c r="I494" s="16" t="s">
        <v>523</v>
      </c>
      <c r="J494" s="25" t="s">
        <v>478</v>
      </c>
      <c r="K494" s="25"/>
      <c r="L494" s="3" t="s">
        <v>637</v>
      </c>
    </row>
    <row r="495" spans="1:12" x14ac:dyDescent="0.25">
      <c r="A495" s="513" t="s">
        <v>480</v>
      </c>
      <c r="B495" s="513"/>
      <c r="C495" s="513">
        <v>10</v>
      </c>
      <c r="D495" s="513"/>
      <c r="E495" s="513">
        <f>C495*1000</f>
        <v>10000</v>
      </c>
      <c r="F495" s="513"/>
      <c r="G495" s="513">
        <v>35</v>
      </c>
      <c r="H495" s="513"/>
      <c r="I495" s="16">
        <v>3.7735849056604001E-2</v>
      </c>
      <c r="J495" s="513">
        <v>90</v>
      </c>
      <c r="K495" s="513"/>
    </row>
    <row r="496" spans="1:12" x14ac:dyDescent="0.25">
      <c r="A496" t="s">
        <v>494</v>
      </c>
    </row>
    <row r="497" spans="1:7" x14ac:dyDescent="0.25">
      <c r="A497" s="421" t="s">
        <v>473</v>
      </c>
      <c r="B497" s="421"/>
    </row>
    <row r="498" spans="1:7" x14ac:dyDescent="0.25">
      <c r="A498" s="513" t="s">
        <v>480</v>
      </c>
      <c r="B498" s="513"/>
      <c r="C498" s="25">
        <f>G495/I495</f>
        <v>927.49999999999443</v>
      </c>
      <c r="D498" s="25" t="s">
        <v>450</v>
      </c>
      <c r="E498" s="25"/>
      <c r="F498" s="25">
        <f>C498/10^3</f>
        <v>0.92749999999999444</v>
      </c>
      <c r="G498" s="24" t="s">
        <v>451</v>
      </c>
    </row>
    <row r="500" spans="1:7" x14ac:dyDescent="0.25">
      <c r="A500" s="18" t="s">
        <v>273</v>
      </c>
      <c r="B500" s="16">
        <v>650</v>
      </c>
      <c r="C500" s="16" t="s">
        <v>208</v>
      </c>
    </row>
    <row r="501" spans="1:7" x14ac:dyDescent="0.25">
      <c r="A501" t="s">
        <v>528</v>
      </c>
    </row>
    <row r="502" spans="1:7" x14ac:dyDescent="0.25">
      <c r="A502" s="21">
        <f>$E$213/B500</f>
        <v>15.384615384615385</v>
      </c>
      <c r="B502" t="s">
        <v>382</v>
      </c>
      <c r="E502" t="s">
        <v>576</v>
      </c>
    </row>
    <row r="505" spans="1:7" x14ac:dyDescent="0.25">
      <c r="A505" s="2" t="s">
        <v>538</v>
      </c>
      <c r="F505" s="32" t="s">
        <v>638</v>
      </c>
    </row>
    <row r="506" spans="1:7" x14ac:dyDescent="0.25">
      <c r="A506" t="s">
        <v>512</v>
      </c>
      <c r="C506" t="s">
        <v>488</v>
      </c>
      <c r="F506" s="32" t="s">
        <v>469</v>
      </c>
    </row>
    <row r="507" spans="1:7" x14ac:dyDescent="0.25">
      <c r="A507" s="39">
        <v>1</v>
      </c>
      <c r="C507" s="31">
        <f>(A507*F498)/E495</f>
        <v>9.2749999999999449E-5</v>
      </c>
      <c r="D507" s="31"/>
    </row>
    <row r="508" spans="1:7" x14ac:dyDescent="0.25">
      <c r="D508" s="1"/>
    </row>
    <row r="509" spans="1:7" x14ac:dyDescent="0.25">
      <c r="A509" s="2" t="s">
        <v>470</v>
      </c>
    </row>
    <row r="510" spans="1:7" x14ac:dyDescent="0.25">
      <c r="A510" t="s">
        <v>471</v>
      </c>
      <c r="C510" t="s">
        <v>472</v>
      </c>
    </row>
    <row r="511" spans="1:7" x14ac:dyDescent="0.25">
      <c r="A511" s="38">
        <v>4286</v>
      </c>
      <c r="B511" s="10"/>
      <c r="C511" s="64">
        <f>C507*A511</f>
        <v>0.39752649999999762</v>
      </c>
      <c r="D511" s="64"/>
      <c r="E511" s="10" t="s">
        <v>259</v>
      </c>
    </row>
    <row r="513" spans="5:13" x14ac:dyDescent="0.25">
      <c r="E513" s="3" t="s">
        <v>263</v>
      </c>
    </row>
    <row r="516" spans="5:13" ht="15.75" thickBot="1" x14ac:dyDescent="0.3"/>
    <row r="517" spans="5:13" x14ac:dyDescent="0.25">
      <c r="F517" s="312" t="s">
        <v>953</v>
      </c>
      <c r="G517" s="294"/>
      <c r="H517" s="294"/>
      <c r="I517" s="294"/>
      <c r="J517" s="294"/>
      <c r="K517" s="294"/>
      <c r="L517" s="294"/>
      <c r="M517" s="295"/>
    </row>
    <row r="518" spans="5:13" x14ac:dyDescent="0.25">
      <c r="F518" s="258"/>
      <c r="M518" s="259"/>
    </row>
    <row r="519" spans="5:13" x14ac:dyDescent="0.25">
      <c r="F519" s="258"/>
      <c r="M519" s="259"/>
    </row>
    <row r="520" spans="5:13" x14ac:dyDescent="0.25">
      <c r="F520" s="258"/>
      <c r="M520" s="259"/>
    </row>
    <row r="521" spans="5:13" x14ac:dyDescent="0.25">
      <c r="F521" s="258"/>
      <c r="M521" s="259"/>
    </row>
    <row r="522" spans="5:13" x14ac:dyDescent="0.25">
      <c r="F522" s="258"/>
      <c r="M522" s="259"/>
    </row>
    <row r="523" spans="5:13" x14ac:dyDescent="0.25">
      <c r="F523" s="258"/>
      <c r="M523" s="259"/>
    </row>
    <row r="524" spans="5:13" x14ac:dyDescent="0.25">
      <c r="F524" s="258"/>
      <c r="M524" s="259"/>
    </row>
    <row r="525" spans="5:13" x14ac:dyDescent="0.25">
      <c r="F525" s="258"/>
      <c r="M525" s="259"/>
    </row>
    <row r="526" spans="5:13" x14ac:dyDescent="0.25">
      <c r="F526" s="258"/>
      <c r="M526" s="259"/>
    </row>
    <row r="527" spans="5:13" x14ac:dyDescent="0.25">
      <c r="F527" s="258"/>
      <c r="M527" s="259"/>
    </row>
    <row r="529" spans="1:13" ht="15.75" thickBot="1" x14ac:dyDescent="0.3">
      <c r="A529" t="s">
        <v>956</v>
      </c>
      <c r="B529" s="421" t="s">
        <v>951</v>
      </c>
      <c r="C529" s="421"/>
      <c r="F529" s="255"/>
      <c r="G529" s="55"/>
      <c r="H529" s="55"/>
      <c r="I529" s="55"/>
      <c r="J529" s="55"/>
      <c r="K529" s="55"/>
      <c r="L529" s="55"/>
      <c r="M529" s="60"/>
    </row>
    <row r="530" spans="1:13" x14ac:dyDescent="0.25">
      <c r="B530" t="s">
        <v>948</v>
      </c>
      <c r="C530">
        <v>2.67</v>
      </c>
      <c r="D530" t="s">
        <v>949</v>
      </c>
      <c r="E530" t="s">
        <v>952</v>
      </c>
      <c r="F530" s="3" t="s">
        <v>953</v>
      </c>
    </row>
    <row r="531" spans="1:13" x14ac:dyDescent="0.25">
      <c r="B531" t="s">
        <v>950</v>
      </c>
      <c r="C531">
        <v>2.42</v>
      </c>
      <c r="D531" t="s">
        <v>949</v>
      </c>
      <c r="E531" t="s">
        <v>952</v>
      </c>
      <c r="F531" s="3" t="s">
        <v>953</v>
      </c>
    </row>
    <row r="533" spans="1:13" x14ac:dyDescent="0.25">
      <c r="A533" t="s">
        <v>957</v>
      </c>
      <c r="B533" s="421" t="s">
        <v>951</v>
      </c>
      <c r="C533" s="421"/>
    </row>
    <row r="534" spans="1:13" x14ac:dyDescent="0.25">
      <c r="B534" t="s">
        <v>948</v>
      </c>
      <c r="C534">
        <v>2.7</v>
      </c>
      <c r="D534" t="s">
        <v>949</v>
      </c>
      <c r="E534" t="s">
        <v>952</v>
      </c>
      <c r="F534" s="3" t="s">
        <v>958</v>
      </c>
    </row>
    <row r="535" spans="1:13" x14ac:dyDescent="0.25">
      <c r="B535" t="s">
        <v>950</v>
      </c>
      <c r="C535">
        <v>2.2999999999999998</v>
      </c>
      <c r="D535" t="s">
        <v>949</v>
      </c>
      <c r="E535" t="s">
        <v>952</v>
      </c>
      <c r="F535" s="3" t="s">
        <v>958</v>
      </c>
    </row>
    <row r="537" spans="1:13" x14ac:dyDescent="0.25">
      <c r="A537" t="s">
        <v>959</v>
      </c>
      <c r="B537" s="421" t="s">
        <v>951</v>
      </c>
      <c r="C537" s="421"/>
    </row>
    <row r="538" spans="1:13" x14ac:dyDescent="0.25">
      <c r="B538" t="s">
        <v>948</v>
      </c>
      <c r="C538">
        <v>2.65</v>
      </c>
      <c r="D538" t="s">
        <v>949</v>
      </c>
      <c r="E538" t="s">
        <v>952</v>
      </c>
      <c r="F538" s="3" t="s">
        <v>961</v>
      </c>
    </row>
    <row r="539" spans="1:13" x14ac:dyDescent="0.25">
      <c r="B539" t="s">
        <v>950</v>
      </c>
      <c r="C539">
        <v>2.35</v>
      </c>
      <c r="D539" t="s">
        <v>949</v>
      </c>
      <c r="E539" t="s">
        <v>952</v>
      </c>
      <c r="F539" s="3" t="s">
        <v>961</v>
      </c>
    </row>
    <row r="541" spans="1:13" x14ac:dyDescent="0.25">
      <c r="A541" t="s">
        <v>960</v>
      </c>
      <c r="B541" s="421" t="s">
        <v>951</v>
      </c>
      <c r="C541" s="421"/>
    </row>
    <row r="542" spans="1:13" x14ac:dyDescent="0.25">
      <c r="B542" t="s">
        <v>948</v>
      </c>
      <c r="C542">
        <v>2.68</v>
      </c>
      <c r="D542" t="s">
        <v>949</v>
      </c>
      <c r="E542" t="s">
        <v>952</v>
      </c>
      <c r="F542" s="3" t="s">
        <v>962</v>
      </c>
    </row>
    <row r="543" spans="1:13" x14ac:dyDescent="0.25">
      <c r="B543" t="s">
        <v>950</v>
      </c>
      <c r="C543">
        <v>2.31</v>
      </c>
      <c r="D543" t="s">
        <v>949</v>
      </c>
      <c r="E543" t="s">
        <v>952</v>
      </c>
      <c r="F543" s="3" t="s">
        <v>962</v>
      </c>
    </row>
    <row r="545" spans="1:6" x14ac:dyDescent="0.25">
      <c r="A545" t="s">
        <v>963</v>
      </c>
      <c r="B545" s="421" t="s">
        <v>951</v>
      </c>
      <c r="C545" s="421"/>
    </row>
    <row r="546" spans="1:6" x14ac:dyDescent="0.25">
      <c r="B546" t="s">
        <v>948</v>
      </c>
      <c r="C546">
        <v>2.65</v>
      </c>
      <c r="D546" t="s">
        <v>949</v>
      </c>
      <c r="E546" t="s">
        <v>952</v>
      </c>
      <c r="F546" s="3" t="s">
        <v>964</v>
      </c>
    </row>
    <row r="547" spans="1:6" x14ac:dyDescent="0.25">
      <c r="B547" t="s">
        <v>950</v>
      </c>
      <c r="C547">
        <v>2.37</v>
      </c>
      <c r="D547" t="s">
        <v>949</v>
      </c>
      <c r="E547" t="s">
        <v>952</v>
      </c>
      <c r="F547" s="3" t="s">
        <v>964</v>
      </c>
    </row>
    <row r="549" spans="1:6" x14ac:dyDescent="0.25">
      <c r="A549" t="s">
        <v>965</v>
      </c>
      <c r="B549" s="421" t="s">
        <v>951</v>
      </c>
      <c r="C549" s="421"/>
    </row>
    <row r="550" spans="1:6" x14ac:dyDescent="0.25">
      <c r="B550" t="s">
        <v>948</v>
      </c>
      <c r="C550">
        <v>2.6391</v>
      </c>
      <c r="D550" t="s">
        <v>949</v>
      </c>
      <c r="E550" t="s">
        <v>952</v>
      </c>
      <c r="F550" s="3" t="s">
        <v>967</v>
      </c>
    </row>
    <row r="551" spans="1:6" x14ac:dyDescent="0.25">
      <c r="B551" t="s">
        <v>950</v>
      </c>
      <c r="C551">
        <v>2.3035000000000001</v>
      </c>
      <c r="D551" t="s">
        <v>949</v>
      </c>
      <c r="E551" t="s">
        <v>952</v>
      </c>
      <c r="F551" s="3" t="s">
        <v>966</v>
      </c>
    </row>
    <row r="553" spans="1:6" x14ac:dyDescent="0.25">
      <c r="A553" t="s">
        <v>968</v>
      </c>
      <c r="B553" s="421" t="s">
        <v>951</v>
      </c>
      <c r="C553" s="421"/>
    </row>
    <row r="554" spans="1:6" x14ac:dyDescent="0.25">
      <c r="B554" t="s">
        <v>948</v>
      </c>
      <c r="C554">
        <v>2.68</v>
      </c>
      <c r="D554" t="s">
        <v>949</v>
      </c>
      <c r="E554" t="s">
        <v>952</v>
      </c>
      <c r="F554" s="3" t="s">
        <v>969</v>
      </c>
    </row>
    <row r="555" spans="1:6" x14ac:dyDescent="0.25">
      <c r="B555" t="s">
        <v>950</v>
      </c>
      <c r="C555">
        <v>2.31</v>
      </c>
      <c r="D555" t="s">
        <v>949</v>
      </c>
      <c r="E555" t="s">
        <v>952</v>
      </c>
      <c r="F555" s="3" t="s">
        <v>969</v>
      </c>
    </row>
    <row r="558" spans="1:6" x14ac:dyDescent="0.25">
      <c r="A558" t="s">
        <v>955</v>
      </c>
      <c r="B558" s="3" t="s">
        <v>954</v>
      </c>
    </row>
    <row r="560" spans="1:6" x14ac:dyDescent="0.25">
      <c r="B560" s="3" t="s">
        <v>970</v>
      </c>
    </row>
    <row r="562" spans="1:2" x14ac:dyDescent="0.25">
      <c r="A562" t="s">
        <v>972</v>
      </c>
      <c r="B562" s="3" t="s">
        <v>971</v>
      </c>
    </row>
    <row r="564" spans="1:2" x14ac:dyDescent="0.25">
      <c r="B564" s="3" t="s">
        <v>973</v>
      </c>
    </row>
    <row r="566" spans="1:2" x14ac:dyDescent="0.25">
      <c r="B566" s="3" t="s">
        <v>974</v>
      </c>
    </row>
  </sheetData>
  <mergeCells count="97">
    <mergeCell ref="B553:C553"/>
    <mergeCell ref="B529:C529"/>
    <mergeCell ref="B533:C533"/>
    <mergeCell ref="B537:C537"/>
    <mergeCell ref="B541:C541"/>
    <mergeCell ref="B545:C545"/>
    <mergeCell ref="B549:C549"/>
    <mergeCell ref="J355:K355"/>
    <mergeCell ref="C367:D367"/>
    <mergeCell ref="A296:I296"/>
    <mergeCell ref="A497:B497"/>
    <mergeCell ref="L367:W367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N59:O59"/>
    <mergeCell ref="N63:O63"/>
    <mergeCell ref="N82:O82"/>
    <mergeCell ref="N108:O108"/>
    <mergeCell ref="N124:O124"/>
    <mergeCell ref="N1:T1"/>
    <mergeCell ref="A9:G9"/>
    <mergeCell ref="K1:L1"/>
    <mergeCell ref="A8:L8"/>
    <mergeCell ref="C42:D42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 x14ac:dyDescent="0.25"/>
  <cols>
    <col min="13" max="13" width="19.140625" customWidth="1"/>
  </cols>
  <sheetData>
    <row r="1" spans="1:25" ht="28.5" x14ac:dyDescent="0.45">
      <c r="A1" s="42" t="s">
        <v>295</v>
      </c>
      <c r="B1" s="12"/>
    </row>
    <row r="2" spans="1:25" ht="18.75" x14ac:dyDescent="0.3">
      <c r="A2" s="40" t="s">
        <v>540</v>
      </c>
      <c r="B2" s="40"/>
      <c r="C2" s="41"/>
      <c r="D2" s="41"/>
      <c r="E2" s="41"/>
      <c r="F2" s="41"/>
      <c r="G2" s="41"/>
      <c r="H2" s="41"/>
      <c r="I2" s="41"/>
      <c r="M2" s="509" t="s">
        <v>541</v>
      </c>
      <c r="N2" s="509"/>
      <c r="O2" s="509"/>
      <c r="P2" s="509"/>
      <c r="Q2" s="509"/>
      <c r="R2" s="509"/>
      <c r="S2" s="509"/>
    </row>
    <row r="3" spans="1:25" x14ac:dyDescent="0.25">
      <c r="A3" s="507" t="s">
        <v>212</v>
      </c>
      <c r="B3" s="403"/>
      <c r="C3" s="403"/>
      <c r="D3" s="403"/>
      <c r="E3" s="403"/>
      <c r="F3" s="403"/>
      <c r="G3" s="403"/>
      <c r="H3" s="403"/>
      <c r="I3" s="403"/>
      <c r="M3" t="s">
        <v>542</v>
      </c>
      <c r="Y3" t="s">
        <v>639</v>
      </c>
    </row>
    <row r="4" spans="1:25" x14ac:dyDescent="0.25">
      <c r="A4" t="s">
        <v>299</v>
      </c>
      <c r="M4" s="3" t="s">
        <v>543</v>
      </c>
      <c r="Y4" s="3" t="s">
        <v>640</v>
      </c>
    </row>
    <row r="5" spans="1:25" x14ac:dyDescent="0.25">
      <c r="C5" t="s">
        <v>301</v>
      </c>
      <c r="M5" t="s">
        <v>544</v>
      </c>
    </row>
    <row r="6" spans="1:25" x14ac:dyDescent="0.25">
      <c r="A6" s="421" t="s">
        <v>304</v>
      </c>
      <c r="B6" s="421"/>
      <c r="C6">
        <v>7.4</v>
      </c>
      <c r="M6" s="3" t="s">
        <v>545</v>
      </c>
    </row>
    <row r="7" spans="1:25" x14ac:dyDescent="0.25">
      <c r="A7" t="s">
        <v>306</v>
      </c>
      <c r="D7" t="s">
        <v>307</v>
      </c>
      <c r="M7" t="s">
        <v>546</v>
      </c>
    </row>
    <row r="8" spans="1:25" x14ac:dyDescent="0.25">
      <c r="A8" t="s">
        <v>310</v>
      </c>
      <c r="C8">
        <v>22.8</v>
      </c>
      <c r="D8" s="43">
        <f>(C8+C9)/2</f>
        <v>26.1</v>
      </c>
      <c r="F8" t="s">
        <v>547</v>
      </c>
      <c r="M8" s="3" t="s">
        <v>548</v>
      </c>
    </row>
    <row r="9" spans="1:25" x14ac:dyDescent="0.25">
      <c r="A9" t="s">
        <v>314</v>
      </c>
      <c r="C9">
        <v>29.4</v>
      </c>
      <c r="D9" s="1"/>
      <c r="F9" s="44">
        <f>D8+C6</f>
        <v>33.5</v>
      </c>
      <c r="G9" t="s">
        <v>16</v>
      </c>
      <c r="M9" t="s">
        <v>549</v>
      </c>
    </row>
    <row r="10" spans="1:25" x14ac:dyDescent="0.25">
      <c r="M10" s="3" t="s">
        <v>550</v>
      </c>
    </row>
    <row r="11" spans="1:25" x14ac:dyDescent="0.25">
      <c r="A11" s="507" t="s">
        <v>297</v>
      </c>
      <c r="B11" s="403"/>
      <c r="C11" s="403"/>
      <c r="D11" s="403"/>
      <c r="E11" s="403"/>
      <c r="F11" s="403"/>
      <c r="G11" s="403"/>
      <c r="H11" s="403"/>
      <c r="I11" s="403"/>
      <c r="M11" t="s">
        <v>551</v>
      </c>
    </row>
    <row r="12" spans="1:25" x14ac:dyDescent="0.25">
      <c r="A12" t="s">
        <v>320</v>
      </c>
      <c r="M12" s="3" t="s">
        <v>552</v>
      </c>
    </row>
    <row r="13" spans="1:25" x14ac:dyDescent="0.25">
      <c r="A13" t="s">
        <v>306</v>
      </c>
      <c r="D13" t="s">
        <v>307</v>
      </c>
      <c r="M13" t="s">
        <v>553</v>
      </c>
    </row>
    <row r="14" spans="1:25" x14ac:dyDescent="0.25">
      <c r="A14" t="s">
        <v>310</v>
      </c>
      <c r="C14">
        <v>22.8</v>
      </c>
      <c r="D14" s="43">
        <f>(C14+C15)/2</f>
        <v>26.1</v>
      </c>
      <c r="F14" t="s">
        <v>547</v>
      </c>
      <c r="M14" s="3" t="s">
        <v>554</v>
      </c>
    </row>
    <row r="15" spans="1:25" x14ac:dyDescent="0.25">
      <c r="A15" t="s">
        <v>314</v>
      </c>
      <c r="C15">
        <v>29.4</v>
      </c>
      <c r="D15" s="1"/>
      <c r="F15" s="44">
        <f>D14+C12</f>
        <v>26.1</v>
      </c>
      <c r="G15" t="s">
        <v>16</v>
      </c>
      <c r="M15" t="s">
        <v>555</v>
      </c>
    </row>
    <row r="16" spans="1:25" x14ac:dyDescent="0.25">
      <c r="M16" s="3" t="s">
        <v>556</v>
      </c>
    </row>
    <row r="17" spans="1:20" x14ac:dyDescent="0.25">
      <c r="A17" s="507" t="s">
        <v>102</v>
      </c>
      <c r="B17" s="403"/>
      <c r="C17" s="403"/>
      <c r="D17" s="403"/>
      <c r="E17" s="403"/>
      <c r="F17" s="403"/>
      <c r="G17" s="403"/>
      <c r="H17" s="403"/>
      <c r="I17" s="403"/>
      <c r="M17" t="s">
        <v>557</v>
      </c>
    </row>
    <row r="18" spans="1:20" x14ac:dyDescent="0.25">
      <c r="A18" t="s">
        <v>336</v>
      </c>
      <c r="M18" s="3" t="s">
        <v>558</v>
      </c>
    </row>
    <row r="19" spans="1:20" x14ac:dyDescent="0.25">
      <c r="C19" t="s">
        <v>301</v>
      </c>
      <c r="M19" t="s">
        <v>559</v>
      </c>
    </row>
    <row r="20" spans="1:20" x14ac:dyDescent="0.25">
      <c r="A20" s="1" t="s">
        <v>338</v>
      </c>
      <c r="B20" s="1"/>
      <c r="C20">
        <v>180</v>
      </c>
      <c r="M20" s="3" t="s">
        <v>560</v>
      </c>
    </row>
    <row r="21" spans="1:20" x14ac:dyDescent="0.25">
      <c r="A21" t="s">
        <v>306</v>
      </c>
      <c r="D21" t="s">
        <v>339</v>
      </c>
    </row>
    <row r="22" spans="1:20" x14ac:dyDescent="0.25">
      <c r="A22" t="s">
        <v>310</v>
      </c>
      <c r="C22">
        <v>22.8</v>
      </c>
      <c r="D22" s="43">
        <f>(C22+C23)/2</f>
        <v>26.1</v>
      </c>
      <c r="F22" t="s">
        <v>547</v>
      </c>
      <c r="M22" s="3"/>
    </row>
    <row r="23" spans="1:20" x14ac:dyDescent="0.25">
      <c r="A23" t="s">
        <v>314</v>
      </c>
      <c r="C23">
        <v>29.4</v>
      </c>
      <c r="D23" s="1"/>
      <c r="F23" s="44">
        <f>D22+C20</f>
        <v>206.1</v>
      </c>
      <c r="G23" t="s">
        <v>16</v>
      </c>
    </row>
    <row r="25" spans="1:20" x14ac:dyDescent="0.25">
      <c r="A25" s="507" t="s">
        <v>343</v>
      </c>
      <c r="B25" s="403"/>
      <c r="C25" s="403"/>
      <c r="D25" s="403"/>
      <c r="E25" s="403"/>
      <c r="F25" s="403"/>
      <c r="G25" s="403"/>
      <c r="H25" s="403"/>
      <c r="I25" s="403"/>
    </row>
    <row r="26" spans="1:20" x14ac:dyDescent="0.25">
      <c r="A26" t="s">
        <v>345</v>
      </c>
      <c r="L26" s="519" t="s">
        <v>367</v>
      </c>
      <c r="M26" s="512"/>
      <c r="N26" s="512"/>
      <c r="O26" s="512"/>
      <c r="P26" s="512"/>
      <c r="Q26" s="512"/>
      <c r="R26" s="512"/>
      <c r="S26" s="512"/>
      <c r="T26" s="512"/>
    </row>
    <row r="27" spans="1:20" x14ac:dyDescent="0.25">
      <c r="C27" t="s">
        <v>301</v>
      </c>
      <c r="L27" t="s">
        <v>368</v>
      </c>
    </row>
    <row r="28" spans="1:20" x14ac:dyDescent="0.25">
      <c r="A28" s="421" t="s">
        <v>346</v>
      </c>
      <c r="B28" s="421"/>
      <c r="C28">
        <v>284</v>
      </c>
      <c r="N28" t="s">
        <v>301</v>
      </c>
    </row>
    <row r="29" spans="1:20" x14ac:dyDescent="0.25">
      <c r="A29" t="s">
        <v>306</v>
      </c>
      <c r="D29" t="s">
        <v>339</v>
      </c>
      <c r="L29" s="421" t="s">
        <v>369</v>
      </c>
      <c r="M29" s="421"/>
      <c r="N29" s="44">
        <v>235</v>
      </c>
    </row>
    <row r="30" spans="1:20" x14ac:dyDescent="0.25">
      <c r="A30" t="s">
        <v>310</v>
      </c>
      <c r="C30">
        <v>22.8</v>
      </c>
      <c r="D30" s="43">
        <f>(C30+C31)/2</f>
        <v>26.1</v>
      </c>
      <c r="F30" t="s">
        <v>547</v>
      </c>
      <c r="L30" t="s">
        <v>306</v>
      </c>
      <c r="O30" t="s">
        <v>339</v>
      </c>
    </row>
    <row r="31" spans="1:20" x14ac:dyDescent="0.25">
      <c r="A31" t="s">
        <v>314</v>
      </c>
      <c r="C31">
        <v>29.4</v>
      </c>
      <c r="D31" s="1"/>
      <c r="F31" s="44">
        <f>D30+C28</f>
        <v>310.10000000000002</v>
      </c>
      <c r="G31" t="s">
        <v>16</v>
      </c>
      <c r="L31" t="s">
        <v>310</v>
      </c>
      <c r="N31">
        <v>22.8</v>
      </c>
      <c r="O31" s="43">
        <f>(N31+N32)/2</f>
        <v>26.1</v>
      </c>
      <c r="Q31" t="s">
        <v>547</v>
      </c>
    </row>
    <row r="32" spans="1:20" x14ac:dyDescent="0.25">
      <c r="L32" t="s">
        <v>314</v>
      </c>
      <c r="N32">
        <v>29.4</v>
      </c>
      <c r="O32" s="1"/>
      <c r="Q32" s="44">
        <f>O31+N29</f>
        <v>261.10000000000002</v>
      </c>
      <c r="R32" t="s">
        <v>16</v>
      </c>
    </row>
    <row r="33" spans="1:21" x14ac:dyDescent="0.25">
      <c r="A33" s="507" t="s">
        <v>216</v>
      </c>
      <c r="B33" s="403"/>
      <c r="C33" s="403"/>
      <c r="D33" s="403"/>
      <c r="E33" s="403"/>
      <c r="F33" s="403"/>
      <c r="G33" s="403"/>
      <c r="H33" s="403"/>
      <c r="I33" s="403"/>
    </row>
    <row r="34" spans="1:21" x14ac:dyDescent="0.25">
      <c r="A34" t="s">
        <v>348</v>
      </c>
      <c r="L34" s="519" t="s">
        <v>335</v>
      </c>
      <c r="M34" s="512"/>
      <c r="N34" s="512"/>
      <c r="O34" s="512"/>
      <c r="P34" s="512"/>
      <c r="Q34" s="512"/>
      <c r="R34" s="512"/>
      <c r="S34" s="512"/>
      <c r="T34" s="512"/>
      <c r="U34" s="3" t="s">
        <v>641</v>
      </c>
    </row>
    <row r="35" spans="1:21" x14ac:dyDescent="0.25">
      <c r="C35" t="s">
        <v>301</v>
      </c>
      <c r="L35" t="s">
        <v>642</v>
      </c>
    </row>
    <row r="36" spans="1:21" x14ac:dyDescent="0.25">
      <c r="A36" s="421" t="s">
        <v>349</v>
      </c>
      <c r="B36" s="421"/>
      <c r="C36">
        <v>181</v>
      </c>
      <c r="L36" t="s">
        <v>339</v>
      </c>
    </row>
    <row r="37" spans="1:21" x14ac:dyDescent="0.25">
      <c r="A37" t="s">
        <v>306</v>
      </c>
      <c r="D37" t="s">
        <v>339</v>
      </c>
      <c r="L37">
        <v>26</v>
      </c>
      <c r="O37" t="s">
        <v>643</v>
      </c>
      <c r="P37">
        <f>2*L37</f>
        <v>52</v>
      </c>
    </row>
    <row r="38" spans="1:21" ht="15.75" thickBot="1" x14ac:dyDescent="0.3">
      <c r="A38" t="s">
        <v>310</v>
      </c>
      <c r="C38">
        <v>22.8</v>
      </c>
      <c r="D38" s="43">
        <f>(C38+C39)/2</f>
        <v>26.1</v>
      </c>
      <c r="F38" t="s">
        <v>547</v>
      </c>
    </row>
    <row r="39" spans="1:21" x14ac:dyDescent="0.25">
      <c r="A39" t="s">
        <v>314</v>
      </c>
      <c r="C39">
        <v>29.4</v>
      </c>
      <c r="D39" s="1"/>
      <c r="F39" s="44">
        <f>D38+C36</f>
        <v>207.1</v>
      </c>
      <c r="G39" t="s">
        <v>16</v>
      </c>
      <c r="L39" s="520" t="s">
        <v>373</v>
      </c>
      <c r="M39" s="521"/>
      <c r="N39" s="521"/>
      <c r="O39" s="521"/>
      <c r="P39" s="521"/>
      <c r="Q39" s="521"/>
      <c r="R39" s="521"/>
      <c r="S39" s="521"/>
      <c r="T39" s="522"/>
      <c r="U39" s="3" t="s">
        <v>644</v>
      </c>
    </row>
    <row r="40" spans="1:21" x14ac:dyDescent="0.25">
      <c r="L40" s="54" t="s">
        <v>374</v>
      </c>
      <c r="T40" s="53"/>
    </row>
    <row r="41" spans="1:21" x14ac:dyDescent="0.25">
      <c r="A41" s="507" t="s">
        <v>149</v>
      </c>
      <c r="B41" s="403"/>
      <c r="C41" s="403"/>
      <c r="D41" s="403"/>
      <c r="E41" s="403"/>
      <c r="F41" s="403"/>
      <c r="G41" s="403"/>
      <c r="H41" s="403"/>
      <c r="I41" s="403"/>
      <c r="L41" s="54"/>
      <c r="N41" t="s">
        <v>301</v>
      </c>
      <c r="T41" s="53"/>
    </row>
    <row r="42" spans="1:21" x14ac:dyDescent="0.25">
      <c r="A42" s="41" t="s">
        <v>350</v>
      </c>
      <c r="B42" s="41"/>
      <c r="C42" s="41"/>
      <c r="D42" s="41"/>
      <c r="E42" s="41"/>
      <c r="F42" s="41"/>
      <c r="G42" s="41"/>
      <c r="H42" s="41"/>
      <c r="I42" s="41"/>
      <c r="L42" s="523" t="s">
        <v>375</v>
      </c>
      <c r="M42" s="421"/>
      <c r="N42" s="44">
        <v>35.200000000000003</v>
      </c>
      <c r="T42" s="53"/>
    </row>
    <row r="43" spans="1:21" x14ac:dyDescent="0.25">
      <c r="A43" t="s">
        <v>351</v>
      </c>
      <c r="L43" s="54" t="s">
        <v>306</v>
      </c>
      <c r="O43" t="s">
        <v>339</v>
      </c>
      <c r="T43" s="53"/>
    </row>
    <row r="44" spans="1:21" x14ac:dyDescent="0.25">
      <c r="C44" t="s">
        <v>301</v>
      </c>
      <c r="L44" s="54" t="s">
        <v>310</v>
      </c>
      <c r="N44">
        <v>22.8</v>
      </c>
      <c r="O44" s="43">
        <f>(N44+N45)/2</f>
        <v>26.1</v>
      </c>
      <c r="Q44" t="s">
        <v>547</v>
      </c>
      <c r="T44" s="53"/>
    </row>
    <row r="45" spans="1:21" ht="15.75" thickBot="1" x14ac:dyDescent="0.3">
      <c r="A45" s="1" t="s">
        <v>352</v>
      </c>
      <c r="B45" s="1"/>
      <c r="C45">
        <v>117</v>
      </c>
      <c r="L45" s="63" t="s">
        <v>314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 x14ac:dyDescent="0.25">
      <c r="A46" t="s">
        <v>306</v>
      </c>
      <c r="D46" t="s">
        <v>339</v>
      </c>
    </row>
    <row r="47" spans="1:21" x14ac:dyDescent="0.25">
      <c r="A47" t="s">
        <v>310</v>
      </c>
      <c r="C47">
        <v>22.8</v>
      </c>
      <c r="D47" s="43">
        <f>(C47+C48)/2</f>
        <v>26.1</v>
      </c>
      <c r="F47" t="s">
        <v>547</v>
      </c>
    </row>
    <row r="48" spans="1:21" x14ac:dyDescent="0.25">
      <c r="A48" t="s">
        <v>314</v>
      </c>
      <c r="C48">
        <v>29.4</v>
      </c>
      <c r="D48" s="1"/>
      <c r="F48" s="44">
        <f>D47+C45</f>
        <v>143.1</v>
      </c>
      <c r="G48" t="s">
        <v>16</v>
      </c>
    </row>
    <row r="50" spans="1:9" x14ac:dyDescent="0.25">
      <c r="A50" s="41" t="s">
        <v>353</v>
      </c>
      <c r="B50" s="41"/>
      <c r="C50" s="41"/>
      <c r="D50" s="41"/>
      <c r="E50" s="41"/>
      <c r="F50" s="41"/>
      <c r="G50" s="41"/>
      <c r="H50" s="41"/>
      <c r="I50" s="41"/>
    </row>
    <row r="51" spans="1:9" x14ac:dyDescent="0.25">
      <c r="A51" t="s">
        <v>354</v>
      </c>
    </row>
    <row r="52" spans="1:9" x14ac:dyDescent="0.25">
      <c r="C52" t="s">
        <v>301</v>
      </c>
    </row>
    <row r="53" spans="1:9" x14ac:dyDescent="0.25">
      <c r="A53" s="421" t="s">
        <v>355</v>
      </c>
      <c r="B53" s="421"/>
      <c r="C53" s="44">
        <v>707.2</v>
      </c>
    </row>
    <row r="54" spans="1:9" x14ac:dyDescent="0.25">
      <c r="A54" t="s">
        <v>306</v>
      </c>
      <c r="D54" t="s">
        <v>339</v>
      </c>
    </row>
    <row r="55" spans="1:9" x14ac:dyDescent="0.25">
      <c r="A55" t="s">
        <v>310</v>
      </c>
      <c r="C55">
        <v>22.8</v>
      </c>
      <c r="D55" s="43">
        <f>(C55+C56)/2</f>
        <v>26.1</v>
      </c>
      <c r="F55" t="s">
        <v>547</v>
      </c>
    </row>
    <row r="56" spans="1:9" x14ac:dyDescent="0.25">
      <c r="A56" t="s">
        <v>314</v>
      </c>
      <c r="C56">
        <v>29.4</v>
      </c>
      <c r="D56" s="1"/>
      <c r="F56" s="44">
        <f>D55+C53</f>
        <v>733.30000000000007</v>
      </c>
      <c r="G56" t="s">
        <v>16</v>
      </c>
    </row>
    <row r="57" spans="1:9" x14ac:dyDescent="0.25">
      <c r="A57" s="41" t="s">
        <v>645</v>
      </c>
      <c r="B57" s="41"/>
      <c r="C57" s="41"/>
      <c r="D57" s="41"/>
      <c r="E57" s="41"/>
      <c r="F57" s="41"/>
      <c r="G57" s="41"/>
      <c r="H57" s="41"/>
      <c r="I57" s="41"/>
    </row>
    <row r="58" spans="1:9" x14ac:dyDescent="0.25">
      <c r="A58" t="s">
        <v>357</v>
      </c>
    </row>
    <row r="59" spans="1:9" x14ac:dyDescent="0.25">
      <c r="C59" t="s">
        <v>301</v>
      </c>
    </row>
    <row r="60" spans="1:9" x14ac:dyDescent="0.25">
      <c r="A60" s="421" t="s">
        <v>358</v>
      </c>
      <c r="B60" s="421"/>
      <c r="C60" s="44">
        <v>289</v>
      </c>
    </row>
    <row r="61" spans="1:9" x14ac:dyDescent="0.25">
      <c r="A61" t="s">
        <v>306</v>
      </c>
      <c r="D61" t="s">
        <v>339</v>
      </c>
    </row>
    <row r="62" spans="1:9" x14ac:dyDescent="0.25">
      <c r="A62" t="s">
        <v>310</v>
      </c>
      <c r="C62">
        <v>22.8</v>
      </c>
      <c r="D62" s="43">
        <f>(C62+C63)/2</f>
        <v>26.1</v>
      </c>
      <c r="F62" t="s">
        <v>547</v>
      </c>
    </row>
    <row r="63" spans="1:9" x14ac:dyDescent="0.25">
      <c r="A63" t="s">
        <v>314</v>
      </c>
      <c r="C63">
        <v>29.4</v>
      </c>
      <c r="D63" s="1"/>
      <c r="F63" s="44">
        <f>D62+C60</f>
        <v>315.10000000000002</v>
      </c>
      <c r="G63" t="s">
        <v>16</v>
      </c>
    </row>
    <row r="64" spans="1:9" x14ac:dyDescent="0.25">
      <c r="A64" s="519" t="s">
        <v>364</v>
      </c>
      <c r="B64" s="512"/>
      <c r="C64" s="512"/>
      <c r="D64" s="512"/>
      <c r="E64" s="512"/>
      <c r="F64" s="512"/>
      <c r="G64" s="512"/>
      <c r="H64" s="512"/>
      <c r="I64" s="512"/>
    </row>
    <row r="65" spans="1:9" x14ac:dyDescent="0.25">
      <c r="A65" t="s">
        <v>365</v>
      </c>
    </row>
    <row r="66" spans="1:9" x14ac:dyDescent="0.25">
      <c r="C66" t="s">
        <v>301</v>
      </c>
    </row>
    <row r="67" spans="1:9" x14ac:dyDescent="0.25">
      <c r="A67" s="421" t="s">
        <v>366</v>
      </c>
      <c r="B67" s="421"/>
      <c r="C67" s="44">
        <v>496</v>
      </c>
    </row>
    <row r="68" spans="1:9" x14ac:dyDescent="0.25">
      <c r="A68" t="s">
        <v>306</v>
      </c>
      <c r="D68" t="s">
        <v>339</v>
      </c>
    </row>
    <row r="69" spans="1:9" x14ac:dyDescent="0.25">
      <c r="A69" t="s">
        <v>310</v>
      </c>
      <c r="C69">
        <v>22.8</v>
      </c>
      <c r="D69" s="43">
        <f>(C69+C70)/2</f>
        <v>26.1</v>
      </c>
      <c r="F69" t="s">
        <v>547</v>
      </c>
    </row>
    <row r="70" spans="1:9" x14ac:dyDescent="0.25">
      <c r="A70" t="s">
        <v>314</v>
      </c>
      <c r="C70">
        <v>29.4</v>
      </c>
      <c r="D70" s="1"/>
      <c r="F70" s="44">
        <f>D69+C67</f>
        <v>522.1</v>
      </c>
      <c r="G70" t="s">
        <v>16</v>
      </c>
    </row>
    <row r="71" spans="1:9" x14ac:dyDescent="0.25">
      <c r="A71" s="519" t="s">
        <v>228</v>
      </c>
      <c r="B71" s="512"/>
      <c r="C71" s="512"/>
      <c r="D71" s="512"/>
      <c r="E71" s="512"/>
      <c r="F71" s="512"/>
      <c r="G71" s="512"/>
      <c r="H71" s="512"/>
      <c r="I71" s="512"/>
    </row>
    <row r="72" spans="1:9" x14ac:dyDescent="0.25">
      <c r="A72" t="s">
        <v>359</v>
      </c>
    </row>
    <row r="73" spans="1:9" x14ac:dyDescent="0.25">
      <c r="C73" t="s">
        <v>301</v>
      </c>
    </row>
    <row r="74" spans="1:9" x14ac:dyDescent="0.25">
      <c r="A74" s="421" t="s">
        <v>360</v>
      </c>
      <c r="B74" s="421"/>
      <c r="C74" s="44">
        <v>158</v>
      </c>
    </row>
    <row r="75" spans="1:9" x14ac:dyDescent="0.25">
      <c r="A75" t="s">
        <v>306</v>
      </c>
      <c r="D75" t="s">
        <v>339</v>
      </c>
    </row>
    <row r="76" spans="1:9" x14ac:dyDescent="0.25">
      <c r="A76" t="s">
        <v>310</v>
      </c>
      <c r="C76">
        <v>22.8</v>
      </c>
      <c r="D76" s="43">
        <f>(C76+C77)/2</f>
        <v>26.1</v>
      </c>
      <c r="F76" t="s">
        <v>547</v>
      </c>
    </row>
    <row r="77" spans="1:9" x14ac:dyDescent="0.25">
      <c r="A77" t="s">
        <v>314</v>
      </c>
      <c r="C77">
        <v>29.4</v>
      </c>
      <c r="D77" s="1"/>
      <c r="F77" s="44">
        <f>D76+C74</f>
        <v>184.1</v>
      </c>
      <c r="G77" t="s">
        <v>16</v>
      </c>
    </row>
    <row r="78" spans="1:9" x14ac:dyDescent="0.25">
      <c r="A78" s="519" t="s">
        <v>646</v>
      </c>
      <c r="B78" s="512"/>
      <c r="C78" s="512"/>
      <c r="D78" s="512"/>
      <c r="E78" s="512"/>
      <c r="F78" s="512"/>
      <c r="G78" s="512"/>
      <c r="H78" s="512"/>
      <c r="I78" s="512"/>
    </row>
    <row r="79" spans="1:9" x14ac:dyDescent="0.25">
      <c r="A79" t="s">
        <v>362</v>
      </c>
    </row>
    <row r="80" spans="1:9" x14ac:dyDescent="0.25">
      <c r="C80" t="s">
        <v>301</v>
      </c>
    </row>
    <row r="81" spans="1:9" x14ac:dyDescent="0.25">
      <c r="A81" s="421" t="s">
        <v>363</v>
      </c>
      <c r="B81" s="421"/>
      <c r="C81" s="44">
        <v>181</v>
      </c>
    </row>
    <row r="82" spans="1:9" x14ac:dyDescent="0.25">
      <c r="A82" t="s">
        <v>306</v>
      </c>
      <c r="D82" t="s">
        <v>339</v>
      </c>
    </row>
    <row r="83" spans="1:9" x14ac:dyDescent="0.25">
      <c r="A83" t="s">
        <v>310</v>
      </c>
      <c r="C83">
        <v>22.8</v>
      </c>
      <c r="D83" s="43">
        <f>(C83+C84)/2</f>
        <v>26.1</v>
      </c>
      <c r="F83" t="s">
        <v>547</v>
      </c>
    </row>
    <row r="84" spans="1:9" x14ac:dyDescent="0.25">
      <c r="A84" t="s">
        <v>314</v>
      </c>
      <c r="C84">
        <v>29.4</v>
      </c>
      <c r="D84" s="1"/>
      <c r="F84" s="44">
        <f>D83+C81</f>
        <v>207.1</v>
      </c>
      <c r="G84" t="s">
        <v>16</v>
      </c>
    </row>
    <row r="85" spans="1:9" x14ac:dyDescent="0.25">
      <c r="A85" s="519" t="s">
        <v>370</v>
      </c>
      <c r="B85" s="512"/>
      <c r="C85" s="512"/>
      <c r="D85" s="512"/>
      <c r="E85" s="512"/>
      <c r="F85" s="512"/>
      <c r="G85" s="512"/>
      <c r="H85" s="512"/>
      <c r="I85" s="512"/>
    </row>
    <row r="86" spans="1:9" x14ac:dyDescent="0.25">
      <c r="A86" t="s">
        <v>371</v>
      </c>
    </row>
    <row r="87" spans="1:9" x14ac:dyDescent="0.25">
      <c r="C87" t="s">
        <v>301</v>
      </c>
    </row>
    <row r="88" spans="1:9" x14ac:dyDescent="0.25">
      <c r="A88" s="421" t="s">
        <v>372</v>
      </c>
      <c r="B88" s="421"/>
      <c r="C88" s="44">
        <v>130</v>
      </c>
    </row>
    <row r="89" spans="1:9" x14ac:dyDescent="0.25">
      <c r="A89" t="s">
        <v>306</v>
      </c>
      <c r="D89" t="s">
        <v>339</v>
      </c>
    </row>
    <row r="90" spans="1:9" x14ac:dyDescent="0.25">
      <c r="A90" t="s">
        <v>310</v>
      </c>
      <c r="C90">
        <v>22.8</v>
      </c>
      <c r="D90" s="43">
        <f>(C90+C91)/2</f>
        <v>26.1</v>
      </c>
      <c r="F90" t="s">
        <v>547</v>
      </c>
    </row>
    <row r="91" spans="1:9" x14ac:dyDescent="0.25">
      <c r="A91" t="s">
        <v>314</v>
      </c>
      <c r="C91">
        <v>29.4</v>
      </c>
      <c r="D91" s="1"/>
      <c r="F91" s="44">
        <f>D90+C88</f>
        <v>156.1</v>
      </c>
      <c r="G91" t="s">
        <v>16</v>
      </c>
    </row>
    <row r="98" spans="1:9" ht="18.75" x14ac:dyDescent="0.3">
      <c r="A98" s="45" t="s">
        <v>563</v>
      </c>
      <c r="B98" s="45"/>
      <c r="C98" s="46"/>
      <c r="D98" s="46"/>
      <c r="E98" s="46"/>
      <c r="F98" s="46"/>
      <c r="G98" s="46"/>
      <c r="H98" s="46"/>
      <c r="I98" s="46"/>
    </row>
    <row r="99" spans="1:9" x14ac:dyDescent="0.25">
      <c r="A99" s="505" t="s">
        <v>297</v>
      </c>
      <c r="B99" s="506"/>
      <c r="C99" s="506"/>
      <c r="D99" s="506"/>
      <c r="E99" s="506"/>
      <c r="F99" s="506"/>
      <c r="G99" s="506"/>
      <c r="H99" s="506"/>
      <c r="I99" s="506"/>
    </row>
    <row r="100" spans="1:9" x14ac:dyDescent="0.25">
      <c r="A100" t="s">
        <v>298</v>
      </c>
    </row>
    <row r="101" spans="1:9" x14ac:dyDescent="0.25">
      <c r="A101" s="2" t="s">
        <v>300</v>
      </c>
    </row>
    <row r="102" spans="1:9" x14ac:dyDescent="0.25">
      <c r="A102" t="s">
        <v>302</v>
      </c>
    </row>
    <row r="103" spans="1:9" x14ac:dyDescent="0.25">
      <c r="A103" s="2" t="s">
        <v>305</v>
      </c>
    </row>
    <row r="104" spans="1:9" x14ac:dyDescent="0.25">
      <c r="A104" t="s">
        <v>308</v>
      </c>
      <c r="H104">
        <v>60</v>
      </c>
      <c r="I104" t="s">
        <v>309</v>
      </c>
    </row>
    <row r="105" spans="1:9" x14ac:dyDescent="0.25">
      <c r="H105">
        <f>H104/3.6</f>
        <v>16.666666666666668</v>
      </c>
      <c r="I105" t="s">
        <v>312</v>
      </c>
    </row>
    <row r="106" spans="1:9" x14ac:dyDescent="0.25">
      <c r="A106" t="s">
        <v>315</v>
      </c>
      <c r="B106">
        <v>5400</v>
      </c>
      <c r="C106" t="s">
        <v>316</v>
      </c>
    </row>
    <row r="108" spans="1:9" x14ac:dyDescent="0.25">
      <c r="A108" s="47" t="s">
        <v>319</v>
      </c>
      <c r="B108" s="47"/>
      <c r="C108" s="47"/>
      <c r="D108" s="47">
        <f>(B106*H105)/10^3</f>
        <v>90</v>
      </c>
      <c r="E108" s="47" t="s">
        <v>16</v>
      </c>
    </row>
    <row r="109" spans="1:9" x14ac:dyDescent="0.25">
      <c r="A109" s="84" t="s">
        <v>564</v>
      </c>
      <c r="B109" s="85"/>
      <c r="C109" s="85"/>
      <c r="D109" s="85"/>
      <c r="E109" s="85"/>
      <c r="F109" s="85"/>
      <c r="G109" s="85"/>
      <c r="H109" s="85"/>
      <c r="I109" s="85"/>
    </row>
    <row r="110" spans="1:9" x14ac:dyDescent="0.25">
      <c r="A110" s="2" t="s">
        <v>323</v>
      </c>
      <c r="B110" s="2"/>
      <c r="C110" s="2"/>
      <c r="E110" t="s">
        <v>324</v>
      </c>
    </row>
    <row r="111" spans="1:9" x14ac:dyDescent="0.25">
      <c r="A111">
        <v>200</v>
      </c>
      <c r="B111" t="s">
        <v>326</v>
      </c>
      <c r="E111">
        <v>35</v>
      </c>
      <c r="F111" t="s">
        <v>327</v>
      </c>
      <c r="H111">
        <f>E111/100</f>
        <v>0.35</v>
      </c>
      <c r="I111" t="s">
        <v>328</v>
      </c>
    </row>
    <row r="113" spans="1:9" x14ac:dyDescent="0.25">
      <c r="A113" t="s">
        <v>331</v>
      </c>
    </row>
    <row r="114" spans="1:9" x14ac:dyDescent="0.25">
      <c r="A114" s="47" t="s">
        <v>333</v>
      </c>
      <c r="B114" s="48">
        <f>A111/H111</f>
        <v>571.42857142857144</v>
      </c>
      <c r="C114" s="47" t="s">
        <v>16</v>
      </c>
      <c r="D114" t="s">
        <v>334</v>
      </c>
    </row>
    <row r="116" spans="1:9" x14ac:dyDescent="0.25">
      <c r="A116" s="2" t="s">
        <v>337</v>
      </c>
      <c r="B116" s="2"/>
      <c r="C116" s="2"/>
      <c r="E116" t="s">
        <v>324</v>
      </c>
    </row>
    <row r="117" spans="1:9" x14ac:dyDescent="0.25">
      <c r="A117">
        <v>1500</v>
      </c>
      <c r="B117" t="s">
        <v>326</v>
      </c>
      <c r="E117">
        <v>35</v>
      </c>
      <c r="F117" t="s">
        <v>327</v>
      </c>
      <c r="H117">
        <f>E117/100</f>
        <v>0.35</v>
      </c>
      <c r="I117" t="s">
        <v>328</v>
      </c>
    </row>
    <row r="119" spans="1:9" x14ac:dyDescent="0.25">
      <c r="A119" t="s">
        <v>340</v>
      </c>
    </row>
    <row r="120" spans="1:9" x14ac:dyDescent="0.25">
      <c r="A120" s="47" t="s">
        <v>333</v>
      </c>
      <c r="B120" s="48">
        <f>A117/H117</f>
        <v>4285.7142857142862</v>
      </c>
      <c r="C120" s="47" t="s">
        <v>16</v>
      </c>
      <c r="D120" t="s">
        <v>341</v>
      </c>
    </row>
    <row r="122" spans="1:9" x14ac:dyDescent="0.25">
      <c r="A122" s="4" t="s">
        <v>344</v>
      </c>
      <c r="B122" s="5"/>
      <c r="C122" s="5"/>
      <c r="D122" s="5"/>
      <c r="E122" s="5"/>
      <c r="F122" s="5"/>
      <c r="G122" s="5"/>
      <c r="H122" s="5"/>
      <c r="I122" s="6"/>
    </row>
    <row r="123" spans="1:9" x14ac:dyDescent="0.25">
      <c r="A123" s="65" t="s">
        <v>323</v>
      </c>
      <c r="B123" s="2"/>
      <c r="C123" s="2"/>
      <c r="E123" t="s">
        <v>324</v>
      </c>
      <c r="I123" s="8"/>
    </row>
    <row r="124" spans="1:9" x14ac:dyDescent="0.25">
      <c r="A124" s="7">
        <v>365</v>
      </c>
      <c r="B124" t="s">
        <v>326</v>
      </c>
      <c r="E124">
        <v>35</v>
      </c>
      <c r="F124" t="s">
        <v>327</v>
      </c>
      <c r="H124">
        <f>E124/100</f>
        <v>0.35</v>
      </c>
      <c r="I124" s="8" t="s">
        <v>328</v>
      </c>
    </row>
    <row r="125" spans="1:9" x14ac:dyDescent="0.25">
      <c r="A125" s="7"/>
      <c r="I125" s="8"/>
    </row>
    <row r="126" spans="1:9" x14ac:dyDescent="0.25">
      <c r="A126" s="7" t="s">
        <v>347</v>
      </c>
      <c r="I126" s="8"/>
    </row>
    <row r="127" spans="1:9" x14ac:dyDescent="0.25">
      <c r="A127" s="66" t="s">
        <v>333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  <mergeCell ref="M2:S2"/>
    <mergeCell ref="A3:I3"/>
    <mergeCell ref="A6:B6"/>
    <mergeCell ref="A11:I11"/>
    <mergeCell ref="A17:I17"/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 x14ac:dyDescent="0.25"/>
  <cols>
    <col min="1" max="1" width="18.28515625" customWidth="1"/>
    <col min="9" max="9" width="12.28515625" bestFit="1" customWidth="1"/>
  </cols>
  <sheetData>
    <row r="1" spans="1:25" x14ac:dyDescent="0.25">
      <c r="A1" s="509" t="s">
        <v>647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P1" s="509" t="s">
        <v>403</v>
      </c>
      <c r="Q1" s="509"/>
      <c r="R1" s="509"/>
      <c r="S1" s="509"/>
      <c r="T1" s="509"/>
      <c r="U1" s="509"/>
      <c r="V1" s="509"/>
      <c r="W1" s="509"/>
      <c r="X1" s="509"/>
      <c r="Y1" s="509"/>
    </row>
    <row r="2" spans="1:25" x14ac:dyDescent="0.25">
      <c r="A2" t="s">
        <v>542</v>
      </c>
      <c r="P2" t="s">
        <v>406</v>
      </c>
    </row>
    <row r="3" spans="1:25" x14ac:dyDescent="0.25">
      <c r="A3" s="3" t="s">
        <v>543</v>
      </c>
      <c r="P3" s="3" t="s">
        <v>408</v>
      </c>
    </row>
    <row r="4" spans="1:25" x14ac:dyDescent="0.25">
      <c r="A4" t="s">
        <v>544</v>
      </c>
      <c r="P4" t="s">
        <v>410</v>
      </c>
    </row>
    <row r="5" spans="1:25" x14ac:dyDescent="0.25">
      <c r="A5" s="3" t="s">
        <v>545</v>
      </c>
      <c r="P5" s="3" t="s">
        <v>412</v>
      </c>
    </row>
    <row r="6" spans="1:25" x14ac:dyDescent="0.25">
      <c r="A6" t="s">
        <v>546</v>
      </c>
      <c r="P6" t="s">
        <v>414</v>
      </c>
    </row>
    <row r="7" spans="1:25" x14ac:dyDescent="0.25">
      <c r="A7" s="3" t="s">
        <v>548</v>
      </c>
      <c r="P7" s="3" t="s">
        <v>415</v>
      </c>
    </row>
    <row r="8" spans="1:25" x14ac:dyDescent="0.25">
      <c r="A8" t="s">
        <v>549</v>
      </c>
      <c r="P8" t="s">
        <v>417</v>
      </c>
    </row>
    <row r="9" spans="1:25" x14ac:dyDescent="0.25">
      <c r="A9" s="3" t="s">
        <v>550</v>
      </c>
      <c r="P9" s="3" t="s">
        <v>419</v>
      </c>
    </row>
    <row r="10" spans="1:25" x14ac:dyDescent="0.25">
      <c r="A10" t="s">
        <v>551</v>
      </c>
      <c r="P10" t="s">
        <v>420</v>
      </c>
    </row>
    <row r="11" spans="1:25" x14ac:dyDescent="0.25">
      <c r="A11" s="3" t="s">
        <v>552</v>
      </c>
      <c r="P11" s="3" t="s">
        <v>422</v>
      </c>
    </row>
    <row r="12" spans="1:25" x14ac:dyDescent="0.25">
      <c r="A12" t="s">
        <v>553</v>
      </c>
      <c r="P12" t="s">
        <v>428</v>
      </c>
    </row>
    <row r="13" spans="1:25" x14ac:dyDescent="0.25">
      <c r="A13" s="3" t="s">
        <v>554</v>
      </c>
      <c r="P13" s="3" t="s">
        <v>431</v>
      </c>
    </row>
    <row r="14" spans="1:25" x14ac:dyDescent="0.25">
      <c r="A14" t="s">
        <v>555</v>
      </c>
      <c r="P14" t="s">
        <v>434</v>
      </c>
    </row>
    <row r="15" spans="1:25" x14ac:dyDescent="0.25">
      <c r="A15" s="3" t="s">
        <v>556</v>
      </c>
      <c r="P15" s="3" t="s">
        <v>439</v>
      </c>
    </row>
    <row r="16" spans="1:25" x14ac:dyDescent="0.25">
      <c r="A16" t="s">
        <v>557</v>
      </c>
      <c r="P16" t="s">
        <v>440</v>
      </c>
    </row>
    <row r="17" spans="1:21" x14ac:dyDescent="0.25">
      <c r="A17" s="3" t="s">
        <v>558</v>
      </c>
      <c r="P17" s="3" t="s">
        <v>442</v>
      </c>
    </row>
    <row r="18" spans="1:21" x14ac:dyDescent="0.25">
      <c r="A18" t="s">
        <v>559</v>
      </c>
      <c r="P18" t="s">
        <v>445</v>
      </c>
    </row>
    <row r="19" spans="1:21" x14ac:dyDescent="0.25">
      <c r="A19" s="3" t="s">
        <v>560</v>
      </c>
      <c r="P19" s="3" t="s">
        <v>448</v>
      </c>
    </row>
    <row r="20" spans="1:21" x14ac:dyDescent="0.25">
      <c r="A20" t="s">
        <v>561</v>
      </c>
      <c r="P20" t="s">
        <v>453</v>
      </c>
    </row>
    <row r="21" spans="1:21" x14ac:dyDescent="0.25">
      <c r="A21" s="3" t="s">
        <v>562</v>
      </c>
      <c r="P21" s="3" t="s">
        <v>456</v>
      </c>
    </row>
    <row r="22" spans="1:21" x14ac:dyDescent="0.25">
      <c r="P22" t="s">
        <v>459</v>
      </c>
    </row>
    <row r="23" spans="1:21" x14ac:dyDescent="0.25">
      <c r="A23" s="2"/>
      <c r="P23" s="3" t="s">
        <v>461</v>
      </c>
      <c r="U23" t="s">
        <v>462</v>
      </c>
    </row>
    <row r="25" spans="1:21" x14ac:dyDescent="0.25">
      <c r="A25" s="509" t="s">
        <v>648</v>
      </c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</row>
    <row r="26" spans="1:21" x14ac:dyDescent="0.25">
      <c r="A26" s="2" t="s">
        <v>649</v>
      </c>
      <c r="D26" s="1"/>
    </row>
    <row r="27" spans="1:21" x14ac:dyDescent="0.25">
      <c r="A27" t="s">
        <v>650</v>
      </c>
    </row>
    <row r="28" spans="1:21" x14ac:dyDescent="0.25">
      <c r="A28" s="50" t="s">
        <v>600</v>
      </c>
      <c r="P28" t="s">
        <v>651</v>
      </c>
    </row>
    <row r="29" spans="1:21" x14ac:dyDescent="0.25">
      <c r="A29" t="s">
        <v>652</v>
      </c>
      <c r="F29" s="1"/>
      <c r="P29" s="3" t="s">
        <v>653</v>
      </c>
    </row>
    <row r="30" spans="1:21" x14ac:dyDescent="0.25">
      <c r="A30" s="50" t="s">
        <v>602</v>
      </c>
      <c r="D30" s="1"/>
    </row>
    <row r="31" spans="1:21" x14ac:dyDescent="0.25">
      <c r="A31" s="2"/>
    </row>
    <row r="33" spans="1:12" x14ac:dyDescent="0.25">
      <c r="A33" t="s">
        <v>654</v>
      </c>
      <c r="F33" s="1"/>
    </row>
    <row r="34" spans="1:12" x14ac:dyDescent="0.25">
      <c r="A34" s="3" t="s">
        <v>655</v>
      </c>
      <c r="D34" s="1"/>
    </row>
    <row r="35" spans="1:12" ht="14.25" customHeight="1" x14ac:dyDescent="0.25">
      <c r="A35" s="51"/>
      <c r="B35" s="51"/>
      <c r="C35" s="51"/>
      <c r="D35" s="51"/>
      <c r="E35" s="51"/>
      <c r="F35" s="51"/>
    </row>
    <row r="36" spans="1:12" x14ac:dyDescent="0.25">
      <c r="A36" s="2"/>
      <c r="G36" s="32"/>
    </row>
    <row r="37" spans="1:12" x14ac:dyDescent="0.25">
      <c r="G37" s="32"/>
    </row>
    <row r="38" spans="1:12" x14ac:dyDescent="0.25">
      <c r="A38" s="39"/>
      <c r="C38" s="31"/>
      <c r="D38" s="31"/>
    </row>
    <row r="39" spans="1:12" x14ac:dyDescent="0.25">
      <c r="D39" s="1"/>
      <c r="F39" s="1"/>
    </row>
    <row r="40" spans="1:12" x14ac:dyDescent="0.25">
      <c r="A40" s="2"/>
    </row>
    <row r="42" spans="1:12" x14ac:dyDescent="0.25">
      <c r="C42" s="502"/>
      <c r="D42" s="502"/>
    </row>
    <row r="43" spans="1:12" x14ac:dyDescent="0.25">
      <c r="A43" s="2"/>
    </row>
    <row r="44" spans="1:12" x14ac:dyDescent="0.25">
      <c r="F44" s="1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 x14ac:dyDescent="0.25">
      <c r="A54" s="1"/>
      <c r="B54" s="1"/>
    </row>
    <row r="55" spans="1:23" x14ac:dyDescent="0.25">
      <c r="A55" s="1"/>
      <c r="B55" s="1"/>
    </row>
    <row r="56" spans="1:23" x14ac:dyDescent="0.25">
      <c r="A56" s="49"/>
      <c r="B56" s="49"/>
      <c r="C56" s="39"/>
      <c r="D56" s="39"/>
    </row>
    <row r="57" spans="1:23" x14ac:dyDescent="0.25">
      <c r="A57" s="1"/>
      <c r="B57" s="1"/>
      <c r="L57" s="2"/>
      <c r="Q57" s="32"/>
    </row>
    <row r="58" spans="1:23" x14ac:dyDescent="0.25">
      <c r="R58" s="32"/>
      <c r="S58" s="32"/>
      <c r="T58" s="32"/>
      <c r="U58" s="32"/>
      <c r="V58" s="32"/>
      <c r="W58" s="32"/>
    </row>
    <row r="59" spans="1:23" x14ac:dyDescent="0.25">
      <c r="L59" s="39"/>
      <c r="N59" s="502"/>
      <c r="O59" s="502"/>
      <c r="Q59" s="1"/>
      <c r="R59" s="32"/>
    </row>
    <row r="60" spans="1:23" x14ac:dyDescent="0.25">
      <c r="A60" s="1"/>
      <c r="B60" s="1"/>
      <c r="O60" s="1"/>
    </row>
    <row r="61" spans="1:23" x14ac:dyDescent="0.25">
      <c r="A61" s="1"/>
      <c r="B61" s="1"/>
      <c r="L61" s="2"/>
    </row>
    <row r="62" spans="1:23" x14ac:dyDescent="0.25">
      <c r="A62" s="1"/>
      <c r="B62" s="1"/>
    </row>
    <row r="63" spans="1:23" x14ac:dyDescent="0.25">
      <c r="A63" s="1"/>
      <c r="B63" s="1"/>
      <c r="N63" s="502"/>
      <c r="O63" s="502"/>
    </row>
    <row r="65" spans="1:18" x14ac:dyDescent="0.25">
      <c r="L65" s="2"/>
    </row>
    <row r="66" spans="1:18" x14ac:dyDescent="0.25">
      <c r="A66" s="1"/>
      <c r="B66" s="1"/>
      <c r="E66" s="1"/>
    </row>
    <row r="67" spans="1:18" x14ac:dyDescent="0.25">
      <c r="A67" s="1"/>
      <c r="B67" s="1"/>
      <c r="G67" s="1"/>
    </row>
    <row r="68" spans="1:18" x14ac:dyDescent="0.25">
      <c r="A68" s="1"/>
      <c r="B68" s="1"/>
      <c r="G68" s="1"/>
    </row>
    <row r="69" spans="1:18" x14ac:dyDescent="0.25">
      <c r="A69" s="1"/>
      <c r="B69" s="1"/>
      <c r="G69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 x14ac:dyDescent="0.25">
      <c r="A77" s="1"/>
    </row>
    <row r="78" spans="1:18" x14ac:dyDescent="0.25">
      <c r="A78" s="1"/>
    </row>
    <row r="80" spans="1:18" x14ac:dyDescent="0.25">
      <c r="A80" s="1"/>
      <c r="B80" s="1"/>
      <c r="L80" s="2"/>
      <c r="R80" s="32"/>
    </row>
    <row r="81" spans="1:15" x14ac:dyDescent="0.25">
      <c r="A81" s="1"/>
      <c r="B81" s="1"/>
      <c r="C81" s="21"/>
    </row>
    <row r="82" spans="1:15" x14ac:dyDescent="0.25">
      <c r="A82" s="1"/>
      <c r="B82" s="1"/>
      <c r="C82" s="21"/>
      <c r="L82" s="39"/>
      <c r="N82" s="502"/>
      <c r="O82" s="502"/>
    </row>
    <row r="83" spans="1:15" x14ac:dyDescent="0.25">
      <c r="A83" s="1"/>
      <c r="B83" s="1"/>
      <c r="C83" s="21"/>
      <c r="O83" s="1"/>
    </row>
    <row r="84" spans="1:15" x14ac:dyDescent="0.25">
      <c r="L84" s="2"/>
    </row>
    <row r="86" spans="1:15" x14ac:dyDescent="0.25">
      <c r="A86" s="1"/>
      <c r="B86" s="1"/>
      <c r="N86" s="502"/>
      <c r="O86" s="502"/>
    </row>
    <row r="87" spans="1:15" x14ac:dyDescent="0.25">
      <c r="A87" s="1"/>
      <c r="B87" s="1"/>
    </row>
    <row r="88" spans="1:15" x14ac:dyDescent="0.25">
      <c r="A88" s="1"/>
      <c r="B88" s="1"/>
      <c r="L88" s="2"/>
    </row>
    <row r="89" spans="1:15" x14ac:dyDescent="0.25">
      <c r="A89" s="1"/>
      <c r="B89" s="1"/>
    </row>
    <row r="92" spans="1:15" x14ac:dyDescent="0.25">
      <c r="A92" s="1"/>
      <c r="B92" s="1"/>
      <c r="E92" s="1"/>
    </row>
    <row r="93" spans="1:15" x14ac:dyDescent="0.25">
      <c r="A93" s="1"/>
      <c r="B93" s="1"/>
      <c r="G93" s="1"/>
    </row>
    <row r="94" spans="1:15" x14ac:dyDescent="0.25">
      <c r="A94" s="1"/>
      <c r="B94" s="1"/>
      <c r="G94" s="1"/>
    </row>
    <row r="95" spans="1:15" x14ac:dyDescent="0.25">
      <c r="A95" s="1"/>
      <c r="B95" s="1"/>
      <c r="G95" s="1"/>
    </row>
    <row r="98" spans="1:18" x14ac:dyDescent="0.25">
      <c r="A98" s="1"/>
    </row>
    <row r="100" spans="1:18" x14ac:dyDescent="0.25">
      <c r="A100" s="1"/>
      <c r="B100" s="1"/>
    </row>
    <row r="101" spans="1:18" x14ac:dyDescent="0.25">
      <c r="A101" s="1"/>
      <c r="B101" s="1"/>
      <c r="C101" s="21"/>
    </row>
    <row r="102" spans="1:18" x14ac:dyDescent="0.25">
      <c r="A102" s="1"/>
      <c r="B102" s="1"/>
      <c r="C102" s="21"/>
      <c r="L102" s="2"/>
      <c r="R102" s="32"/>
    </row>
    <row r="103" spans="1:18" x14ac:dyDescent="0.25">
      <c r="A103" s="1"/>
      <c r="B103" s="1"/>
      <c r="C103" s="21"/>
      <c r="R103" s="32"/>
    </row>
    <row r="104" spans="1:18" x14ac:dyDescent="0.25">
      <c r="L104" s="39"/>
      <c r="N104" s="502"/>
      <c r="O104" s="502"/>
    </row>
    <row r="105" spans="1:18" x14ac:dyDescent="0.25">
      <c r="O105" s="1"/>
    </row>
    <row r="106" spans="1:18" x14ac:dyDescent="0.25">
      <c r="A106" s="1"/>
      <c r="B106" s="1"/>
      <c r="L106" s="2"/>
    </row>
    <row r="107" spans="1:18" x14ac:dyDescent="0.25">
      <c r="A107" s="1"/>
      <c r="B107" s="1"/>
    </row>
    <row r="108" spans="1:18" x14ac:dyDescent="0.25">
      <c r="A108" s="1"/>
      <c r="B108" s="1"/>
      <c r="N108" s="502"/>
      <c r="O108" s="502"/>
    </row>
    <row r="109" spans="1:18" x14ac:dyDescent="0.25">
      <c r="A109" s="1"/>
      <c r="B109" s="1"/>
    </row>
    <row r="110" spans="1:18" x14ac:dyDescent="0.25">
      <c r="L110" s="2"/>
    </row>
    <row r="112" spans="1:18" x14ac:dyDescent="0.25">
      <c r="A112" s="1"/>
      <c r="B112" s="1"/>
      <c r="E112" s="1"/>
    </row>
    <row r="113" spans="1:18" x14ac:dyDescent="0.25">
      <c r="A113" s="1"/>
      <c r="B113" s="1"/>
      <c r="G113" s="1"/>
    </row>
    <row r="114" spans="1:18" x14ac:dyDescent="0.25">
      <c r="A114" s="1"/>
      <c r="B114" s="1"/>
      <c r="G114" s="1"/>
    </row>
    <row r="115" spans="1:18" x14ac:dyDescent="0.25">
      <c r="A115" s="1"/>
      <c r="B115" s="1"/>
      <c r="G115" s="1"/>
    </row>
    <row r="118" spans="1:18" x14ac:dyDescent="0.25">
      <c r="A118" s="1"/>
    </row>
    <row r="120" spans="1:18" x14ac:dyDescent="0.25">
      <c r="A120" s="1"/>
      <c r="B120" s="1"/>
    </row>
    <row r="121" spans="1:18" x14ac:dyDescent="0.25">
      <c r="A121" s="1"/>
      <c r="B121" s="1"/>
      <c r="C121" s="21"/>
    </row>
    <row r="122" spans="1:18" x14ac:dyDescent="0.25">
      <c r="A122" s="1"/>
      <c r="B122" s="1"/>
      <c r="C122" s="21"/>
      <c r="L122" s="2"/>
      <c r="R122" s="32"/>
    </row>
    <row r="123" spans="1:18" x14ac:dyDescent="0.25">
      <c r="A123" s="1"/>
      <c r="B123" s="1"/>
      <c r="C123" s="21"/>
      <c r="R123" s="32"/>
    </row>
    <row r="124" spans="1:18" x14ac:dyDescent="0.25">
      <c r="L124" s="39"/>
      <c r="N124" s="502"/>
      <c r="O124" s="502"/>
    </row>
    <row r="125" spans="1:18" x14ac:dyDescent="0.25">
      <c r="O125" s="1"/>
    </row>
    <row r="126" spans="1:18" x14ac:dyDescent="0.25">
      <c r="A126" s="1"/>
      <c r="B126" s="1"/>
      <c r="L126" s="2"/>
    </row>
    <row r="127" spans="1:18" x14ac:dyDescent="0.25">
      <c r="A127" s="1"/>
      <c r="B127" s="1"/>
    </row>
    <row r="128" spans="1:18" x14ac:dyDescent="0.25">
      <c r="A128" s="1"/>
      <c r="B128" s="1"/>
      <c r="N128" s="502"/>
      <c r="O128" s="502"/>
    </row>
    <row r="129" spans="1:12" x14ac:dyDescent="0.25">
      <c r="A129" s="1"/>
      <c r="B129" s="1"/>
    </row>
    <row r="130" spans="1:12" x14ac:dyDescent="0.25">
      <c r="L130" s="2"/>
    </row>
    <row r="132" spans="1:12" x14ac:dyDescent="0.25">
      <c r="A132" s="1"/>
      <c r="B132" s="1"/>
      <c r="E132" s="1"/>
    </row>
    <row r="133" spans="1:12" x14ac:dyDescent="0.25">
      <c r="A133" s="1"/>
      <c r="B133" s="1"/>
      <c r="G133" s="1"/>
    </row>
    <row r="134" spans="1:12" x14ac:dyDescent="0.25">
      <c r="A134" s="1"/>
      <c r="B134" s="1"/>
      <c r="G134" s="1"/>
    </row>
    <row r="135" spans="1:12" x14ac:dyDescent="0.25">
      <c r="A135" s="1"/>
      <c r="B135" s="1"/>
      <c r="G135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 x14ac:dyDescent="0.25">
      <c r="A144" s="1"/>
    </row>
    <row r="145" spans="1:18" x14ac:dyDescent="0.25">
      <c r="A145" s="1"/>
    </row>
    <row r="147" spans="1:18" x14ac:dyDescent="0.25">
      <c r="A147" s="1"/>
      <c r="B147" s="1"/>
    </row>
    <row r="148" spans="1:18" x14ac:dyDescent="0.25">
      <c r="A148" s="1"/>
      <c r="B148" s="1"/>
      <c r="C148" s="21"/>
    </row>
    <row r="149" spans="1:18" x14ac:dyDescent="0.25">
      <c r="A149" s="1"/>
      <c r="B149" s="1"/>
      <c r="C149" s="21"/>
      <c r="L149" s="2"/>
      <c r="R149" s="32"/>
    </row>
    <row r="150" spans="1:18" x14ac:dyDescent="0.25">
      <c r="A150" s="1"/>
      <c r="B150" s="1"/>
      <c r="C150" s="21"/>
      <c r="R150" s="32"/>
    </row>
    <row r="151" spans="1:18" x14ac:dyDescent="0.25">
      <c r="L151" s="39"/>
      <c r="N151" s="502"/>
      <c r="O151" s="502"/>
    </row>
    <row r="152" spans="1:18" x14ac:dyDescent="0.25">
      <c r="O152" s="1"/>
    </row>
    <row r="153" spans="1:18" x14ac:dyDescent="0.25">
      <c r="A153" s="1"/>
      <c r="B153" s="1"/>
      <c r="L153" s="2"/>
    </row>
    <row r="154" spans="1:18" x14ac:dyDescent="0.25">
      <c r="A154" s="1"/>
      <c r="B154" s="1"/>
    </row>
    <row r="155" spans="1:18" x14ac:dyDescent="0.25">
      <c r="A155" s="1"/>
      <c r="B155" s="1"/>
      <c r="N155" s="502"/>
      <c r="O155" s="502"/>
    </row>
    <row r="156" spans="1:18" x14ac:dyDescent="0.25">
      <c r="A156" s="1"/>
      <c r="B156" s="1"/>
    </row>
    <row r="157" spans="1:18" x14ac:dyDescent="0.25">
      <c r="L157" s="2"/>
    </row>
    <row r="159" spans="1:18" x14ac:dyDescent="0.25">
      <c r="A159" s="1"/>
      <c r="B159" s="1"/>
      <c r="E159" s="1"/>
    </row>
    <row r="160" spans="1:18" x14ac:dyDescent="0.25">
      <c r="A160" s="1"/>
      <c r="B160" s="1"/>
      <c r="G160" s="1"/>
    </row>
    <row r="161" spans="1:18" x14ac:dyDescent="0.25">
      <c r="A161" s="1"/>
      <c r="B161" s="1"/>
      <c r="G161" s="1"/>
    </row>
    <row r="162" spans="1:18" x14ac:dyDescent="0.25">
      <c r="A162" s="1"/>
      <c r="B162" s="1"/>
      <c r="G162" s="1"/>
    </row>
    <row r="164" spans="1:18" x14ac:dyDescent="0.25">
      <c r="A164" s="1"/>
    </row>
    <row r="165" spans="1:18" x14ac:dyDescent="0.25">
      <c r="A165" s="1"/>
    </row>
    <row r="167" spans="1:18" x14ac:dyDescent="0.25">
      <c r="A167" s="1"/>
      <c r="B167" s="1"/>
    </row>
    <row r="168" spans="1:18" x14ac:dyDescent="0.25">
      <c r="A168" s="1"/>
      <c r="B168" s="1"/>
      <c r="C168" s="21"/>
    </row>
    <row r="169" spans="1:18" x14ac:dyDescent="0.25">
      <c r="A169" s="1"/>
      <c r="B169" s="1"/>
      <c r="C169" s="21"/>
      <c r="L169" s="2"/>
      <c r="R169" s="32"/>
    </row>
    <row r="170" spans="1:18" x14ac:dyDescent="0.25">
      <c r="A170" s="1"/>
      <c r="B170" s="1"/>
      <c r="C170" s="21"/>
      <c r="R170" s="32"/>
    </row>
    <row r="171" spans="1:18" x14ac:dyDescent="0.25">
      <c r="L171" s="39"/>
      <c r="N171" s="502"/>
      <c r="O171" s="502"/>
    </row>
    <row r="172" spans="1:18" x14ac:dyDescent="0.25">
      <c r="O172" s="1"/>
    </row>
    <row r="173" spans="1:18" x14ac:dyDescent="0.25">
      <c r="A173" s="1"/>
      <c r="B173" s="1"/>
      <c r="L173" s="2"/>
    </row>
    <row r="174" spans="1:18" x14ac:dyDescent="0.25">
      <c r="A174" s="1"/>
      <c r="B174" s="1"/>
    </row>
    <row r="175" spans="1:18" x14ac:dyDescent="0.25">
      <c r="A175" s="1"/>
      <c r="B175" s="1"/>
      <c r="N175" s="502"/>
      <c r="O175" s="502"/>
    </row>
    <row r="176" spans="1:18" x14ac:dyDescent="0.25">
      <c r="A176" s="1"/>
      <c r="B176" s="1"/>
    </row>
    <row r="177" spans="1:18" x14ac:dyDescent="0.25">
      <c r="L177" s="2"/>
    </row>
    <row r="179" spans="1:18" x14ac:dyDescent="0.25">
      <c r="A179" s="1"/>
      <c r="B179" s="1"/>
      <c r="E179" s="1"/>
    </row>
    <row r="180" spans="1:18" x14ac:dyDescent="0.25">
      <c r="A180" s="1"/>
      <c r="B180" s="1"/>
      <c r="G180" s="1"/>
    </row>
    <row r="181" spans="1:18" x14ac:dyDescent="0.25">
      <c r="A181" s="1"/>
      <c r="B181" s="1"/>
      <c r="G181" s="1"/>
    </row>
    <row r="182" spans="1:18" x14ac:dyDescent="0.25">
      <c r="A182" s="1"/>
      <c r="B182" s="1"/>
      <c r="G182" s="1"/>
    </row>
    <row r="184" spans="1:18" x14ac:dyDescent="0.25">
      <c r="M184" s="2"/>
      <c r="R184" s="32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R185" s="32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J186" s="421"/>
      <c r="K186" s="421"/>
      <c r="M186" s="39"/>
      <c r="O186" s="502"/>
      <c r="P186" s="502"/>
      <c r="R186" s="32"/>
    </row>
    <row r="187" spans="1:18" x14ac:dyDescent="0.25">
      <c r="P187" s="1"/>
      <c r="R187" s="32"/>
    </row>
    <row r="188" spans="1:18" x14ac:dyDescent="0.25">
      <c r="A188" s="1"/>
      <c r="B188" s="1"/>
      <c r="M188" s="2"/>
      <c r="R188" s="32"/>
    </row>
    <row r="189" spans="1:18" x14ac:dyDescent="0.25">
      <c r="A189" s="1"/>
      <c r="B189" s="1"/>
      <c r="G189" s="1"/>
      <c r="R189" s="32"/>
    </row>
    <row r="190" spans="1:18" x14ac:dyDescent="0.25">
      <c r="O190" s="502"/>
      <c r="P190" s="502"/>
      <c r="R190" s="32"/>
    </row>
    <row r="191" spans="1:18" x14ac:dyDescent="0.25">
      <c r="R191" s="32"/>
    </row>
    <row r="192" spans="1:18" x14ac:dyDescent="0.25">
      <c r="A192" s="1"/>
      <c r="M192" s="2"/>
    </row>
    <row r="194" spans="1:22" x14ac:dyDescent="0.25">
      <c r="A194" s="21"/>
      <c r="M194" s="39"/>
      <c r="O194" s="502"/>
      <c r="P194" s="502"/>
    </row>
    <row r="195" spans="1:22" x14ac:dyDescent="0.25">
      <c r="P195" s="1"/>
    </row>
    <row r="196" spans="1:22" x14ac:dyDescent="0.25">
      <c r="M196" s="2"/>
    </row>
    <row r="197" spans="1:22" x14ac:dyDescent="0.25">
      <c r="A197" s="1"/>
    </row>
    <row r="198" spans="1:22" x14ac:dyDescent="0.25">
      <c r="O198" s="502"/>
      <c r="P198" s="502"/>
    </row>
    <row r="199" spans="1:22" x14ac:dyDescent="0.25">
      <c r="A199" s="21"/>
    </row>
    <row r="200" spans="1:22" x14ac:dyDescent="0.25">
      <c r="M200" s="2"/>
      <c r="S200" s="2"/>
    </row>
    <row r="201" spans="1:22" x14ac:dyDescent="0.25">
      <c r="B201" s="50"/>
    </row>
    <row r="202" spans="1:22" x14ac:dyDescent="0.25">
      <c r="A202" s="1"/>
      <c r="M202" s="39"/>
      <c r="O202" s="502"/>
      <c r="P202" s="502"/>
      <c r="S202" s="39"/>
      <c r="U202" s="502"/>
      <c r="V202" s="502"/>
    </row>
    <row r="203" spans="1:22" x14ac:dyDescent="0.25">
      <c r="P203" s="1"/>
      <c r="V203" s="1"/>
    </row>
    <row r="204" spans="1:22" x14ac:dyDescent="0.25">
      <c r="A204" s="21"/>
      <c r="M204" s="2"/>
      <c r="S204" s="2"/>
    </row>
    <row r="206" spans="1:22" x14ac:dyDescent="0.25">
      <c r="B206" s="50"/>
      <c r="O206" s="502"/>
      <c r="P206" s="502"/>
      <c r="U206" s="502"/>
      <c r="V206" s="502"/>
    </row>
    <row r="207" spans="1:22" x14ac:dyDescent="0.25">
      <c r="A207" s="1"/>
    </row>
    <row r="209" spans="1:18" x14ac:dyDescent="0.25">
      <c r="A209" s="21"/>
    </row>
    <row r="212" spans="1:18" x14ac:dyDescent="0.25">
      <c r="M212" s="2"/>
      <c r="R212" s="32"/>
    </row>
    <row r="213" spans="1:18" x14ac:dyDescent="0.25">
      <c r="R213" s="32"/>
    </row>
    <row r="214" spans="1:18" x14ac:dyDescent="0.25">
      <c r="M214" s="39"/>
      <c r="O214" s="502"/>
      <c r="P214" s="502"/>
    </row>
    <row r="215" spans="1:18" x14ac:dyDescent="0.25">
      <c r="P215" s="1"/>
    </row>
    <row r="216" spans="1:18" x14ac:dyDescent="0.25">
      <c r="G216" s="1"/>
      <c r="M216" s="2"/>
    </row>
    <row r="218" spans="1:18" x14ac:dyDescent="0.25">
      <c r="A218" s="1"/>
      <c r="O218" s="502"/>
      <c r="P218" s="502"/>
    </row>
    <row r="220" spans="1:18" x14ac:dyDescent="0.25">
      <c r="A220" s="21"/>
    </row>
    <row r="227" spans="1:6" ht="28.5" x14ac:dyDescent="0.45">
      <c r="A227" s="42"/>
      <c r="B227" s="12"/>
    </row>
    <row r="228" spans="1:6" ht="18.75" x14ac:dyDescent="0.3">
      <c r="A228" s="12"/>
      <c r="B228" s="12"/>
    </row>
    <row r="229" spans="1:6" x14ac:dyDescent="0.25">
      <c r="A229" s="2"/>
    </row>
    <row r="232" spans="1:6" x14ac:dyDescent="0.25">
      <c r="A232" s="421"/>
      <c r="B232" s="421"/>
    </row>
    <row r="234" spans="1:6" x14ac:dyDescent="0.25">
      <c r="D234" s="43"/>
    </row>
    <row r="235" spans="1:6" x14ac:dyDescent="0.25">
      <c r="D235" s="1"/>
      <c r="F235" s="44"/>
    </row>
    <row r="237" spans="1:6" x14ac:dyDescent="0.25">
      <c r="A237" s="2"/>
    </row>
    <row r="240" spans="1:6" x14ac:dyDescent="0.25">
      <c r="D240" s="43"/>
    </row>
    <row r="241" spans="1:6" x14ac:dyDescent="0.25">
      <c r="D241" s="1"/>
      <c r="F241" s="44"/>
    </row>
    <row r="243" spans="1:6" x14ac:dyDescent="0.25">
      <c r="A243" s="2"/>
    </row>
    <row r="246" spans="1:6" x14ac:dyDescent="0.25">
      <c r="A246" s="1"/>
      <c r="B246" s="1"/>
    </row>
    <row r="248" spans="1:6" x14ac:dyDescent="0.25">
      <c r="D248" s="43"/>
    </row>
    <row r="249" spans="1:6" x14ac:dyDescent="0.25">
      <c r="D249" s="1"/>
      <c r="F249" s="44"/>
    </row>
    <row r="251" spans="1:6" x14ac:dyDescent="0.25">
      <c r="A251" s="2"/>
    </row>
    <row r="254" spans="1:6" x14ac:dyDescent="0.25">
      <c r="A254" s="421"/>
      <c r="B254" s="421"/>
    </row>
    <row r="256" spans="1:6" x14ac:dyDescent="0.25">
      <c r="D256" s="43"/>
    </row>
    <row r="257" spans="1:6" x14ac:dyDescent="0.25">
      <c r="D257" s="1"/>
      <c r="F257" s="44"/>
    </row>
    <row r="259" spans="1:6" x14ac:dyDescent="0.25">
      <c r="A259" s="2"/>
    </row>
    <row r="262" spans="1:6" x14ac:dyDescent="0.25">
      <c r="A262" s="421"/>
      <c r="B262" s="421"/>
    </row>
    <row r="264" spans="1:6" x14ac:dyDescent="0.25">
      <c r="D264" s="43"/>
    </row>
    <row r="265" spans="1:6" x14ac:dyDescent="0.25">
      <c r="D265" s="1"/>
      <c r="F265" s="44"/>
    </row>
    <row r="267" spans="1:6" x14ac:dyDescent="0.25">
      <c r="A267" s="2"/>
    </row>
    <row r="271" spans="1:6" x14ac:dyDescent="0.25">
      <c r="A271" s="1"/>
      <c r="B271" s="1"/>
    </row>
    <row r="273" spans="1:6" x14ac:dyDescent="0.25">
      <c r="D273" s="43"/>
    </row>
    <row r="274" spans="1:6" x14ac:dyDescent="0.25">
      <c r="D274" s="1"/>
      <c r="F274" s="44"/>
    </row>
    <row r="279" spans="1:6" x14ac:dyDescent="0.25">
      <c r="A279" s="1"/>
      <c r="B279" s="1"/>
      <c r="C279" s="44"/>
    </row>
    <row r="281" spans="1:6" x14ac:dyDescent="0.25">
      <c r="D281" s="43"/>
    </row>
    <row r="282" spans="1:6" x14ac:dyDescent="0.25">
      <c r="D282" s="1"/>
      <c r="F282" s="44"/>
    </row>
    <row r="285" spans="1:6" ht="18.75" x14ac:dyDescent="0.3">
      <c r="A285" s="12"/>
      <c r="B285" s="12"/>
    </row>
    <row r="286" spans="1:6" x14ac:dyDescent="0.25">
      <c r="A286" s="2"/>
    </row>
    <row r="288" spans="1:6" x14ac:dyDescent="0.25">
      <c r="A288" s="2"/>
    </row>
    <row r="290" spans="1:3" x14ac:dyDescent="0.25">
      <c r="A290" s="2"/>
    </row>
    <row r="296" spans="1:3" x14ac:dyDescent="0.25">
      <c r="A296" s="2"/>
    </row>
    <row r="297" spans="1:3" x14ac:dyDescent="0.25">
      <c r="A297" s="2"/>
      <c r="B297" s="2"/>
      <c r="C297" s="2"/>
    </row>
    <row r="301" spans="1:3" x14ac:dyDescent="0.25">
      <c r="B301" s="44"/>
    </row>
    <row r="303" spans="1:3" x14ac:dyDescent="0.25">
      <c r="A303" s="2"/>
      <c r="B303" s="2"/>
      <c r="C303" s="2"/>
    </row>
    <row r="307" spans="2:2" x14ac:dyDescent="0.25">
      <c r="B307" s="44"/>
    </row>
  </sheetData>
  <mergeCells count="30"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5:L25"/>
    <mergeCell ref="C42:D42"/>
    <mergeCell ref="N59:O59"/>
    <mergeCell ref="N63:O63"/>
    <mergeCell ref="N82:O82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2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3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4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5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6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7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9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11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12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13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15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17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18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19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2025-02-10T10:21:38Z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